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919" firstSheet="2" activeTab="4"/>
  </bookViews>
  <sheets>
    <sheet name="PLAN INDICATIVO" sheetId="1" state="hidden" r:id="rId1"/>
    <sheet name="SEG POLITICA" sheetId="2" state="hidden" r:id="rId2"/>
    <sheet name="SEG POLITICA " sheetId="3" r:id="rId3"/>
    <sheet name="SEG EDUC Y SALUD" sheetId="4" state="hidden" r:id="rId4"/>
    <sheet name="SEG AMB Y ENTORNO" sheetId="5" r:id="rId5"/>
    <sheet name="SEG ECON Y ALIM" sheetId="6" state="hidden" r:id="rId6"/>
    <sheet name="SEG ECONOM Y ALIM" sheetId="7" r:id="rId7"/>
    <sheet name="SEG PERS Y COM" sheetId="8" state="hidden" r:id="rId8"/>
    <sheet name="SEG PERS Y DE LA COMUNI" sheetId="9" r:id="rId9"/>
    <sheet name="SEG SALUD Y EDUC" sheetId="10" r:id="rId10"/>
    <sheet name="VS MATRIZ PLURIANUAL" sheetId="11" state="hidden" r:id="rId11"/>
  </sheets>
  <definedNames/>
  <calcPr fullCalcOnLoad="1"/>
</workbook>
</file>

<file path=xl/comments5.xml><?xml version="1.0" encoding="utf-8"?>
<comments xmlns="http://schemas.openxmlformats.org/spreadsheetml/2006/main">
  <authors>
    <author>JUNIOR</author>
  </authors>
  <commentList>
    <comment ref="M8" authorId="0">
      <text>
        <r>
          <rPr>
            <b/>
            <sz val="9"/>
            <rFont val="Tahoma"/>
            <family val="0"/>
          </rPr>
          <t>JUNIOR:</t>
        </r>
        <r>
          <rPr>
            <sz val="9"/>
            <rFont val="Tahoma"/>
            <family val="0"/>
          </rPr>
          <t xml:space="preserve">
Diagnostico elaborado  por Cortolima
</t>
        </r>
      </text>
    </comment>
    <comment ref="N8" authorId="0">
      <text>
        <r>
          <rPr>
            <b/>
            <sz val="9"/>
            <rFont val="Tahoma"/>
            <family val="0"/>
          </rPr>
          <t>JUNIOR:</t>
        </r>
        <r>
          <rPr>
            <sz val="9"/>
            <rFont val="Tahoma"/>
            <family val="0"/>
          </rPr>
          <t xml:space="preserve">
actualizacion del diagnostico
</t>
        </r>
      </text>
    </comment>
    <comment ref="N21" authorId="0">
      <text>
        <r>
          <rPr>
            <b/>
            <sz val="9"/>
            <rFont val="Tahoma"/>
            <family val="0"/>
          </rPr>
          <t>JUNIOR:</t>
        </r>
        <r>
          <rPr>
            <sz val="9"/>
            <rFont val="Tahoma"/>
            <family val="0"/>
          </rPr>
          <t xml:space="preserve">
Actualizacion
</t>
        </r>
      </text>
    </comment>
    <comment ref="E31" authorId="0">
      <text>
        <r>
          <rPr>
            <b/>
            <sz val="9"/>
            <rFont val="Tahoma"/>
            <family val="0"/>
          </rPr>
          <t>JUNIOR:</t>
        </r>
        <r>
          <rPr>
            <sz val="9"/>
            <rFont val="Tahoma"/>
            <family val="0"/>
          </rPr>
          <t xml:space="preserve">
observatorio ambiental , captura de carbono
</t>
        </r>
      </text>
    </comment>
    <comment ref="E131" authorId="0">
      <text>
        <r>
          <rPr>
            <b/>
            <sz val="9"/>
            <rFont val="Tahoma"/>
            <family val="0"/>
          </rPr>
          <t>JUNIOR:</t>
        </r>
        <r>
          <rPr>
            <sz val="9"/>
            <rFont val="Tahoma"/>
            <family val="0"/>
          </rPr>
          <t xml:space="preserve">
Chucuni
</t>
        </r>
      </text>
    </comment>
    <comment ref="M135" authorId="0">
      <text>
        <r>
          <rPr>
            <b/>
            <sz val="9"/>
            <rFont val="Tahoma"/>
            <family val="0"/>
          </rPr>
          <t>JUNIOR:</t>
        </r>
        <r>
          <rPr>
            <sz val="9"/>
            <rFont val="Tahoma"/>
            <family val="0"/>
          </rPr>
          <t xml:space="preserve">
estudio realizado por secretaria de salud
</t>
        </r>
      </text>
    </comment>
    <comment ref="N135" authorId="0">
      <text>
        <r>
          <rPr>
            <b/>
            <sz val="9"/>
            <rFont val="Tahoma"/>
            <family val="0"/>
          </rPr>
          <t>JUNIOR:</t>
        </r>
        <r>
          <rPr>
            <sz val="9"/>
            <rFont val="Tahoma"/>
            <family val="0"/>
          </rPr>
          <t xml:space="preserve">
actualizacion del estudio</t>
        </r>
      </text>
    </comment>
  </commentList>
</comments>
</file>

<file path=xl/comments6.xml><?xml version="1.0" encoding="utf-8"?>
<comments xmlns="http://schemas.openxmlformats.org/spreadsheetml/2006/main">
  <authors>
    <author>Valued Acer Customer</author>
    <author>user</author>
  </authors>
  <commentList>
    <comment ref="D102" authorId="0">
      <text>
        <r>
          <rPr>
            <b/>
            <sz val="8"/>
            <rFont val="Tahoma"/>
            <family val="2"/>
          </rPr>
          <t>Valued Acer Customer:</t>
        </r>
        <r>
          <rPr>
            <sz val="8"/>
            <rFont val="Tahoma"/>
            <family val="2"/>
          </rPr>
          <t xml:space="preserve">
PREGUNTAR RURAL Y LINEA BASE</t>
        </r>
      </text>
    </comment>
    <comment ref="H102" authorId="0">
      <text>
        <r>
          <rPr>
            <b/>
            <sz val="8"/>
            <rFont val="Tahoma"/>
            <family val="2"/>
          </rPr>
          <t>Valued Acer Customer:</t>
        </r>
        <r>
          <rPr>
            <sz val="8"/>
            <rFont val="Tahoma"/>
            <family val="2"/>
          </rPr>
          <t xml:space="preserve">
PREGUNTAR RURAL Y LINEA BASE</t>
        </r>
      </text>
    </comment>
    <comment ref="I123" authorId="1">
      <text>
        <r>
          <rPr>
            <b/>
            <sz val="8"/>
            <rFont val="Tahoma"/>
            <family val="2"/>
          </rPr>
          <t>user:</t>
        </r>
        <r>
          <rPr>
            <sz val="8"/>
            <rFont val="Tahoma"/>
            <family val="2"/>
          </rPr>
          <t xml:space="preserve">
PROGRAMA  MUNICIPAL AGROPECUARIO ECOLOGICO</t>
        </r>
      </text>
    </comment>
    <comment ref="D121" authorId="0">
      <text>
        <r>
          <rPr>
            <b/>
            <sz val="8"/>
            <rFont val="Tahoma"/>
            <family val="2"/>
          </rPr>
          <t>Valued Acer Customer:</t>
        </r>
        <r>
          <rPr>
            <sz val="8"/>
            <rFont val="Tahoma"/>
            <family val="2"/>
          </rPr>
          <t xml:space="preserve">
PREGUNTAR RURAL Y LINEA BASE</t>
        </r>
      </text>
    </comment>
  </commentList>
</comments>
</file>

<file path=xl/comments7.xml><?xml version="1.0" encoding="utf-8"?>
<comments xmlns="http://schemas.openxmlformats.org/spreadsheetml/2006/main">
  <authors>
    <author>Valued Acer Customer</author>
    <author>user</author>
  </authors>
  <commentList>
    <comment ref="C98" authorId="0">
      <text>
        <r>
          <rPr>
            <b/>
            <sz val="8"/>
            <rFont val="Tahoma"/>
            <family val="2"/>
          </rPr>
          <t>Valued Acer Customer:</t>
        </r>
        <r>
          <rPr>
            <sz val="8"/>
            <rFont val="Tahoma"/>
            <family val="2"/>
          </rPr>
          <t xml:space="preserve">
PREGUNTAR RURAL Y LINEA BASE</t>
        </r>
      </text>
    </comment>
    <comment ref="J98" authorId="0">
      <text>
        <r>
          <rPr>
            <b/>
            <sz val="8"/>
            <rFont val="Tahoma"/>
            <family val="2"/>
          </rPr>
          <t>Valued Acer Customer:</t>
        </r>
        <r>
          <rPr>
            <sz val="8"/>
            <rFont val="Tahoma"/>
            <family val="2"/>
          </rPr>
          <t xml:space="preserve">
PREGUNTAR RURAL Y LINEA BASE</t>
        </r>
      </text>
    </comment>
    <comment ref="C117" authorId="0">
      <text>
        <r>
          <rPr>
            <b/>
            <sz val="8"/>
            <rFont val="Tahoma"/>
            <family val="2"/>
          </rPr>
          <t>Valued Acer Customer:</t>
        </r>
        <r>
          <rPr>
            <sz val="8"/>
            <rFont val="Tahoma"/>
            <family val="2"/>
          </rPr>
          <t xml:space="preserve">
PREGUNTAR RURAL Y LINEA BASE</t>
        </r>
      </text>
    </comment>
    <comment ref="K119" authorId="1">
      <text>
        <r>
          <rPr>
            <b/>
            <sz val="8"/>
            <rFont val="Tahoma"/>
            <family val="2"/>
          </rPr>
          <t>user:</t>
        </r>
        <r>
          <rPr>
            <sz val="8"/>
            <rFont val="Tahoma"/>
            <family val="2"/>
          </rPr>
          <t xml:space="preserve">
PROGRAMA  MUNICIPAL AGROPECUARIO ECOLOGICO</t>
        </r>
      </text>
    </comment>
  </commentList>
</comments>
</file>

<file path=xl/comments8.xml><?xml version="1.0" encoding="utf-8"?>
<comments xmlns="http://schemas.openxmlformats.org/spreadsheetml/2006/main">
  <authors>
    <author>ANGELICA</author>
  </authors>
  <commentList>
    <comment ref="H193" authorId="0">
      <text>
        <r>
          <rPr>
            <b/>
            <sz val="9"/>
            <rFont val="Tahoma"/>
            <family val="0"/>
          </rPr>
          <t>ANGELICA:</t>
        </r>
        <r>
          <rPr>
            <sz val="9"/>
            <rFont val="Tahoma"/>
            <family val="0"/>
          </rPr>
          <t xml:space="preserve">
LA META DE RESULTADO QUEDO ANUAL LO QUE QUIERE DECIR QUE SERIAN EN EL CUATRENIO POR 600
</t>
        </r>
      </text>
    </comment>
  </commentList>
</comments>
</file>

<file path=xl/comments9.xml><?xml version="1.0" encoding="utf-8"?>
<comments xmlns="http://schemas.openxmlformats.org/spreadsheetml/2006/main">
  <authors>
    <author>ANGELICA</author>
  </authors>
  <commentList>
    <comment ref="J192" authorId="0">
      <text>
        <r>
          <rPr>
            <b/>
            <sz val="9"/>
            <rFont val="Tahoma"/>
            <family val="0"/>
          </rPr>
          <t>ANGELICA:</t>
        </r>
        <r>
          <rPr>
            <sz val="9"/>
            <rFont val="Tahoma"/>
            <family val="0"/>
          </rPr>
          <t xml:space="preserve">
LA META DE RESULTADO QUEDO ANUAL LO QUE QUIERE DECIR QUE SERIAN EN EL CUATRENIO POR 600
</t>
        </r>
      </text>
    </comment>
  </commentList>
</comments>
</file>

<file path=xl/sharedStrings.xml><?xml version="1.0" encoding="utf-8"?>
<sst xmlns="http://schemas.openxmlformats.org/spreadsheetml/2006/main" count="7088" uniqueCount="3128">
  <si>
    <t>Seminarios sobre experiencias exitosas</t>
  </si>
  <si>
    <t>30% - AÑO 2009</t>
  </si>
  <si>
    <t>80 Docentes formados en Modelos Pedagógicos</t>
  </si>
  <si>
    <t>Docentes formados en Modelos Pedagógicos</t>
  </si>
  <si>
    <t>41% - AÑO 2009</t>
  </si>
  <si>
    <t>400 Jóvenes capacitados en investigación</t>
  </si>
  <si>
    <t>Jóvenes capacitados en investigación</t>
  </si>
  <si>
    <t>ASEGURAMIENTO</t>
  </si>
  <si>
    <t>% de niños, niñas adolescentes y jóvenes  atendidos</t>
  </si>
  <si>
    <t>Caracterización y Acompañamiento al 100% de las familias de los jóvenes infractores.</t>
  </si>
  <si>
    <t>Nº de familias acompañadas</t>
  </si>
  <si>
    <t>Implementación  y puesta en funcionamiento de un (1) observatorio municipal de Derechos Humanos.</t>
  </si>
  <si>
    <t>Nº observatorios implementados</t>
  </si>
  <si>
    <t>SECRETARIA ADMNISTRATIVA</t>
  </si>
  <si>
    <t>100 DE REUNIONES REALIZADAS ( 4)</t>
  </si>
  <si>
    <t>PORCENTAJE DE REUNIONES REALIZADAS</t>
  </si>
  <si>
    <t>REALIZAR 16 REUNIONES</t>
  </si>
  <si>
    <t>Realizar el 100% de las visitas programadas.</t>
  </si>
  <si>
    <t>TIPO  (I:incremento; M: mantenimiento; R: Reduccion)</t>
  </si>
  <si>
    <t>R</t>
  </si>
  <si>
    <t>TIPO  (I:incremento; M: mantenimiento; R: Reducción)</t>
  </si>
  <si>
    <t>APOYO JURIDICO JURIDICO POR PARTE DE LA SECRETARIA DE SALUD  A LOS PROCESOS DEL ASEGURAMIENTO</t>
  </si>
  <si>
    <t>ALCANZAR 100% SEGUIMIENTO A 40 AGREMIACIONES EMPRESARIALES</t>
  </si>
  <si>
    <t>GESTIONAR CON TALENTO HUMANO ANTE SECRETARIA ADMINISTRATIVA  PARA REALIZAR VISITAS A EMPRESAS Y ORGANIZA}R UNA MESA TEMATICA CON LOS ACTORES DEL SGSSS Y OTRAS ENTIDADES</t>
  </si>
  <si>
    <t>REALIZAR SENCIBILIZACION A 30 AGREMIACIONES EMPRESARIALES E ECONOMIA NO FORMAL</t>
  </si>
  <si>
    <t>ELABORACION DE ESTRATEGIAS DE SENSIBILIZACIÓN EN EVASIÓN Y ELUSIÓN CON 30 AGREMIACIONES</t>
  </si>
  <si>
    <t>191725 (77.88%)</t>
  </si>
  <si>
    <t>74,62%(5)</t>
  </si>
  <si>
    <t>0,7788 (191725)</t>
  </si>
  <si>
    <t>100% (2)</t>
  </si>
  <si>
    <t>Secretario de Salud Municipal y Direccion de Aseguramiento</t>
  </si>
  <si>
    <t>ALCANZAR UNA COBERTURA DEL 100% DE LA AFILIACION AL REGIMEN SUBSIDIADO EN EL 2015</t>
  </si>
  <si>
    <t xml:space="preserve">REALIZAR 4 JORNADAS SOCIALES DE SALUD ORIENTADAS A LA POBLACION VULNERABLE </t>
  </si>
  <si>
    <t>NUMERO DE JORNADAS REALIZADAS</t>
  </si>
  <si>
    <t xml:space="preserve"> REALIZAR 20 VISITAS PARA EL MONITOREO DE LA PLATAFORMA DE REFERENCIA Y CONTRAREFERENCIA DE LA SECRETARIA DE SALUD DEPARTAMENTAL Y APOYO LOGISTICO DE TRANSPORTE PARA LA REALIZACION DE LAS MISMAS</t>
  </si>
  <si>
    <t xml:space="preserve"> REALIZAR 20 VISITAS PARA EL MONITOREO DE LA PLATAFORMA DE REFERENCIA Y CONTRAREFERENCIA DE LA SECRETARIA DE SALUD DEPARTAMENTAL</t>
  </si>
  <si>
    <t xml:space="preserve">ATENCION Y ORIENTACION AL USUARIO  EN TEMAS RELACIONADOS CON LA ATENCION Y PRESTACION DE SERVICIOS DE SALUD SUMINISTRANDO APOYO LOGISTICO ADQUIRIENDO VIDEO BEAM Y EQUIPO DE SONIDO CON AMPLIFICACION </t>
  </si>
  <si>
    <t xml:space="preserve">ATENCION Y ORIENTACION AL USUARIO  EN TEMAS RELACIONADOS CON LA ATENCION Y PRESTACION DE SERVICIOS DE SALUD </t>
  </si>
  <si>
    <t>ACCIONES DE VIGILANCIA  CONTROL EN LA PRESTACION DEL SERVICIO DIRIGDAS A LA RED PUBLICA Y PRIVADA SUMINISTRANDO APOYO LOGISTICO CONSISTENTE EN UN COMPUTADOR PORTATIL,  E IMPRESORA PARA REALIZACION DE LAS MISMAS</t>
  </si>
  <si>
    <t>ACCIONES DE VIGILANCIA  CONTROL EN LA PRESTACION DEL SERVICIO DIRIGDAS A LA RED PUBLICA Y PRIVADA</t>
  </si>
  <si>
    <t>CREAR UN CALL CENTER DE ATENCION 24 HORAS PARA CIUDADANIA</t>
  </si>
  <si>
    <t xml:space="preserve">CREACION CALL CENTER </t>
  </si>
  <si>
    <t xml:space="preserve"> LA SECRETARIA DE SALUD MUNICIPAL SOLO HACE SEGUIMIENTO A LAS PQR NO TIENE CONFORMADO UN CALL CENTER</t>
  </si>
  <si>
    <t>100% SEGUIMIENTO A LAS PQR</t>
  </si>
  <si>
    <t>Implementación del sistema georeferenciado para el seguimiento del comportamiento delictivo</t>
  </si>
  <si>
    <t>Sistema de seguimiento georeferenciado implementado</t>
  </si>
  <si>
    <t>Adelantar un proceso de formación integral de 25 talleres en materia de seguridad ciudadana.</t>
  </si>
  <si>
    <t>N° de talleres realizados</t>
  </si>
  <si>
    <t>Implementar la escuela de seguridad ciudadana</t>
  </si>
  <si>
    <t>Escuela de seguridad ciudadana implementada</t>
  </si>
  <si>
    <t xml:space="preserve">Formar 2000 ciudadanos en materia de seguridad </t>
  </si>
  <si>
    <t>Ciudadanos capacitados</t>
  </si>
  <si>
    <t>Estructuración del sistema de integración tecnológica para la prevención,  control y represión del delito.</t>
  </si>
  <si>
    <t>orientar y capacitar a 10 organizaciones juveniles en su proceso de formalización</t>
  </si>
  <si>
    <t>N° de organizaciones formalizadas</t>
  </si>
  <si>
    <t>Capacitar a  50 jóvenes líderes de minorías étnicas en procesos de asociatividad e incidencias sociopolíticas</t>
  </si>
  <si>
    <t>Nº de jóvenes de las minorías étnicas capacitados.</t>
  </si>
  <si>
    <t>Beneficiar a 1200 NNA, con el programa de erradicación al trabajo Infantil Urbano y Rural.</t>
  </si>
  <si>
    <t>N° DE NNA BENEFICIADOS</t>
  </si>
  <si>
    <t>BENEFICIAR A 1200 NNA EN EL PROGRAMA DE ERRADICACION DEL TRABAJO INFANTIL</t>
  </si>
  <si>
    <t>12.000 NNA atendidos a través de actividades lúdico pedagógicas en la conmemoración a la erradicación del trabajo infantil,  donde el 30% pertenezcan a la estrategia red unidos.</t>
  </si>
  <si>
    <t>N° DE NIÑOS, NIÑAS BENEFICIADOS</t>
  </si>
  <si>
    <t>8 CONMEMORACIONES EN EL MARCO DEL PROGRAMA A LA ERRADICACION AL TRABAJO INFANTIL URBANO Y RURAL</t>
  </si>
  <si>
    <t>N° DE CONMEMORACIONES</t>
  </si>
  <si>
    <t>Beneficiar con 8 ludotecas itinerantes a 2.500 niños y niñas   de 0 a 5 años,  de las diferentes comunas y zona rural  donde el 30% pertenezcan a la estrategia red unidos</t>
  </si>
  <si>
    <t>N° ludotecas itinerantes  creadas e implementadas  Nº de NN beneficiados</t>
  </si>
  <si>
    <t>8 LUDOTECAS ITINERANTES PARA NIÑOS Y NIÑAS DE 0 A5 AÑOS DE LAS IDFERENTES COMUNAS Y ZONA RURAL.</t>
  </si>
  <si>
    <t>N° DE LUDOTECAS</t>
  </si>
  <si>
    <t>Atender a 60.000 NNA en eventos especiales y celebraciones en el marco del mes de los niños - abril, octubre - diciembre,  donde el 30% pertenezcan a la estrategia Red Unidos.</t>
  </si>
  <si>
    <t>Nº de NNA beneficiados</t>
  </si>
  <si>
    <t>2500 familias con vivienda nueva</t>
  </si>
  <si>
    <t>Socializacion de los programas de vivienda ante el Consejo municipal de Ibague</t>
  </si>
  <si>
    <t>No. Socializaciones realizadas</t>
  </si>
  <si>
    <t xml:space="preserve">300 familias beneficiadas con mejoramientos </t>
  </si>
  <si>
    <t>300 Mejoramientos construidos</t>
  </si>
  <si>
    <t>No. de Mejoramientos construidos</t>
  </si>
  <si>
    <t>Mejoramiento de 600 viviendas rurales</t>
  </si>
  <si>
    <t>Construccion de 400 viviendas nuevas en el area rural</t>
  </si>
  <si>
    <t>No. Viviendas mejoradas rurales</t>
  </si>
  <si>
    <t>EMERGENCIAS Y DESASTRES EN SALUD</t>
  </si>
  <si>
    <t>SEGUIMIENTO AL 100% DE LOS PLANES DE CONTINGENCIA</t>
  </si>
  <si>
    <t>PORCENTAJE DE SEGUIMIENTOS REALIZADOS</t>
  </si>
  <si>
    <t xml:space="preserve">SUMINISTRO DE APOYO LOGISTICO PARA LA REALIZACION DEL SEGUIMIE NTO EN EL CUMPLIMIENTO DE LA  NORMATIVIDAD  RELACIONADA CON LA PRESTACIÓN DE LOS SERVICIOS DE SALUD EN LAS I.P.S CONSISTENTE EN ADQUISICION DE CAMARA FOTOGRAFICA DE ALTA RESOLUCION Y CHALECOS </t>
  </si>
  <si>
    <t>REALIZAR EL SEGUIMIE NTO EN EL CUMPLIMIENTO DE LA  NORMATIVIDAD  RELACIONADA CON LA PRESTACIÓN DE LOS SERVICIOS DE SALUD EN LAS I.P.S</t>
  </si>
  <si>
    <t xml:space="preserve">INFORMES DE AUDITORIA DE CALIDAD Y ACTAS DE ASISTENCIA TECNICA EN LAS INSTTUCIONES PRESTADORAS DE LA RED PUBLICA DE PRIMER NIVEL Y ASESORIA - ASISTENCIA TECNICA A LA RED PRIVADA Y GESTIONAR TALENTO HUMANO </t>
  </si>
  <si>
    <t>INFORMES DE AUDITORIA DE CALIDAD Y ACTAS DE ASISTENCIA TECNICA EN LAS INSTTUCIONES PRESTADORAS DE LA RED PUBLICA DE PRIMER NIVEL Y ASESORIA - ASISTENCIA TECNICA A LA RED PRIVADA</t>
  </si>
  <si>
    <t>TRAMITE A  PQR  RELACIONADAS CON LA PRESTACIÓN DEL SERVICIO DE SALUD  DEL MUNICIPIO</t>
  </si>
  <si>
    <t>GESTIONAR TALENTO HUMANO PARA REALIZAR LEVANTAMIENTO DE ACTAS DE APERTURA DE  BUZONES DE SUGERENCIAS  EN LOS SERVICIOS DE URGENCIAS DE LAS  E.S.E DE PRIMER NIVEL DE ATENCION</t>
  </si>
  <si>
    <t>REALIZAR MESAS TEMATICAS CON LAS EPS,IPS PUBLICAS Y PRIVADAS Y CON PARTICIPACION  DE DIFERENTES ACTORES.</t>
  </si>
  <si>
    <t>CREACION DE UN GRUPO DE REACCION INMEDIATA DE ATENCION 24 HORAS A LA CIUDADANIA</t>
  </si>
  <si>
    <t>GRUPO DE REACCION INMEDIATA GRI</t>
  </si>
  <si>
    <t>GESTIONAR PROYECTO PARA ATENCION PRIMARIA MEDICA SUFICIENTE,OPORTUNA, PERMANENTE, HUMANA Y DE CALIDAD A LA POBLACION RURAL DEL MUNICIPIO DE IBAGUE APLICANDO LA TELEMEDICINA Y HASTA ALCANZAR UNA COBERTURA TOTAL URBANA Y RURAL</t>
  </si>
  <si>
    <t>COBERTURA DE LA TELEMEDICINA EN EL MUNICIPO DE IBAGUE</t>
  </si>
  <si>
    <t xml:space="preserve">GESTIONAR ANTE SECRETARIA ADMINISTRATIVA CAPACITACION RECURSO HUMANO FUNCIONARIOS EJE DE PRESTACION DE SERVICIOS </t>
  </si>
  <si>
    <t>LOGRAR UN 100% EN LA SOSTENIBILIDAD FINANCIERA EN LAS IPS PUBLICAS</t>
  </si>
  <si>
    <t>PORCENTAJE DE CUENTAS CANCELADAS A LAS IPS PUBLICAS</t>
  </si>
  <si>
    <t>GESTIONAR LA REALIZACION DE ESTUDIO PARA UNIFICACION O FUSION DE LAS IPS PUBLICAS DEL MUNICIPIO SEGÚN NORMATIDAD, DEFINIENDO LA MODERNIZACION DE LA RED Y MODELO DE ATENCION.</t>
  </si>
  <si>
    <t xml:space="preserve">RESULTADO DEL ESTUDIO </t>
  </si>
  <si>
    <t>SUSCRIPCION DE CONTRATOS CON LAS E.S.E. DE PRIMER NIVEL DE ATENCION PARA GARANTIZAR PRESTACION DE LOS SERVICIOS DE SALUD A LA POBLACION NO ASEGURADA DEL MUNICIPIO</t>
  </si>
  <si>
    <t>100% (7)</t>
  </si>
  <si>
    <t>Salud pública -salud infantil</t>
  </si>
  <si>
    <t>El numero de defunciones en menores de 1 año no superara 16,68 por cada 1000NV</t>
  </si>
  <si>
    <t>Tasa de mortalidad en Menores de 1año</t>
  </si>
  <si>
    <t xml:space="preserve"> 19,44 X 1000 NV PROMEDIO DANE 2005-2009</t>
  </si>
  <si>
    <t>Coordinación interinstitucional trimestral  de acciones en infancia</t>
  </si>
  <si>
    <t>N° de comités de infancia realizados</t>
  </si>
  <si>
    <t>El numero de defunciones en niños y niñas entre 1 a 4 años no superara 2,8 por cada 100.000 menores de 1 a 4 años.</t>
  </si>
  <si>
    <t>Tasa de mortalidad en Menores de 5 años</t>
  </si>
  <si>
    <t>240.9 X 100.000 MENORES DE 5 AÑOS PROMEDIO DANE 2005-2009</t>
  </si>
  <si>
    <t xml:space="preserve"> 25 IPS del municipio implementando la estrategia  AIEPI  y  cumpliendo la norma técnica para la detección temprana de alteraciones del crecimiento y desarrollo en el menor de 10 años </t>
  </si>
  <si>
    <t>No. De instituciones prestadoras de servicios de salud visitadas</t>
  </si>
  <si>
    <t>No superar 2 muertes por cada 1000 menores de 5 años</t>
  </si>
  <si>
    <t>Tasa de mortalidad por EDA en menores de 5 años.</t>
  </si>
  <si>
    <t>0,12 x 1000 menores de 5 años promedio DANE 2005-2009</t>
  </si>
  <si>
    <t>Fortalecimiento  de 250  agentes comunitarios en salud establecidos</t>
  </si>
  <si>
    <t>No. De agentes comunitarios en salud establecidos</t>
  </si>
  <si>
    <t>Suscribir un Convenio con una institución educativa para articular los programas  Académicos de la EFAC</t>
  </si>
  <si>
    <t>Gestión para la obtención de los registros académicos de los diferentes programas ofertados ante la secretaria de educación</t>
  </si>
  <si>
    <t>Registros academicos autorizados</t>
  </si>
  <si>
    <t>Realizar dos dotaciones de equipos y Materiales  para la EFAC</t>
  </si>
  <si>
    <t>Número de Dotaciones de equipos y Materiales  para la EFAC realizadas</t>
  </si>
  <si>
    <t xml:space="preserve">Contratar 6 docentes al año para la operatividad de los programas </t>
  </si>
  <si>
    <t>Número de Docentes Contratados</t>
  </si>
  <si>
    <t>No superar 7 muertes por cada 1000 menores de 5 años</t>
  </si>
  <si>
    <t>Tasa de mortalidad por ERA en menores de 5 años.</t>
  </si>
  <si>
    <t>0,28 por 1000 menores de 5 años promedio DANE 2005-2009</t>
  </si>
  <si>
    <t>No. De instituciones intervenidas</t>
  </si>
  <si>
    <t>La cobertura de inmunización contra el BCG-antituberculoso en niños, niñas menores de un año no será inferior al 95%</t>
  </si>
  <si>
    <t>Cobertura de inmunización en BCG eb niños, niñas menores de 1año.</t>
  </si>
  <si>
    <t xml:space="preserve">Vigilancia  y control al 100% de las (30) IPS vacunadoras del municipio </t>
  </si>
  <si>
    <t>Porcentaje de IPS vacunadoras visitadas</t>
  </si>
  <si>
    <t>La cobertura de inmunización contra el Polio en niños, niñas menores de un año no será inferior al 95%</t>
  </si>
  <si>
    <t>Cobertura de inmunización contra el POLIO en  niños, niñas menores de 1año.</t>
  </si>
  <si>
    <t xml:space="preserve"> 100% de las jornadas anuales de vacunación desarrolladas</t>
  </si>
  <si>
    <t>No. De jornadas de vacunación realizadas</t>
  </si>
  <si>
    <t>La cobertura de inmunización contra el DPT (Difteria, tétanos, Tosferina) en niños, niñas menores de un año no será inferior al 95%</t>
  </si>
  <si>
    <t>Cobertura de inmunización contra el DPT en  niños, niñas menores de 1año.</t>
  </si>
  <si>
    <t>La cobertura de inmunización con las tres dosis de hepatitis B en niños y niñas menores de 1 años no será inferior al 95%</t>
  </si>
  <si>
    <t>Cobertura de inmunización contra la Hepatitis B en  niños, niñas menores de 1año.</t>
  </si>
  <si>
    <t>7 jornadas de intensificación en vacunación implementadas</t>
  </si>
  <si>
    <t>No. De jornadas de intensificación realizadas</t>
  </si>
  <si>
    <t>La cobertura de inmunización con las dos dosis de Rotavirus en niños y niñas menores de 1 año no será inferior al 95%</t>
  </si>
  <si>
    <t>Cobertura de inmunización contra el Rotavirus en  niños, niñas menores de 1año.</t>
  </si>
  <si>
    <t>La cobertura de inmunización con Influenza en niños y niñas menores de 1 año no será inferior al 95%</t>
  </si>
  <si>
    <t>Cobertura de inmunización contra la Influenza en  niños, niñas menores de 1año.</t>
  </si>
  <si>
    <t>12 evaluaciones de cobertura en vacunación  (ECV) en el municipio</t>
  </si>
  <si>
    <t>No. De ECV desarrolladas</t>
  </si>
  <si>
    <t>La cobertura de inmunización con las tres dosis de Neumococo en niños y niñas  de 1 año no será inferior al 95%</t>
  </si>
  <si>
    <t>16 SESIONES ORDINARIAS POR PARTE DEL CONSEJO COMUNITARIO DE MUJERES</t>
  </si>
  <si>
    <t>N° DE SESIONES ORDINARIAS</t>
  </si>
  <si>
    <r>
      <t>N° de servidores sensibilizados</t>
    </r>
    <r>
      <rPr>
        <b/>
        <sz val="10"/>
        <rFont val="Arial"/>
        <family val="2"/>
      </rPr>
      <t>.</t>
    </r>
  </si>
  <si>
    <t>EL ADULTO MAYOR ES UN CIUDADANO DE PRIMERA.</t>
  </si>
  <si>
    <t>Beneficiar a 8.000 adultos mayores  con asistencia a los CAIAM,  dotación y suministro de elementos, orientado esfuerzos en el 30% pertenecientes a la estrategia red unidos.</t>
  </si>
  <si>
    <t>Nº de adultos mayores beneficiados</t>
  </si>
  <si>
    <t>TRECE  (13) ENTREGAS DE DOTACION  ALGUNAS CONSIITENTES EN  VITAMINAS, OTRAS EN GAFAS, OTRAS EN PAÑALES, OTRAS EN PROTESIS, OTRAS EN AUDIFONOS, OTRAS EN  SUDADERAS Y OTRAS.</t>
  </si>
  <si>
    <t xml:space="preserve">N° DE ENTREGAS </t>
  </si>
  <si>
    <t>Beneficiar a 260 adultos mayores con el funcionamiento de los  CBA (centros de bienestar del adulto mayor)</t>
  </si>
  <si>
    <t>BENEFICIAR A 7 CBA (Alimentación, alojamiento,  recreación, vestuario)</t>
  </si>
  <si>
    <t>N° DE CBA BENEFICIADOS</t>
  </si>
  <si>
    <t>Beneficiar a 25.200 adultos mayores en la celebración de eventos  especiales (día del adulto mayor,  celebración de la navidad, folclorito, juegos recreo deportivos)  a los adultos mayores pertenecientes a los  CAIAM - CBA - asociaciones.</t>
  </si>
  <si>
    <t>16 eventos(Folclorito,  dia del adulto mayor,  celebracion de la navidad, Juegoa Recreodeportivos) durante los 4 años).</t>
  </si>
  <si>
    <t>N° DE EVENTOS</t>
  </si>
  <si>
    <t xml:space="preserve"> Adecuaciones y mantenimiento  a dos (2) centros de atención al adulto mayor</t>
  </si>
  <si>
    <t>Nº de centros adecuados</t>
  </si>
  <si>
    <t>2 Adecuaciones fisicas, remodelaciones a la infraestructura.</t>
  </si>
  <si>
    <t>N° DE ADECUACIONES</t>
  </si>
  <si>
    <t>Formular e implementar una (1) política pública de envejecimiento y vejez para el municipio de Ibagué.</t>
  </si>
  <si>
    <t>realizar un estudio del impacto del cambio climatico en el municipio de Ibaguè e implementar las recomendaciones del estudio</t>
  </si>
  <si>
    <t>Estudio realizado e implementado</t>
  </si>
  <si>
    <t>un estudio realizado e implementado</t>
  </si>
  <si>
    <t xml:space="preserve">Instalar 30 biofabricas en las veredas del municipio de ibague </t>
  </si>
  <si>
    <t>Programa de implementación de sistemas agro-silvopastoriles</t>
  </si>
  <si>
    <t>Nº de Parcelas Instaladas</t>
  </si>
  <si>
    <t>Setenta (70) Parcelas Agroforestales, silvopastoriles y agrosilvopastoriles instaladas en los cuatro años</t>
  </si>
  <si>
    <t>Realizar un estudio sobre la implementación de especies mayores y menores de caprinos y bovinos del municipio</t>
  </si>
  <si>
    <t>Disminuir  en un  50% las areas con actividades agropecuarios convencionales en el municipio</t>
  </si>
  <si>
    <t xml:space="preserve">Programa de asistencia técnica agropecuaria. </t>
  </si>
  <si>
    <t>Libros, folletos, conferencias,etc.</t>
  </si>
  <si>
    <t>Incentivos para docentes</t>
  </si>
  <si>
    <t>publicaciones</t>
  </si>
  <si>
    <t xml:space="preserve">Publicaciones </t>
  </si>
  <si>
    <t>Maestrías</t>
  </si>
  <si>
    <t>Docentes subsidiados</t>
  </si>
  <si>
    <t>Pasantías</t>
  </si>
  <si>
    <t>Pasantias</t>
  </si>
  <si>
    <t>Comisiones de estudio</t>
  </si>
  <si>
    <t>RECONOCIMIENTO DEL DERECHO A LA EDUCACION</t>
  </si>
  <si>
    <t xml:space="preserve">98% de Cobertura bruta en Educación Básica (Preescolar+Básica primaria + Básica secundaria)  </t>
  </si>
  <si>
    <t>PESO PROG. EN EL LA SEGURIDAD. %</t>
  </si>
  <si>
    <t>I</t>
  </si>
  <si>
    <t>Capacitar al 33% de los pequeños productores del municipio de Ibague en alianzas con el SENA, Universidades, ICA, entre otros.</t>
  </si>
  <si>
    <t>(Nº de  flias de PP capacitados / Nº  total de familias ) x 100</t>
  </si>
  <si>
    <t>Implementación del observatorio del deporte en las trece (13) comunas de Ibagué y mejoramiento de escenarios deportivos en las comunas, en cumplimiento del art.27 acuerdo 018/2011.</t>
  </si>
  <si>
    <t>Infraestructura deportiva para la competitividad nacional e internacional</t>
  </si>
  <si>
    <t>Construcción de 8 nuevos escenarios deportivos</t>
  </si>
  <si>
    <t>N° de escenarios construidos</t>
  </si>
  <si>
    <t>Adecuaciones y mantenimiento  de 155 escenarios deportivos</t>
  </si>
  <si>
    <t>N° de escenarios</t>
  </si>
  <si>
    <t>Recreando mentes juveniles</t>
  </si>
  <si>
    <t>Construir de manera participativa (3) escenarios deportivos extremos que permitan la práctica de disciplinas deportivas alternativas juveniles</t>
  </si>
  <si>
    <t>Nº de escenarios deportivos extremos construidos</t>
  </si>
  <si>
    <t>IMDRI</t>
  </si>
  <si>
    <t>A  S E G U R A M I E N T O</t>
  </si>
  <si>
    <t>NUMERO DE AFILIADOS AL REGIMEN SUBSIDIADO SOBRE POBLACION SISBENIZADA NIVELES I Y II POR 100</t>
  </si>
  <si>
    <t>ALCANZAR EL 98% DE CUBRIMIENTO DE POBLACION SENSIBILIZADA</t>
  </si>
  <si>
    <t>DIFUSIÒN POR MEDIOS MASIVOS DE COMUNICACION  EN MOTIVACIÓN A LA AFILIACIÒN DE LAS PERSONAS CON CAPACIDAD DE PAGO AL RÈG. CONTRIBUTIVO</t>
  </si>
  <si>
    <t xml:space="preserve">DIFUSION A TRAVES DE MEDIOS DE DIVULGACION MASIVA A LOS BENEFICIARIOS DEL REGIMEN SUBSIDIADO </t>
  </si>
  <si>
    <t>PUBLICAR EL 100% LISTADOS DE ELEGIBLES PUBLICADOS</t>
  </si>
  <si>
    <t>DIVULGACIÒN PÀGINA WEB DE LA ALCALDÌA, SRIA. DE SALUD MUNICIPAL Y OTROS SITIOS ESTRATEGICOS DE INFORMACION DE BENEFICIARIOS DE REGIMEN SUBSIDIADO</t>
  </si>
  <si>
    <t>ALCANZAR  EL100% DE LA REALIZACION DE LOS PROCESOS DE LIBRE ELECCIÓN AUTORIZADOS</t>
  </si>
  <si>
    <t xml:space="preserve">PROMOVER LA AFILIACION AL REGIMEN SUBSIDIADO DE LA POBLACION ELEGIBLE CON BRIGADAS INTERINSTITUCIONALES EN LA ZONA URBANA Y RURAL PARA LOGRAR LA COBERTURA UNIVERSAL </t>
  </si>
  <si>
    <t xml:space="preserve">ADMINISTRAR AL 100%  LA BDUA </t>
  </si>
  <si>
    <t>GESTIONAR ANTE LA SECRETARIA ADMINISTRATIVA EL MEJORAMIENTO DE LA CAPACIDAD TECNOLOGICA INSTALADA (SOTFWARE Y HARDWARE) PARA LA ADMNISTRACIÓN DE LA BDUA</t>
  </si>
  <si>
    <t xml:space="preserve">GESTIONAR RECURSO HUMANO PARA ADMINISTRACION DE LA AFILIACION AL REGIMEN SUBSIDIADO DE LA POBLACION NO ASEGURADA ANTE LA SECRETARIA ADMINISTRATIVA DE LA ALCALDIA MUNICIPAL. Y SEGUIMIENTO EN CUANTO A LA PRESTACION DEL SERVICIOS DE LOS USUARIOS DEL REGIMEN </t>
  </si>
  <si>
    <t>REALIZAR AL 100%  INSTRUMENTO JURIDICO</t>
  </si>
  <si>
    <t>ELABORACION DE L INSTRUMENTO JURIDICO PARA GRANTIZAR LA CONTINUIDAD DE LOS AFILIADOS  Y AMPLIACION DE COBERTURA</t>
  </si>
  <si>
    <t>ALCANZAR 100% BASE DE DATOS UNIFICADA Y DEPURADA</t>
  </si>
  <si>
    <t>GESTIONAR ANTE LA SECRETARIA ADMINISTRATIVA EL TALENTO HUMANO IDONEO PARA REALIAR LAS ACTIVIDADES DE APLICACIÓN DE  NOVEDADES DE CONFORMIDAD A LA  LEY 1438 Y RESOLUCION 2321 DE 2011</t>
  </si>
  <si>
    <t>GESTIONAR ANTE LAS UNIVERSIDADES Y OTROS CENTROS EDUCATIVOS  DEL MUNICIPIO  UN CONVENIO PARA PASANTIA CON EL OJETIVO DE DISEÑAR Y DESARROLLAR  LA IMPLEMENTACION DE  UN SISTEMA  DE INFORMACION PARA AFILIADOS, RED SERVICIOS Y EPS Y USUARIOS.</t>
  </si>
  <si>
    <t>GESTIONAR ANTE LA SRIA. DE ADMINISTRATIVA LA IMPLEMENTACIÒN EN LA PÀGINA WEB DE LA ALCADIA DE IBAGUÈ UN LINK DE VERIFICACIÒN DE DERECHOS PARA LOS AFILIADOS AL RÈGIMEN SUBSIDIADO</t>
  </si>
  <si>
    <t>SEGUIMIENTO 100% CUENTAS ENVIADAS  A TESORERIA</t>
  </si>
  <si>
    <t>GESTIONAR EL PROCESO DE CONTRATACION DE LA AUDITORIA EXTERNA REALIZADA POR CONCURSO DE MERITOS EN LOS TERMINOS ESTABLECIDOS SEGÚN LA NORMATIVIDAD VIGENTE Y SEGUIMIENTO A INFORMES DE AUDITORIA.</t>
  </si>
  <si>
    <t>100% CUENTAS ENVIADAS  A TESORERIA</t>
  </si>
  <si>
    <t>ELABORACION  UN INSTRUMENTO PARA SEGUIMIENTO Y CONTROL AL PROCESO PRESUPUESTAL DE GIRO DE RECURSOS OPORTUNAMENTE</t>
  </si>
  <si>
    <t>ALCANZAR EL 100% DE APOYO JURIDICO</t>
  </si>
  <si>
    <t>Fomento, promoción y acceso a proyectos productivos en la zona rural</t>
  </si>
  <si>
    <t>No. De proyectos formulados en la zona rural.</t>
  </si>
  <si>
    <t>10  proyectos productivos formulados para la zona rural</t>
  </si>
  <si>
    <t xml:space="preserve">Agro centro </t>
  </si>
  <si>
    <t>Implementaciòn del Agrocentro</t>
  </si>
  <si>
    <t>Agrocento Implementado</t>
  </si>
  <si>
    <t>Central de abastos creada</t>
  </si>
  <si>
    <t>Construcción de un central de abastos.</t>
  </si>
  <si>
    <t>beneficiar a 148.000 de la zona Urbana y Rural a traves de actividades Fisicas ludicas, recreativas y deportivas "Muevete Ibague"</t>
  </si>
  <si>
    <t>(Nº de  flias de PP asistidos / Nº  total de familias ) x 100</t>
  </si>
  <si>
    <t xml:space="preserve">1500 familias de pequeños productores asistidos técnicamente y capacitadosen el periodo de gobierno </t>
  </si>
  <si>
    <t>SEGURIDAD EDUCATIVA Y DE LA SALUD</t>
  </si>
  <si>
    <t>TOTAL SEGURIDAD PERSONAL Y DE LA COMUNIDAD</t>
  </si>
  <si>
    <t xml:space="preserve"> 19,44 X 1000 NV PROMEDIO DANE CERTIFICADO 2005-2009                                                            10,7 X 1000 NV PROMEDIO DANE NO AJUSTADO 2005-2009                                         </t>
  </si>
  <si>
    <t>Porcentaje de nacidos vivos con cuatro o más controles prenatales efectivos promedio 2005-2009</t>
  </si>
  <si>
    <r>
      <rPr>
        <sz val="12"/>
        <rFont val="Calibri"/>
        <family val="0"/>
      </rPr>
      <t xml:space="preserve"> %                                                                                                          Tasa de curación de Tuberculosis pulmonar baciloscopia positiva </t>
    </r>
  </si>
  <si>
    <t xml:space="preserve">4 de IPS con  modelo de APS, en salud mental implementado.
</t>
  </si>
  <si>
    <t>La tasa de letalidad por dengue  no superará el 2%</t>
  </si>
  <si>
    <t xml:space="preserve">&lt;0,067x 10.000 hab. ANUAL </t>
  </si>
  <si>
    <r>
      <t xml:space="preserve"> </t>
    </r>
    <r>
      <rPr>
        <sz val="12"/>
        <rFont val="Arial"/>
        <family val="2"/>
      </rPr>
      <t>Porcentaje de UPGD caracterizadas.</t>
    </r>
  </si>
  <si>
    <r>
      <t xml:space="preserve">   </t>
    </r>
    <r>
      <rPr>
        <b/>
        <sz val="12"/>
        <rFont val="Calibri"/>
        <family val="0"/>
      </rPr>
      <t>Tasa de mortalidad en Menores de 5 años</t>
    </r>
  </si>
  <si>
    <r>
      <rPr>
        <sz val="12"/>
        <rFont val="Arial"/>
        <family val="2"/>
      </rPr>
      <t>Porcentaje de muestras tomadas para análisis.</t>
    </r>
    <r>
      <rPr>
        <b/>
        <sz val="12"/>
        <rFont val="Arial"/>
        <family val="2"/>
      </rPr>
      <t xml:space="preserve"> </t>
    </r>
  </si>
  <si>
    <t>TOTAL SEGURIDAD EDUCATIVA Y DE LA SALUD</t>
  </si>
  <si>
    <t xml:space="preserve">REDUCIR LA DESNUTRICION CRONICA  EN NIÑOS Y NIÑAS MENORES DE 5 AÑOS A 8%  </t>
  </si>
  <si>
    <t>PORCENTAJE DE NIÑOS, NIÑAS MENORES DE 5 AÑOS QUE PRESENTAN BAJA TALLA PARA LA EDAD</t>
  </si>
  <si>
    <t>10.7% ENSIN 2010</t>
  </si>
  <si>
    <t>32 seguimientos al cumplimiento de la política pública de seguridad alimentaria</t>
  </si>
  <si>
    <t>SEGUIMIENTO AL CUMPLIMIENTO DE LA POLITICA PUBLICA DE SEGURIDAD ALIMENTARIA</t>
  </si>
  <si>
    <t xml:space="preserve">REDUCIR LA DESNUTRICION CRONICA  EN NIÑOS Y NIÑAS MAYORES DE 5 AÑOS A 9% </t>
  </si>
  <si>
    <t>PORCENTAJE DE NIÑOS, NIÑAS MAYORES DE 5 AÑOS QUE PRESENTAN BAJA TALLA PARA LA EDAD</t>
  </si>
  <si>
    <t xml:space="preserve"> 9.9% ENSIN 2010</t>
  </si>
  <si>
    <t xml:space="preserve">DISMINUIR LA PREVALENCIA DE EXCESO DE PESO A 23 % EN NIÑOS, NIÑAS MENORES DE 5 AÑOS Y A 17% EN MAYORES DE 5 AÑOS. </t>
  </si>
  <si>
    <t>PORCENTAJE DE NIÑOS, NIÑAS MENORES DE 5 AÑOS QUE PRESENTAN EXCESO DE PESO. PORCENTAJE DE NINOS Y NIÑAS MAYORES DE 5 AÑOS QUE PRESENTAN EXCESO DE PESO.</t>
  </si>
  <si>
    <t xml:space="preserve"> 25.2% EN MENORES DE 5 AÑOS Y 18.5% EN MAYORES DE 5 AÑOS ENSIN 2010</t>
  </si>
  <si>
    <t>912 visitas de seguimiento a tiendas escolares</t>
  </si>
  <si>
    <t>SEGUIMIENTO A TIENDAS ESCOLARES</t>
  </si>
  <si>
    <t xml:space="preserve">REDUCIR EL PORCENTAJE DE NIÑOS Y NIÑAS CON BAJO PESO AL NACER A 6% </t>
  </si>
  <si>
    <t>PORCENTAJE DE NIÑOS Y NIÑAS CON BAJO PESO AL NACER</t>
  </si>
  <si>
    <t xml:space="preserve"> 7.7% DANE 2010</t>
  </si>
  <si>
    <t>39 visitas de seguimiento a la estrategia IAMI</t>
  </si>
  <si>
    <t>SEGUIMIENTO A LA ESTRATEGIA IAMI</t>
  </si>
  <si>
    <t xml:space="preserve">INCREMENTAR EN UN MES LA DURACION MEDIA DE LA LACTANCIA MATERNA EXCLUSIVA HASTA LOS SEIS MESES. </t>
  </si>
  <si>
    <t>MEDIANA DE DURACION DE LA LACTANCIA MATERNA EXCLUSIVA EN MESES</t>
  </si>
  <si>
    <t>3.3 MESES ENSIN 2010</t>
  </si>
  <si>
    <t>60 seguimientos al cumplimiento de las actividades de promoción de la lactancia materna a IPS</t>
  </si>
  <si>
    <t>SEGUIMIENTO AL CUMPLIMIENTO DE LAS ACTIVIDADES DE PROMOCIÓN DE LA LACTANCIA MATERNA A IPS</t>
  </si>
  <si>
    <t>Salud pública -zoonosis y vectores</t>
  </si>
  <si>
    <t xml:space="preserve">No superar  los 3 casos por  año </t>
  </si>
  <si>
    <t>Mortalidad por Dengue ODM -45</t>
  </si>
  <si>
    <t>3 Casos por año</t>
  </si>
  <si>
    <t>3 año</t>
  </si>
  <si>
    <t xml:space="preserve"> 11000 ESTANQUES  CON APLICACIÓN DE CONTROL  BIOLOGICO   </t>
  </si>
  <si>
    <t>No.  DE ESTANQUES CON APLIACION DE CONTROL BIOLOGICO</t>
  </si>
  <si>
    <t xml:space="preserve">  42000 VIVIENDAS CON APLICACIÓN DE  ADULTICIDAS, ATRIPLE VUELTA  </t>
  </si>
  <si>
    <t>No. DE VIVIENDAS CON APLICACIÓN DE ADULTICIDAS A TRIPLE VUELTA</t>
  </si>
  <si>
    <t xml:space="preserve">  180 JORNADAS DE RECOLECCION DE INSERVIBLES</t>
  </si>
  <si>
    <t>Nro de Jornadas de recoleccion de inservibles</t>
  </si>
  <si>
    <r>
      <t xml:space="preserve">La tasa de letalidad por dengue  no superará el </t>
    </r>
    <r>
      <rPr>
        <sz val="11"/>
        <color indexed="8"/>
        <rFont val="Arial"/>
        <family val="2"/>
      </rPr>
      <t>2%</t>
    </r>
  </si>
  <si>
    <t>Tasa de letalidad por Dengue ODM-46</t>
  </si>
  <si>
    <t>Tasa de letalidad por dengue &lt;2%</t>
  </si>
  <si>
    <t>&lt;2% x10.000 de casos de letalidad por dengue.</t>
  </si>
  <si>
    <t>10000 INSPECCIONES DOMICILIARIAS</t>
  </si>
  <si>
    <t xml:space="preserve">
No. Inspecciones domiciliarias,Control biologico,.
</t>
  </si>
  <si>
    <t xml:space="preserve">12924 VIVIENDAS CON TOMA  DE ÍNDICES AEDICOS  </t>
  </si>
  <si>
    <t xml:space="preserve">No. VIVIENDAS CON TOMA  DE ÍNDICES AEDICOS  </t>
  </si>
  <si>
    <t>CONTROL SOCIAL ESCOLAR EN 60 ESTABLECIMEINTOS EDUCATIVOS</t>
  </si>
  <si>
    <t>No.establecimientos con control social</t>
  </si>
  <si>
    <t>12 Capacitaciones  a personal EPS,Docentes sobre normas para prevencion y control enfermedades transmitidas por vectores</t>
  </si>
  <si>
    <t>No. Capacitaciones</t>
  </si>
  <si>
    <t xml:space="preserve">   450000 POBLADORES DEL MUNICIPIO DE IBAGUE SENSIBILIZADA</t>
  </si>
  <si>
    <t>No. Ciudadanos Sensibilizados</t>
  </si>
  <si>
    <t xml:space="preserve">Mantener en  0 la Tasa de incidencia de rabia humana y tasa de incidencia rabia canina, </t>
  </si>
  <si>
    <t xml:space="preserve">Tasa de incidencia de rabia humana y canina o felina </t>
  </si>
  <si>
    <t>33750  DE ANIMALES DEL MUNICIPIO DE IBAGUE   VACUNADOS</t>
  </si>
  <si>
    <t>No. De animales vacunados en el municipio de Ibague</t>
  </si>
  <si>
    <t>2800 ANIMALES ESTERILIZADOS</t>
  </si>
  <si>
    <t>No. De animaes esterilizados</t>
  </si>
  <si>
    <t>160  MUESTRAS PROCESADAS PARA RABIA DE CANINOS Y FELINOS DEL COSO MUNICIPAL</t>
  </si>
  <si>
    <t>No. De muestras para rabia de caninos y felinos del coso municipal</t>
  </si>
  <si>
    <t>100%  DE  ZOONOSIS  REPORTADOS CON ESTUDIOS E INVESTIGACIONES OPERATIVAS</t>
  </si>
  <si>
    <t>% de casos de zoonosis reportados atendidos</t>
  </si>
  <si>
    <t>1600 VISITAS DE  SEGUIMIENTO  SANITARIO A ESTABLECIMIENTOS PECUARIO</t>
  </si>
  <si>
    <t>No. De visitas de seguimiento sanitario a establecimientos pecuarios.</t>
  </si>
  <si>
    <t>Disminuir a 0.067 x 10.000 hab. La Tasa de incidencia de leptospira  y Brucela</t>
  </si>
  <si>
    <t xml:space="preserve">Tasa de incidencia de leptospira y Brucela </t>
  </si>
  <si>
    <t>Realizar la adecuación a 4 escenarios deportivos (estadio de futbol,  parque deportivo,  coliseo cubierto y concha acústica) de acuerdo a los protocolos de seguridad, nacional e internacional</t>
  </si>
  <si>
    <t>Capacitar a 600 ciudadanos en materia de prevención y atención de  incendios y calamidades conexas</t>
  </si>
  <si>
    <t>Realizar cien (100) campañas de Bomberos en su Barrio con el fin de socializar las técnicas de prevención de desastres.</t>
  </si>
  <si>
    <t>Realizar uno (1) simulacro por año de atención y prevención de desastres</t>
  </si>
  <si>
    <t>Aumentar en un 15% la capacidad de respuesta de la comunidad del municipio en torno al manejo integral del riesgo</t>
  </si>
  <si>
    <t>Nº DE SEÑALES INSTALADAS</t>
  </si>
  <si>
    <t>Gestión realizada, mediante dsocumento CONPES</t>
  </si>
  <si>
    <t>Realización de 332 Mantenimientos Preventivos y Correctivos</t>
  </si>
  <si>
    <t>Adelantar nueve (9) planes de prevención e intervención para la recuperación de la seguridad ciudadana en áreas críticas del municipio</t>
  </si>
  <si>
    <t>Suscripción de 4 convenios de cooperación judicial entre las agencias del estado coordinados por la administración municipal</t>
  </si>
  <si>
    <t>Construir y poner en funcionamiento una casa de justicia y centro de convivencia ciudadana.</t>
  </si>
  <si>
    <t>Apoyar la aplicación de nuevas tecnologías de seguiridad por parte de tres (3) empresas privadadas en el Municipio.</t>
  </si>
  <si>
    <t>Tres (3) empresas enlazadas con los sistemas de seguridad de la ciudad.</t>
  </si>
  <si>
    <t>% de familias acompañadas</t>
  </si>
  <si>
    <t>Realizar el acompañamiento a 250  familias con menores infractores</t>
  </si>
  <si>
    <t>Realización de cuatro (4) jornadas de socialización de la ley penal aplicada a los jóvenes.</t>
  </si>
  <si>
    <t>Apoyar 20 clubes juveniles.</t>
  </si>
  <si>
    <t>Clubes juveniles apoyados</t>
  </si>
  <si>
    <t>Capacitar 50 personeros</t>
  </si>
  <si>
    <t>Número de personeros capacitados</t>
  </si>
  <si>
    <t>Nº de campañas realizadas</t>
  </si>
  <si>
    <t>Realizar  4 procesos de formacion que permitan fortalecer el  autoestima y aumentar el respeto por la vida por parte de los jovenes "proyecto de vida"</t>
  </si>
  <si>
    <t>Nº de procesos realizados</t>
  </si>
  <si>
    <t xml:space="preserve">Promocionar un grupo juvenil por año que trabaje por la proteccion de medio ambiente   </t>
  </si>
  <si>
    <t>Realizas Cinco estudios o investigaciones apoyadas</t>
  </si>
  <si>
    <t>1 consejo de Juventud elegidos por periodo</t>
  </si>
  <si>
    <t>N° DE HOPGARES NOCTUROS BENEFICIADOS</t>
  </si>
  <si>
    <t xml:space="preserve">ACOMPAÑAMIENTO A 40 HOGARES AMENAZADOS, QUE ESTEN EN RIESGO DE SER PRIVADOS ARBITRARIAMENTE DE SU LIBERTAD </t>
  </si>
  <si>
    <t>Unificar en un solo sistema de información,  los datos relacionados sobre la población víctima del conflicto con la red nacional de información (caracterizar la población víctima, en los términos de la ley 1448 de 2011.)</t>
  </si>
  <si>
    <t xml:space="preserve">Mejorar las condiciones de vida del 100% de la población en pobreza extrema en el área de intervención y reducirla   a niveles cercanos al 0% </t>
  </si>
  <si>
    <t>PORCENTAJE DE POBLACION CON POBREZA EXTREMA REDUCIDA</t>
  </si>
  <si>
    <t>Un (1) evento para trabajar con la red de bibliotecas en actividades de prevención contra explotación y abuso sexual y en apoyo con la policía de Turismo; Y con jovenes  del programa Chicos a Lo Bien programar concursos de grafitis</t>
  </si>
  <si>
    <t>Implementación del observatorio del deporte para las trece (13) comunas de Ibagué y mejoramiento de escenarios deportivos en las comunas, en cumplimiento del art.27 acuerdo 018/2011.</t>
  </si>
  <si>
    <t>SEGURIDAD SALUD Y EDUCACION</t>
  </si>
  <si>
    <t>SEGURIDAD AMBIENTAL Y DEL ENTORNO</t>
  </si>
  <si>
    <t>TOTAL</t>
  </si>
  <si>
    <t>SECRETARIA GOBIERNO</t>
  </si>
  <si>
    <t>ASESORES DESPACHO</t>
  </si>
  <si>
    <t>No. de las instituciones educativas con servicio social ambiental</t>
  </si>
  <si>
    <t>DIFERENCIAS</t>
  </si>
  <si>
    <t>presupuestos participativos</t>
  </si>
  <si>
    <t>mejoramiento integral de barrios</t>
  </si>
  <si>
    <t>tics asesoes 150o por cuatrenio</t>
  </si>
  <si>
    <t>Apoyar Realizar 4 eventos feriales que promuevan el Cluster de Logistica</t>
  </si>
  <si>
    <t>apoyo Formular y Estructurar el proyecto  del corredor logistico IBAGUE - FLANDES</t>
  </si>
  <si>
    <t>Conformar fondo de apoyo de presupuestos participativos</t>
  </si>
  <si>
    <t>Fondo de apoyo conformado</t>
  </si>
  <si>
    <t>TOTAL SEGURIDAD POLITICA</t>
  </si>
  <si>
    <t xml:space="preserve">DIVISIÓN ADMINISTRATIVA DE INFIBAGUÉ </t>
  </si>
  <si>
    <t>SECRETARIA DE DESARROLLO RURAL / GRUPO MEDIO AMBIENTE</t>
  </si>
  <si>
    <t xml:space="preserve"> RECUPERACION AMBIENTAL Y PAISAJISTA DE MICROCUENCAS</t>
  </si>
  <si>
    <t>CONSERVACION Y RECUPERACION DEL PATRIMONIO AMBIENTAL</t>
  </si>
  <si>
    <t>SISTEMA MUNICIPAL DE AREAS PROTEGIDAS "SIMAP"</t>
  </si>
  <si>
    <t>SISTEMA DE GESTION AMBIENTAL MUNICIPAL "SIGAM"</t>
  </si>
  <si>
    <t>SECRETARIA DE BIENESTAR SOCIAL</t>
  </si>
  <si>
    <t>Cobertura de inmunización con Triple Viral en niños y niñas de 1 año</t>
  </si>
  <si>
    <r>
      <t xml:space="preserve">40 instituciones educativas capacitadas en AIEPI </t>
    </r>
    <r>
      <rPr>
        <b/>
        <sz val="10"/>
        <rFont val="Arial"/>
        <family val="2"/>
      </rPr>
      <t>(INMUNOPREVENIBLES)</t>
    </r>
  </si>
  <si>
    <t>97% PAI 2011  (8546)</t>
  </si>
  <si>
    <t>86% PAI 2011 (7580)</t>
  </si>
  <si>
    <t>82% PAI 2011 (7231)</t>
  </si>
  <si>
    <t>48% PAI 2011 (6289)</t>
  </si>
  <si>
    <t>58% PAI 2011 (5069)</t>
  </si>
  <si>
    <t>92% PAI 2011 (8027)</t>
  </si>
  <si>
    <t>SECRETARIA DE SALUD - GRUPO DE SALUD PUBLICA</t>
  </si>
  <si>
    <t>Salud pública -salud sexual y reproductiva</t>
  </si>
  <si>
    <t xml:space="preserve">El numero de muertes maternas no sera superior a 45 por cada 100.000 nacidos vivos. </t>
  </si>
  <si>
    <t>Razon mortalidad materna -promedio  2005 - 2009 x 100,000 NV.</t>
  </si>
  <si>
    <t>38 x 100,000</t>
  </si>
  <si>
    <t>94 % de la poblacion sencibilizada  hacia una maternidad segura</t>
  </si>
  <si>
    <t xml:space="preserve">% DE  POBLACION SENSIBILIZADA   A TRAVES DE LA ESTRATEGIA IEC   PROGRAMADAS                                                       </t>
  </si>
  <si>
    <t>El porcentaje de Nacido vivos con 4 controles prenatales o mas no sera inferior al 90%</t>
  </si>
  <si>
    <t>Porcentaje de nacidos vivos con cuatro o más controles prenatales promedio 2005-2009</t>
  </si>
  <si>
    <t>90% de las gestantes en control prenatal institucional.</t>
  </si>
  <si>
    <t>% COBERTURA DE CONTROLES PRENATALES</t>
  </si>
  <si>
    <t>mayor o igual a 85%</t>
  </si>
  <si>
    <t>mayor o igual a 87%</t>
  </si>
  <si>
    <t>mayor o igual a 88%</t>
  </si>
  <si>
    <t>mayor o igual a 90%</t>
  </si>
  <si>
    <t>Los partos atendidos en instituciones de salud no sera inferior al 95%</t>
  </si>
  <si>
    <t>Porcentaje de atención instiucional de parto promedio 2005-2009</t>
  </si>
  <si>
    <t>100% de vigilancia y seguimiento a IPS  en los programas de atencion prenatal</t>
  </si>
  <si>
    <t xml:space="preserve">% DE IPS EN VIGILANCIA </t>
  </si>
  <si>
    <t>El porcentaje de mujeres en gestacion Diagnosticadas con anemia nutricional no superara el 34%</t>
  </si>
  <si>
    <t>Porcentaje de mujeres gestantes con diagnóstico de anemia nutricional</t>
  </si>
  <si>
    <t>no hay dato establecer linea de base  año 2012</t>
  </si>
  <si>
    <t>90 % de gestantes valoradas en su estado nutricional</t>
  </si>
  <si>
    <t>%de gestanates en control prenatal valoradas en su estado nutricional</t>
  </si>
  <si>
    <t>NO HAY DATO</t>
  </si>
  <si>
    <t>levantaiento de la linea de base</t>
  </si>
  <si>
    <t>Los partos atendidos por personal calificado no sera inferior al 95%</t>
  </si>
  <si>
    <t>Porcentaje de atención del parto por personal calificado</t>
  </si>
  <si>
    <t>99% DE COBERTURA DE PARTO INSTITUCIONAL</t>
  </si>
  <si>
    <t>% COBERTURA DE PARTO INSTITUCIONAL</t>
  </si>
  <si>
    <t>El porcentaje de mujeres entre 15 y 19 años que estan utilizando metodos modernos de PNF no debe ser inferior al 75% (Conforme a la meta nacional ODM)</t>
  </si>
  <si>
    <t>MEJORAMIENTO INTEGRAL DE BARRIOS, TITULARIZACION Y REORDENAMIENTO PREDIAL</t>
  </si>
  <si>
    <t>Reordenamiento de 10.682 predios (Bienes fiscales y bienes del municipio)</t>
  </si>
  <si>
    <t>SECRETARIA DE PLANEACION</t>
  </si>
  <si>
    <t>500 Ha incorporadas mediante planes parciales</t>
  </si>
  <si>
    <t>PROMOCION DEL MERCADO INMOBILIARIO</t>
  </si>
  <si>
    <t>MEJORAMIENTO DE VIVIENDAS Y ENTORNO PRECARIOS</t>
  </si>
  <si>
    <t>RENOVACION E INFRAESTRUCTURA URBANA</t>
  </si>
  <si>
    <t xml:space="preserve">INFIBAGUE </t>
  </si>
  <si>
    <t>SISTEMA ESTRATEGICO DE TRANSPORTE PUBLICO (SETP)</t>
  </si>
  <si>
    <t>SECRETARIA DE TRANSITO / GRUPO OPERATIVO</t>
  </si>
  <si>
    <t>LOGISTICA DE LA MOVILIDAD</t>
  </si>
  <si>
    <t>ORDENAMIENTO DE ESTACIONAMIENTOS</t>
  </si>
  <si>
    <t>ORDENAMIENTO LOGISTICO DEL TRANSPORTE DE CARGA</t>
  </si>
  <si>
    <t>RACIONALIZACION DEL TPC (TRANSPORTE PUBLICO COLECTIVO INTERMUNICIPAL E INTERVEREDAL)</t>
  </si>
  <si>
    <t>DIAGNOSTICO, ESTUDIOS, DISEÑOS, CONSTRUCCION, MEJORAMIENTO, MANTENIMIENTO Y OPTIMIZACION DE LA MALLA VIAL</t>
  </si>
  <si>
    <t>MANTENIMIENTO Y MEJORAMIENTO DE LA INFRAESTRUCTURA DE CAPTACION, POTABILIZACION, DISTRIBUCION Y ALMACENAMIENTO DE AGUA EN LA CIUDAD</t>
  </si>
  <si>
    <t>MANTENIMIENTO Y MEJORAMIENTO DE LA INFRAESTRUCTURA DE CAPTACION, CONDUCCION, TRATAMIENTO Y DISPOSICION FINAL DE AGUAS RESIDUALES EN LA CIUDAD</t>
  </si>
  <si>
    <t>MANTENIMIENTO Y MEJORAMIENTO DE LA INFRAESTRUCTURA DE CAPTACION, POTABILIZACION, DISTRIBUCION Y ALMACENAMIENTO DE AGUA EN LA ZONA RURAL DEL MUNICIPIO Y ACUEDUCTOS COMUNITARIOS</t>
  </si>
  <si>
    <t>MANTENIMIENTO Y MEJORAMIENTO DE LA INFRAESTRUCTURA DE CAPTACION, CONDUCCION, TRATAMIENTO Y DISPOSICION FINAL DE AGUAS RESIDUALES EN LA ZONA RURAL DEL MUNICIPIO</t>
  </si>
  <si>
    <t>IBAGUE CON EQUIPAMENTOS PARA LA CALIDAD DE VIDA</t>
  </si>
  <si>
    <t>M2 construidos y/o Mejorados</t>
  </si>
  <si>
    <t>SECRETARIA DE SALUD</t>
  </si>
  <si>
    <t>CUMPLIMIENTO E IMPLEMENTACION DEL PLAN DE GESTION INTEGRAL DE RESIDUOS SOLIDOS PGRIS</t>
  </si>
  <si>
    <t>IBAGUE CAMINO A LA SOSTENIBILIDAD AMBIENTAL</t>
  </si>
  <si>
    <t>TOTAL SEGURIDAD AMBIENTAL Y DEL ENTORNO</t>
  </si>
  <si>
    <t>LABORATORIOS MICROEMPRESARIALES</t>
  </si>
  <si>
    <t>SECRETARIA APOYO A LA GESTIÓN</t>
  </si>
  <si>
    <t>SECRETARIA DE APOYO A LA GESTION Y ASUNTOS DE LA JUVENTUD</t>
  </si>
  <si>
    <t>Formular el Plan de Empleo municipal</t>
  </si>
  <si>
    <t>Plan Municipal de Empleo Formulado</t>
  </si>
  <si>
    <t>CIENCIA , TECNOLOGIA E INNOVACION PARA LA COMPETITIVIDAD</t>
  </si>
  <si>
    <t xml:space="preserve">SECRETARIA DE CUTURA, TURISMO Y COMERCIO </t>
  </si>
  <si>
    <t>SECRETARIA DE EDUCACION</t>
  </si>
  <si>
    <t xml:space="preserve"> Fortalecimiento de 26 laboratorios de investigación, informáticos y tecnológicos en  el I.E del Municipio                                   </t>
  </si>
  <si>
    <t>AGENCIA DE MARKETING TERRITORIAL</t>
  </si>
  <si>
    <t>CENTROS COMUNITARIOS DIGITALES</t>
  </si>
  <si>
    <t>ZONAS WI-FI</t>
  </si>
  <si>
    <t>KIOSKOS DIGITALES</t>
  </si>
  <si>
    <t>TELEMEDICINA</t>
  </si>
  <si>
    <t xml:space="preserve">7 mil computadores </t>
  </si>
  <si>
    <t xml:space="preserve"> 500 aulas digitales</t>
  </si>
  <si>
    <t xml:space="preserve">
N° de aulas digitales instaladas
</t>
  </si>
  <si>
    <t>N° de computadores entregados</t>
  </si>
  <si>
    <t>EDUCACION DIGITAL</t>
  </si>
  <si>
    <t>ROBOTICA EDUCATIVA</t>
  </si>
  <si>
    <t>EMPRENDIMIENTO DIGITAL</t>
  </si>
  <si>
    <t xml:space="preserve">Desarrollar un programa de estimulos tributarios para incentivar la inversion </t>
  </si>
  <si>
    <t>SECRETARIA DE HACIENDA</t>
  </si>
  <si>
    <t>MESA DE PLANIFICACION IBAGUE - SUBREGION DEL CENTRO DEL TOLIMA</t>
  </si>
  <si>
    <t>SECRETARIA DE DESARROLLO RURAL / DIRECTOR UMATA</t>
  </si>
  <si>
    <t>FORMULACION DE UNA POLITICA PUBLICA DEL SECTOR RURAL</t>
  </si>
  <si>
    <t>PROGRAMA DE CONSERVACION DE AGUA Y SUELOS PROCAS</t>
  </si>
  <si>
    <t>PROGRAMA DE IMPLEMENTACION DE SISTEMAS AGROSILVOPASTORILES</t>
  </si>
  <si>
    <t>PROGRAMA DE ASISTENCIA TECNICA AGROPECUARIA</t>
  </si>
  <si>
    <t>PROGRAMA DE FOMENTO Y APOYO A LA PRODUCCION DE CAFES ESPECIALES</t>
  </si>
  <si>
    <t>80% (5460)</t>
  </si>
  <si>
    <t>promedio 2005-2011 (3)</t>
  </si>
  <si>
    <t>20,15% (1648)</t>
  </si>
  <si>
    <t>promedio 2007-2011 por 100 gestantes esperadas es de 31,4% (19)</t>
  </si>
  <si>
    <t>2.92x1000NV (24)</t>
  </si>
  <si>
    <t>Salud pública -enfermedades transmisibles</t>
  </si>
  <si>
    <t>La Tasa de curación de Tuberculosis pulmonar baciloscopia positiva será del 85%</t>
  </si>
  <si>
    <t xml:space="preserve"> Tasa de curación de Tuberculosis pulmonar baciloscopia positiva </t>
  </si>
  <si>
    <t>Mantener el 80% los sintomáticos respiratorios, de piel y sist. Nerviosos periférico, canalizados y en tratamiento</t>
  </si>
  <si>
    <t>No. De casos TB/LEPRA notificados y en tratamiento</t>
  </si>
  <si>
    <t>La tasa de prevalencia de Lepra no superará el 32,6 por cada 100.000 habitantes</t>
  </si>
  <si>
    <t>Prevalencia de Lepra  por cada 100.000 habitantes</t>
  </si>
  <si>
    <t>4,70 x 100 mil habitantes promedio 2005-2011 SIVIGILA -programa</t>
  </si>
  <si>
    <t>80 IPS públicas y privadas aplicando protocolos y guías de atención del programa de TB-LEPRA</t>
  </si>
  <si>
    <t>No de IPS visitadas</t>
  </si>
  <si>
    <t>La Tasa de mortalidad de Tuberculosis no será superior a 2 x cada 100.000.</t>
  </si>
  <si>
    <t>Tasa de mortalidad de Tuberculosis</t>
  </si>
  <si>
    <t xml:space="preserve">3.92 X 100.000 HABITANTES PROMEDIO DANE  2005-2009 </t>
  </si>
  <si>
    <t>La Incidencia de tuberculosis no será superior al 16 por cada 100.000 menores de 15 años</t>
  </si>
  <si>
    <t>Tasa de  Incidencia de tuberculosis en menores de 15 años</t>
  </si>
  <si>
    <t>7x100 mil menores de 15 años promedio 2008-2011 SIVIGILA -programa</t>
  </si>
  <si>
    <t>40 laboratorios del municipio en seguimiento al reporte con calidad en los reportes para el diagnóstico de TB-LEPRA</t>
  </si>
  <si>
    <t>No de laboratorios visitados</t>
  </si>
  <si>
    <t>NO HAY</t>
  </si>
  <si>
    <t>83,7% promedio 2008-2010 SIVIGILA-programa (84 CASOS)</t>
  </si>
  <si>
    <t>Salud pública -enfermedades no transmisibles</t>
  </si>
  <si>
    <t>Mantener la tasa de mortalidad por hipertensión arterial</t>
  </si>
  <si>
    <t>tasa de mortalidad por hipertensión * 100.000 hab.</t>
  </si>
  <si>
    <t>14.01 (a Dic 31/09. Fuente DANE)</t>
  </si>
  <si>
    <t>27</t>
  </si>
  <si>
    <t>NUMERO DE ACTIVIDADES EJECUTADAS</t>
  </si>
  <si>
    <t>2400</t>
  </si>
  <si>
    <t>MUJERES EN SITUACION DE DESPLAZAMIENTO CAPACITADAS</t>
  </si>
  <si>
    <t>BUSQUEDA ACTIVA</t>
  </si>
  <si>
    <t>Mantener la tasa de mortalidad por diabetes mellitus</t>
  </si>
  <si>
    <t>tasa de mortalidad por diabetes mellitus * 100.000 hab.</t>
  </si>
  <si>
    <t>18.43 (a Dic 31/09. Fuente DANE)</t>
  </si>
  <si>
    <t>VIGILANCIA EPIDEMIOLOGICA DE LA DIABETES MELLITUS</t>
  </si>
  <si>
    <t>Mantener la tasa de mortalidad por enfermedades isquemicas del corazón</t>
  </si>
  <si>
    <t>tasa de mortalidad por enfermedades isquemicas del corazón * 100.000 hab.</t>
  </si>
  <si>
    <t>94.05 * 100.000 hab (a Dic 31/09. Fuente DANE)</t>
  </si>
  <si>
    <t>POBLACION SENSIBILIZADA EN ESTILOS DE VIDA SALUDABLES</t>
  </si>
  <si>
    <t>Mantener la tasa de mortalidad por accidentes cerebrovasculares</t>
  </si>
  <si>
    <t>tasa de mortalidad por accidentes cerebrovasculares * 100000 hab.</t>
  </si>
  <si>
    <t>39.35 * 100.000 Hab (a Dic 31/09. Fuente DANE)</t>
  </si>
  <si>
    <t>ESTRATEGIA INSTITUCIONES EDUCATIVAS LIBRES DE HUMO IMPLEMENTADA</t>
  </si>
  <si>
    <t>ACTIVIDADES EDUCATIVAS DE PROMOCION DE ESTILOS DE VIDA SALUDABLES DIRIGIDAS A ADOLESCENTES Y JOVENES</t>
  </si>
  <si>
    <t>SALUD PÚBLICA - SALUD ORAL</t>
  </si>
  <si>
    <t>LOGRAR UN INDICE COP PROMEDIO A LOS 12 AÑOS MENOR DE 2.3%</t>
  </si>
  <si>
    <t>INDICE COP PROMEDIO A LOS 12 AÑOS DE EDAD</t>
  </si>
  <si>
    <t>2.3 % ENSAB III 1999</t>
  </si>
  <si>
    <t>40.000 ninños capacitados en salu oral</t>
  </si>
  <si>
    <t>CAPACITACIONES REALIZADAS</t>
  </si>
  <si>
    <t>LOGRAR QUE EL 60% DE LOS MAORES DE 18 AÑOS MANTENGAN SUS DIENTES PERMANENNTES A TRAVES DE PROGRAMAS DE PREVENCION Y PROMOCION</t>
  </si>
  <si>
    <t>PORCENTAJE DE DIENTES PERMANENTES EN MAYORES DE 18 AÑOS</t>
  </si>
  <si>
    <t>50.2% ENSAB III 1999</t>
  </si>
  <si>
    <t>920 capacitaciones</t>
  </si>
  <si>
    <t>Salud pública -salud mental</t>
  </si>
  <si>
    <t>Tasa de mortalidad por suicidio * 100.000 hab</t>
  </si>
  <si>
    <t>4* 100.000 (a Dic 31/09.Fuente DANE)</t>
  </si>
  <si>
    <t>PORCENTAJE DE SEGUIMIENTO A INTENTOS DE SUICIDIO</t>
  </si>
  <si>
    <t>IMPLEMENTACION MODELO APS EN SALUD MENTAL EN LAS IPS</t>
  </si>
  <si>
    <t>IMPLEMENTACION MODELO VIVO EN LAS IPS</t>
  </si>
  <si>
    <t>NUMERO DE PERSONAS CAPACITADAS EN PRIMEROS AUXILIOS EMOCIONALES</t>
  </si>
  <si>
    <t>NUMERO PERSONAS CAPACITADAS EN ATENCION DE LA CONDUCTA SUICIDA</t>
  </si>
  <si>
    <t>tasa de incidencia de intentos de suicidio por 100.000 hab.</t>
  </si>
  <si>
    <t>Política Pública formulada e implementada</t>
  </si>
  <si>
    <t>UN DOCUMENTO - LINEAMIENTOS DE LA POLITICA PUBLICA</t>
  </si>
  <si>
    <t>N° DE  DOCUMENTO CON LOS LINEAMIENTOS DE LA POLITICA PUBLICA</t>
  </si>
  <si>
    <t xml:space="preserve"> UN (1) DOCUMENTO - POLITICA PUBLICA. </t>
  </si>
  <si>
    <t>N° DE DOCUMENTO DE LA POLITICA PUBLICA</t>
  </si>
  <si>
    <t>Beneficiar a 1.920 adultos mayores, en actividades relacionadas con la ocupación del tiempo libre.</t>
  </si>
  <si>
    <t>48 TALLERES RELACIONADOS CON LA OCUPACION DEL TIEMPO LIBRE</t>
  </si>
  <si>
    <t>N° DE TALLERES</t>
  </si>
  <si>
    <t>Conformar el Consejo municipal de adulto mayor para el municipio.</t>
  </si>
  <si>
    <t>Consejo Municipal del adulto mayor implementado.</t>
  </si>
  <si>
    <t>16 SESIONES ORDINARIAS POR PARTE DEL CONSEJO MUNICIPAL DEL ADULTO MAYOR</t>
  </si>
  <si>
    <t>BIENESTAR SOCIAL</t>
  </si>
  <si>
    <t>ATENCION INTEGRAL AL HABITANTE DE LA CALLE</t>
  </si>
  <si>
    <t>Realizar 8 censos para caracterización de los habitantes de la calle.</t>
  </si>
  <si>
    <t>Nº de censos realizados</t>
  </si>
  <si>
    <t>8  CENSOS CARACTERIZADO POR CICLO VITAL Y GENERO</t>
  </si>
  <si>
    <t>Nº DE CENSO REALIZADOS</t>
  </si>
  <si>
    <t>Brindar rehabilitación y desintoxicación a 120 habitantes de la calle.</t>
  </si>
  <si>
    <t>Nº de habitantes de la calle rehabilitados y desintoxicados</t>
  </si>
  <si>
    <t>ATENDER  A 120 HABITANTES DE LA CALLE CON PROGRAMAS DE REHABILITACION Y DESINTOXICACIÓN</t>
  </si>
  <si>
    <t>Nº DE HABITANTES DE LA CALLE ATENDIDOS</t>
  </si>
  <si>
    <t>Apoyo a través de transporte de retorno a sus lugares de origen y auxilios funerarios a 440 habitantes de la calle.</t>
  </si>
  <si>
    <t>BRINDAR A 400 TRANSPORTES TERRESTRES  PARA RETORNO A SU LUGAR DE ORIGEN</t>
  </si>
  <si>
    <t>Nº DE TRANSPORTES</t>
  </si>
  <si>
    <t>BRINDAR 40 AUXILIOS FUNERARIOS.</t>
  </si>
  <si>
    <t>Nº DE AUXILIOS FUNERARIOS</t>
  </si>
  <si>
    <t>Sensibilización de 90.000 NNA para la prevención de consumo de sustancias psicoactivas y alcoholismo.</t>
  </si>
  <si>
    <t>Nº de niños y adolescentes sensibilizados</t>
  </si>
  <si>
    <t>16 CAMPAÑAS DE SENSIBILIZACION PARA LA PREVENCION DE CONSUMO DE SUSTANCIAS PSICOACTIVAS  Y ALCOHOLISMO</t>
  </si>
  <si>
    <t>N° DE CAMPAÑAS</t>
  </si>
  <si>
    <t>Beneficiar con actividades lúdicas-recreativas y culturales a 440 habitantes de la calle.</t>
  </si>
  <si>
    <t>Nº de habitantes de la calle beneficiados</t>
  </si>
  <si>
    <t>BENEFICIAR A 440 HABITANTES DE LA CALLE CON 8 BRIGADAS Y EVENTOS LUDICOS Y RECREATIVOS Y CULTURALES</t>
  </si>
  <si>
    <t>N° DE BRIGADAS</t>
  </si>
  <si>
    <t>LA DISCAPACIDAD NO ES INCAPACIDAD</t>
  </si>
  <si>
    <t>Beneficiar con ayudas técnicas de movilidad a 600 personas con discapacidad, donde el 30% pertenezcan a la estrategia red unidos</t>
  </si>
  <si>
    <t>Nº de personas con discapacidad beneficiadas</t>
  </si>
  <si>
    <t>800 ayudas , consistentes en Caminadores, sillas de ruedas, muletas, bastones Orientación), COLCHONETAS ANTIESCARAS)</t>
  </si>
  <si>
    <t>N° DE AYUDAS TECNICAS</t>
  </si>
  <si>
    <t>ELABORAR LINEA BASE DE LAS PERSONAS CON DISCAPACIDAD EN EL MUNIPIO DE IBAGUE</t>
  </si>
  <si>
    <t>N° DE LINEA BASE</t>
  </si>
  <si>
    <t>Formar y capacitar en diferentes áreas a 800 personas en situación de discapacidad</t>
  </si>
  <si>
    <t xml:space="preserve">16 CAPACITACIONES </t>
  </si>
  <si>
    <t>Brindar servicio funerario a 20 personas con discapacidad.</t>
  </si>
  <si>
    <t>Nº de personas beneficiadas</t>
  </si>
  <si>
    <t xml:space="preserve">20 AUXILIOS FUNERARIOS </t>
  </si>
  <si>
    <t>N° DE AUXILIOS</t>
  </si>
  <si>
    <t>Sensibilizar al 100% de los servidores públicos, con contenidos referidos a la discapacidad en sus características de derechos (promoción y protección), tipos de discapacidad, conceptos básicos de inclusión, equidad, integralidad, transversalidad y legislación.</t>
  </si>
  <si>
    <t>N° de funcionarios sensibilizados o capacitados.</t>
  </si>
  <si>
    <t xml:space="preserve">LLEVAR A CABO OCHO (8) JORNADAS DE SENSIBILIZACIÓN A LOS SERVIDORES PUBLICOS CON  CONTENIDOS REFERIDOS A LA DISCAPACIDAD </t>
  </si>
  <si>
    <t>N° DE JORNADAS REALIZADAS.</t>
  </si>
  <si>
    <t>Realización de 8 talleres de capacitación  y sensibilización, en manejo de las discapacidades y lenguaje de señas a medios de comunicación y población en general.</t>
  </si>
  <si>
    <t>Nº de talleres realizados</t>
  </si>
  <si>
    <t>8 TALLERES DE CAPACITACION  EN EL MANEJO DE LA DISCAPACIDAD Y LENGUAJE DE SEÑAS</t>
  </si>
  <si>
    <t>Beneficiar a  35 organizaciones con asesorías en temas como legalización de organizaciones así como el manejo de discapacidad y otros.</t>
  </si>
  <si>
    <t>N° de organizaciones beneficiadas.</t>
  </si>
  <si>
    <t>8 TALLERES EN TEMAS DE LEGALIZACION DE ORGANIZACIONES ASI COMO EL MANEJO DE DISCAPAICIDAD</t>
  </si>
  <si>
    <t>Apoyar en la formulacion de 30 planes de desarrollo por comunas y corregimientos</t>
  </si>
  <si>
    <t>Conformar 17 Consejos Corregimentales</t>
  </si>
  <si>
    <t>Consejos Corregimentales conformados</t>
  </si>
  <si>
    <t>Realizar 72 audiencias de rendicion de cuentas (por comunas, rurales y generales)</t>
  </si>
  <si>
    <t xml:space="preserve">Creación de 5 Centros de Atención del Sisbén en puntos estratégicos de la ciudad. </t>
  </si>
  <si>
    <t>Implementación de la Inspección Permanente Móvil</t>
  </si>
  <si>
    <t>Porcentaje de procesos descongestionados</t>
  </si>
  <si>
    <t>Realizar 6 Campañas anuales de sensibilización sobre los beneficios del SISBËN</t>
  </si>
  <si>
    <t>Atender el 100% de las solicitudes de la comunidad</t>
  </si>
  <si>
    <t>Comisaria de familia en funcionamiento</t>
  </si>
  <si>
    <t>Número de comisarias de familia</t>
  </si>
  <si>
    <t>SECRETARIA ADMINISTRATIVA</t>
  </si>
  <si>
    <t>Porcentaje de adecuación de infraestructura física</t>
  </si>
  <si>
    <t>Ubicación e identificación del 100% de los bienes fiscales del Municipio</t>
  </si>
  <si>
    <t>Reestructuración administrativa, financiera y organizacional de la GESTORA URBANA</t>
  </si>
  <si>
    <t>GESTORA URBANA</t>
  </si>
  <si>
    <t>SECRETARIA DE HACIENDA MUNICIPAL / GRUPO DE PRESUPUESTO</t>
  </si>
  <si>
    <t>Realizar 8 capacitaciones a serividores públicos</t>
  </si>
  <si>
    <t>OFICINA JURIDICA / SECRETARIA ADMINISTRATIVA</t>
  </si>
  <si>
    <t>23%- AÑO 2010</t>
  </si>
  <si>
    <t>4 Semanas de ciencia y tecnología realizadas</t>
  </si>
  <si>
    <t>Semana de ciencia y tecnología</t>
  </si>
  <si>
    <t>45% - AÑO 2009</t>
  </si>
  <si>
    <t>400 proyectos estudiantiles realizados</t>
  </si>
  <si>
    <t>Proyectos estudiantiles realizados</t>
  </si>
  <si>
    <t>40% - AÑO 2009</t>
  </si>
  <si>
    <t>Instituciones Educativas en Pequeños Científicos</t>
  </si>
  <si>
    <t>38% - AÑO 2009</t>
  </si>
  <si>
    <t>800 docentes formados</t>
  </si>
  <si>
    <t>50% - AÑO 2009</t>
  </si>
  <si>
    <t>4 Seminarios de experiencias exitosas realizados</t>
  </si>
  <si>
    <t xml:space="preserve">No de Contralores  Estudiantiles capacitados en control social a la Gestion Publica </t>
  </si>
  <si>
    <t>CAPACITAR 50 PERSONEROS</t>
  </si>
  <si>
    <t>Nº DE PERSONEROS CAPACITADOS</t>
  </si>
  <si>
    <r>
      <rPr>
        <sz val="11"/>
        <color indexed="8"/>
        <rFont val="Arial"/>
        <family val="2"/>
      </rPr>
      <t>&lt;0,067x 10.000 hab.</t>
    </r>
  </si>
  <si>
    <t>96   MUESTRAS ANALIZADAS DE AGUA Y LECHE CRUDA</t>
  </si>
  <si>
    <t>No. De muestras analizadas de agua y leche.</t>
  </si>
  <si>
    <t>12928  VIVIENDAS Y288 HECTAREAS DESRATIZADAS A DOBLE VUELTA</t>
  </si>
  <si>
    <t>No. De viviendas y No. De has. Desratizadas a doble vuelta.</t>
  </si>
  <si>
    <t>3471 viviendas y 144 has. Desratizadas</t>
  </si>
  <si>
    <t>Salud pública -manejo de residuos sólidos, hospitalarios y similares</t>
  </si>
  <si>
    <t>Realizar  visitas al  100% de los generadores</t>
  </si>
  <si>
    <t>Porcentaje de visitas realizadas a los generadores</t>
  </si>
  <si>
    <t>100 PUNTOS CRITICOS INSPECCIONADOS EN MANEJO DE RESIDUOS SOLIDOS</t>
  </si>
  <si>
    <t>No. De puntos criticos inspeccionados en manejo de residuos solidos</t>
  </si>
  <si>
    <t>100 puntos</t>
  </si>
  <si>
    <t>400  ESTABLEICMIENTOS GENERADORES DE RESIDUOS PELIGROSOS visitados</t>
  </si>
  <si>
    <t>No. De establecimientos generados de residuos solidos inspeccionados.</t>
  </si>
  <si>
    <t>PROMOCIÓN SOCIAL</t>
  </si>
  <si>
    <t>REALIZAR SEGUIMIENTO DEL 80% DE LOS COMITES O REDES SOCIALES DE APOYO DONDE  PARTICIPA EL SECTOR SALUD.(COMITÉ CONSULTIVO DE DISCAPACIDAD, ADULTO MAYOR DE POBLACION EN SITUACION DE DESPLAZAMIENTO, ERRADICACION DEL MENOR TRABAJADOR, COPACOM, ALIANZA DE USUARIOS, ETICA HOSPITALARIO, VEEDURIAS EN SALUD) CONSEJO TERRITORIAL EN SALUD.</t>
  </si>
  <si>
    <t>NO DE SEGUIMIENTOS O REUNIONES DE COMITÉ O REDES DE APOYO DONDE PARTICIPA EL SECTOR SALUD</t>
  </si>
  <si>
    <t>24 seguimientos a los diferentes comites</t>
  </si>
  <si>
    <t>COMITÉ REALIZADOS</t>
  </si>
  <si>
    <t>REALIZAR EN UN 80% ACTIVIDADES EDUCATIVAS DE PARTICIPACION SOCIAL Y CUIDADORES A POBLACION VULNERABLE ( DISCAPACITADOS, ADULTO MAYOR Y POBLACION EN GENERAL)</t>
  </si>
  <si>
    <t xml:space="preserve">Nº DE  ACTIVIDADES EDUCATIVAS REALIZADAS / EL NO DE ACTIVIDADES EDUCATIVAS PROGRAMADAS X 100 </t>
  </si>
  <si>
    <t>608 capacitaciones a poblacion vulnerable</t>
  </si>
  <si>
    <t>FORMULACION DE LA POLITICA  PUBLICA DE SALUD</t>
  </si>
  <si>
    <t>POLITICA PUBLICA FORMULADA Y APROBADA</t>
  </si>
  <si>
    <t>1 política adoptada</t>
  </si>
  <si>
    <t>POLITICA PUBLICA ADOPTADA</t>
  </si>
  <si>
    <t>BIENESTAR</t>
  </si>
  <si>
    <t>300 MILL AL AÑO</t>
  </si>
  <si>
    <t>% Realizado</t>
  </si>
  <si>
    <t>INFRAESTRUCTURA</t>
  </si>
  <si>
    <t>100% tramites requeridos</t>
  </si>
  <si>
    <t>100% tramites ejecutados</t>
  </si>
  <si>
    <t>Remodelacion de 160 parques (50%) de los parques infantiles de la ciudad</t>
  </si>
  <si>
    <t>SECRETARIA DE GOBIERNO</t>
  </si>
  <si>
    <t>Instrumentos formulados e implementados</t>
  </si>
  <si>
    <t>5</t>
  </si>
  <si>
    <t>Diseñar una metodología de capacitación en TICS a la ciudadanía sobre el uso del portal de la Alcaldía Municipal. (Implementar 7 centros de capacitación virtual en la administración municipal)</t>
  </si>
  <si>
    <t>Implementar 7 centros de capacitacion virtual en la administracion municipal</t>
  </si>
  <si>
    <t>No de centros de capacitacion virtual implementados/No de centros proyectados</t>
  </si>
  <si>
    <t>0</t>
  </si>
  <si>
    <t>Aumento en un  30 % las  visitas  al portal  de la alcaldia municipal</t>
  </si>
  <si>
    <t>Reducir en un 20% el consumo de papel</t>
  </si>
  <si>
    <t>Establecer una estrategia para disminución en el uso de papel</t>
  </si>
  <si>
    <t>Estrategia ejecutada/estrategia esperada</t>
  </si>
  <si>
    <t>Elaboracion de 4 aplicaciones de software</t>
  </si>
  <si>
    <t>2</t>
  </si>
  <si>
    <t>3</t>
  </si>
  <si>
    <t>4</t>
  </si>
  <si>
    <t>No de campañas/total de campañas</t>
  </si>
  <si>
    <t>Impulsar 8 proyectos empresariales de  jóvenes en situaciones de discapacidad</t>
  </si>
  <si>
    <t>Nº de Proyectos empresariales impulsados</t>
  </si>
  <si>
    <t>IMPULSAR 8 PROYECTOS EMPRESARIALES DE  JOVENES EN SITUACIONES DE DISCAPACIDAD (linea 8 programa 26 PEDJ)</t>
  </si>
  <si>
    <t>No de Proyectos empresariales impulsados/total de proyectos</t>
  </si>
  <si>
    <t>o</t>
  </si>
  <si>
    <t>IMPULSAR 5 PROCESOS DE INCLUSION A JOVENES EN SITUACION DE DISCAPACIDAD (linea 8 programa 26 PEDJ)</t>
  </si>
  <si>
    <t>No de  Procesos de inclusión impulsados/total de procesos</t>
  </si>
  <si>
    <t>Realizar 20 pactos por la convivencia de jóvenes</t>
  </si>
  <si>
    <t>Nº de Pactos Realizados</t>
  </si>
  <si>
    <t>Restaurar y establecer 5 pactos por año al interior de las I.E que permitan concensar acuerdos entre las partes y mejorar los manuales de convivencia dentor de las misma</t>
  </si>
  <si>
    <t>No de pactos realizados</t>
  </si>
  <si>
    <t>Elección  de un (1) consejo municipal de juventud de Ibagué 2012-2015</t>
  </si>
  <si>
    <t>Consejo Juvenil conformado</t>
  </si>
  <si>
    <t>19 consejeros electos</t>
  </si>
  <si>
    <t>19 consejeros de Juventud elegidos por periodo</t>
  </si>
  <si>
    <t>No de consejos de juventud elegidos</t>
  </si>
  <si>
    <t>Promover la conformación de 10 organizaciones juveniles nuevas en el municipio de Ibagué.</t>
  </si>
  <si>
    <t>Nº de  organizaciones juveniles conformadas/total de organizaciones</t>
  </si>
  <si>
    <t xml:space="preserve"> lotes urbanizados para 1500 unidades de vivienda</t>
  </si>
  <si>
    <t>No. Viviendas construidas</t>
  </si>
  <si>
    <t>Reordenamiento de 10682 predios (bienes fiscales y bienes del municipio)</t>
  </si>
  <si>
    <t>No. De predios reordenados</t>
  </si>
  <si>
    <t>Titular los bienes fiscales con uso de vivienda de interes social que cumplan con los requisitos de ley</t>
  </si>
  <si>
    <t>100% de predios titularizados</t>
  </si>
  <si>
    <t>Beneficiar a 1200 familias con el mejoramiento integral de barrios</t>
  </si>
  <si>
    <t>No. Familias beneficiadas</t>
  </si>
  <si>
    <t>Reconocimiento de 40 edificaciones donde funcionen equipamientos del municipio</t>
  </si>
  <si>
    <t>Reconocimientos realizados</t>
  </si>
  <si>
    <t xml:space="preserve">2500 familias beneficiadas soluciones VIS </t>
  </si>
  <si>
    <t>No. De Hectareas incorporadas</t>
  </si>
  <si>
    <t>CONSTRUCCION DE VIVIENDA DE INTERES PRIORITARIO VIP PARA POBLACION VULNERABLE Y DE ESCASOS RECURSOS</t>
  </si>
  <si>
    <t>No. De familias beneficiadas  con subsidio</t>
  </si>
  <si>
    <t>2500 familias beneficiadas subsidios</t>
  </si>
  <si>
    <t>Lotes urbanizados para 2500 unidades de vivienda</t>
  </si>
  <si>
    <t>No. De viviendas construidas en el area rural</t>
  </si>
  <si>
    <t>Efectuar la renovación y recuperación del recinto de ferias y exposiciones</t>
  </si>
  <si>
    <t>Renovación y recuperación efectuada</t>
  </si>
  <si>
    <t>Recuperación, Mantenimiento y Fortalecimiento de las 4 Plazas de Marcado</t>
  </si>
  <si>
    <t>Número de plazas recuperadas y fortalecidas</t>
  </si>
  <si>
    <t>Estudios realizados</t>
  </si>
  <si>
    <t>16 CELEBRACIONES DIRIGIDAS A NNA</t>
  </si>
  <si>
    <t>N° DE CELEBRACIONES</t>
  </si>
  <si>
    <t>Capacitar a 800 familias de menores trabajadores en formulación y elaboración de proyectos de vida</t>
  </si>
  <si>
    <t>N° DE FAMILIAS BENEFICIADAS</t>
  </si>
  <si>
    <t>8 CAPACITACIONES EN LA FORMULACION Y ELABORACION DE PROYECTOS DE VIDA</t>
  </si>
  <si>
    <t>N° DE CAPACITACIONES</t>
  </si>
  <si>
    <t>Atender a través de actividades pedagógicas y lúdico deportivas a 5.200 NNA donde el 30% pertenezcan a la estrategia red unidos,  en los programas  nacionales: “soñando ser”, “Deporteando y jugueteando”.</t>
  </si>
  <si>
    <t>Nº DE NNA BENEFICIADOS</t>
  </si>
  <si>
    <t>BENEFICIAR A 5200 NNA CON LOS PROGRAMAS SONAÑANDO SER, JUGUETENADO Y DEPORTEANDO .</t>
  </si>
  <si>
    <t>N° DE NNA BENEFICIADOS CON LOS PROGRAMAS SONAÑANDO SER, JUGUETENADO Y DEPORTEANDO .</t>
  </si>
  <si>
    <t>Mantener los hogares nocturnos actuales  en el municipio.</t>
  </si>
  <si>
    <t>Hogares nocturnos mantenidos</t>
  </si>
  <si>
    <t>MANTENER UN (1) HOGAR NOCTURNO</t>
  </si>
  <si>
    <t>N° DE HOGARES NOCTURNOS</t>
  </si>
  <si>
    <t>Dotar en recursos físicos y humanos un (1) hogar nocturno que atienda no menos de 50 niños y niñas vulnerables</t>
  </si>
  <si>
    <t>N° DE NN BENEFICIADOS</t>
  </si>
  <si>
    <t>BENEFICIAR A 50 NN EN EL HOGAR NOCTURNO</t>
  </si>
  <si>
    <t>N° DE NN BENEFICIADOS EN EL HOGAR NOCTURNO</t>
  </si>
  <si>
    <t>Los derechos de las niñas , niños y las y los adolescentes sujetos prioritarios de derecho</t>
  </si>
  <si>
    <t>Lograr  el 100% de niños y niñas menores de 1 año con registro civil (No tiene línea de base)</t>
  </si>
  <si>
    <t>(Número de niños, niñas menores de 1 año nacidos en la entidad territorial a los que se expidió registro civil /Número total de menores de 1 año nacidos en la entidad territorial)X100</t>
  </si>
  <si>
    <t>Lograr el 100% de niños y niñas menores de 7 años con registro civil (No tiene línea de base)</t>
  </si>
  <si>
    <t>(Número de niños, niñas menores de 7 años nacidos en la entidad territorial a los que se expidió registro civil /Número total de menores de 1 año nacidos en la entidad territorial)X100</t>
  </si>
  <si>
    <t>Lograr el 100% de niños, niñas y adolecentes entre 7 y 17 años con tarjeta de identidad  (No tiene línea de base)</t>
  </si>
  <si>
    <t>(Número de niños y niñas menores de 1 año con registro civil/Total de niños y niñas menores de 1 año)X100</t>
  </si>
  <si>
    <t>Disminuir el 10% el número de niños, niñas y adolescentes entre 5 y  17 años vinculados al trabajo laboral (Línea base 1.000)</t>
  </si>
  <si>
    <t>Número de niños, niñas y adolescentes entre 5 y  17 años vinculados al trabajo laboral</t>
  </si>
  <si>
    <t>Atención integral a 200 padres, madres adolescentes  y/o gestantes de estratos 1, 2, 3 y sus familias.</t>
  </si>
  <si>
    <t>Número de padres y madres adolescentes atendidas.</t>
  </si>
  <si>
    <t>MUJER CON IGUALDAD DE DERECHOS Y OPORTUNIDADES Y EQUIDAD DE GÉNERO</t>
  </si>
  <si>
    <t>Realizar capacitaciones a 2.400 mujeres en áreas productivas y no productivas, donde el 30% pertenezcan a la estrategia red unidos y familias en acciones.</t>
  </si>
  <si>
    <t>Nº de mujeres capacitadas</t>
  </si>
  <si>
    <t>32 CAPACITACIONES EN AREAS PRODUCTIVAS Y NO PRODUCTIVAS.</t>
  </si>
  <si>
    <t>Brindar a 400 mujeres capacitación en el tema de empoderamiento de género, donde el 30% pertenezcan a la estrategia red unidos.</t>
  </si>
  <si>
    <t>8 CAPACITACIONES EN EMPODERAMIENTO DE GENERO</t>
  </si>
  <si>
    <t>Apoyar la implementación y seguimiento a minimo 16 proyectos productivos de  mujeres asociadas que pertenezcan a la estrategia red unidos y diferentes sectores de población vulnerable (mujeres rurales, minorías étnicas, madres cabeza de familia entre otras).</t>
  </si>
  <si>
    <t>Nº proyectos productivos apoyados</t>
  </si>
  <si>
    <t xml:space="preserve">APOYAR 16 PROYECTOS PRODUCTIVOS </t>
  </si>
  <si>
    <t>N° DE PROYECTOS</t>
  </si>
  <si>
    <t>100% zonas amarillas legales implementadas</t>
  </si>
  <si>
    <t>Zonas amarillas legales / zonas implementadas</t>
  </si>
  <si>
    <t>el 50% de los guardas de tránsito de la ciudad pertenecerán a poblaciones vulnerables</t>
  </si>
  <si>
    <t>Guardas de tránsito existentes / guardas provenientes de población vulnerable</t>
  </si>
  <si>
    <t>50% de guardas de tránsito deben proceder de poblaciones vulnerables</t>
  </si>
  <si>
    <t>4 estudios e implementación de acciones contenidos en el PMM  encaminados al Ordenamiento de Estacionamientos</t>
  </si>
  <si>
    <t>No. De Estudios implementados</t>
  </si>
  <si>
    <t>Apoyo nutricional a 8.000 mujeres madres cabeza de familia  lactantes y gestantes, con hijos en situación de discapacidad y de alta vulnerabilidad,  donde el 30% pertenezcan a la estrategia red unidos.</t>
  </si>
  <si>
    <t>Nº de mujeres apoyadas</t>
  </si>
  <si>
    <t>9000 MERCADOS DIRIGIDOS A MUJERES CABEZA DE FAMILIA LACTANTES Y GESTANTES</t>
  </si>
  <si>
    <t>N° DE MERCADOS</t>
  </si>
  <si>
    <t>Beneficiar a 7000 mujeres con el Observatorio de género creado e implementado</t>
  </si>
  <si>
    <t>Nº de mujeres beneficiadas</t>
  </si>
  <si>
    <t>CREAR UN (1) OBSERVATORIO D E MUJER Y EQUIDAD DE GENERO DE IBAGUE</t>
  </si>
  <si>
    <t>N° DE OBSERVATORIOS</t>
  </si>
  <si>
    <t>Crear una (1) instancia de más alto nivel que, formule implemente y evalue   políticas públicas de  mujer y equidad género en el municipio de Ibagué.</t>
  </si>
  <si>
    <t>Instancia creada.</t>
  </si>
  <si>
    <t xml:space="preserve"> CREAR UN GRUPO  DE MUJER Y EQUIDAD DE GENERO QUE FORMULE IMPLEMENTE Y EVALUE POLITICAS PUBLICAS DE MUJER</t>
  </si>
  <si>
    <t xml:space="preserve">UN GRUPO DE MUJER  Y EQUIDAD DE </t>
  </si>
  <si>
    <t>Crear  un (1) observatorio de mujer y equidad de género de Ibagué.</t>
  </si>
  <si>
    <t>Observatorio de género creado</t>
  </si>
  <si>
    <t>OCHO (8) ESTUDIOS QUE ESTEN RELACIONADOS CON MUJER Y EQUIDAD DE GENERO</t>
  </si>
  <si>
    <t>N° DE ESTUDIOS</t>
  </si>
  <si>
    <t>Socializar y sensibilizar  al 100 % de los funcionarios en general sobre la ley 1257 del 2008.</t>
  </si>
  <si>
    <t>1 JORNADA DE SENSIBILIZACIÓN YSOCIALIZACIÓN DIRIGIADA A FUNCIONARIOS DE LA ALCALDIA SOBRE LA LEY 1257 DE 2008</t>
  </si>
  <si>
    <t>N° JORNADAS DE SENSIBILIZACION</t>
  </si>
  <si>
    <t>Socializar y sensibilizar al 40 % de la población en general sobre la ley 1257 del 2008.</t>
  </si>
  <si>
    <t>N° de ciudadanos sensibilizadas.</t>
  </si>
  <si>
    <t>8 JORNADAS DE   SOCIALIZACION A LA POBLACION EN GENERAL SOBRE LA LEY 1257 DEL 2008.</t>
  </si>
  <si>
    <t>N° DE JORNADAS</t>
  </si>
  <si>
    <t>Atención integral a través de asesoría jurídica y psicológica a 120 mujeres víctimas de la violencia de género.</t>
  </si>
  <si>
    <t>Nº de mujeres atendidas y asesoradas.</t>
  </si>
  <si>
    <t>120 ATENCIONES PSICOLOGICAS Y JURIDICAS A MUJERES VICTIMAS DE LA VIOLENCIA DE GENERO.</t>
  </si>
  <si>
    <t>N° DE ATENCIONES</t>
  </si>
  <si>
    <t>Brindar inclusión social en programas a  400 mujeres que se desempeñan como trabajadoras sexuales en el municipio de Ibagué.</t>
  </si>
  <si>
    <t>Nº de mujeres trabajadoras sexuales  incluidas en programas</t>
  </si>
  <si>
    <t>8 BRIGADAS EN ATENCIÓN A MUJERES QUE SE DESEMPEÑAN COMO TRABAJADORAS SEXUALES EN EL MUNICIPIO DE IBAGUE</t>
  </si>
  <si>
    <t>N° DE JORNADAS DE ATENCION</t>
  </si>
  <si>
    <t>Implementar un consejo comunitario de mujeres.</t>
  </si>
  <si>
    <t>Consejo implementado</t>
  </si>
  <si>
    <t>Construcción de una nueva bocatoma en la Q. Cay para aumentar el caudal de captación a 480 lts/seg</t>
  </si>
  <si>
    <t>Caudal captado (lts/seg)</t>
  </si>
  <si>
    <t xml:space="preserve">Reforestación de 20 Has . </t>
  </si>
  <si>
    <t xml:space="preserve">No. Has reforestadas. </t>
  </si>
  <si>
    <t xml:space="preserve">Adquisición de 60 Has en zonas de interés ambiental.  </t>
  </si>
  <si>
    <t>No. Has adquiridas</t>
  </si>
  <si>
    <t>Implementar en un 100%  las actividades del plan de ahorro y uso eficiente  del agua</t>
  </si>
  <si>
    <t>Porcentaje de cumplimiento</t>
  </si>
  <si>
    <t xml:space="preserve">Cumplir con el 100% de los parametros establecidos para la calidad de agua  </t>
  </si>
  <si>
    <t>Indice de Riesgo de Calidad de Agua (IRCA) 0-5</t>
  </si>
  <si>
    <t>0-5</t>
  </si>
  <si>
    <t>Optimización 10 filtros planta de tratamiento No. 2</t>
  </si>
  <si>
    <t>No.  de filtros</t>
  </si>
  <si>
    <t xml:space="preserve">Estandarizar el proceso de clarificación con el parámetro de 12 NTU como maximo parametro de tratamiento. </t>
  </si>
  <si>
    <t>% de remoción= Turbiedad clarificado/Turbiedad de entrada.</t>
  </si>
  <si>
    <t>Lts / seg tratados</t>
  </si>
  <si>
    <t>Mantenimiento  filtros y prefiltros de la planta de tratamiento Chembe para aumentar  50% de remoción de solidos suspendidos</t>
  </si>
  <si>
    <t>% de remocion de solidos suspendidos</t>
  </si>
  <si>
    <t xml:space="preserve">   </t>
  </si>
  <si>
    <r>
      <t>Alcanzar</t>
    </r>
    <r>
      <rPr>
        <b/>
        <sz val="10"/>
        <rFont val="Arial"/>
        <family val="2"/>
      </rPr>
      <t xml:space="preserve"> 8.000</t>
    </r>
    <r>
      <rPr>
        <sz val="10"/>
        <rFont val="Arial"/>
        <family val="0"/>
      </rPr>
      <t xml:space="preserve"> nuevos suscriptores dentro del  perimetro hidrosanitario</t>
    </r>
  </si>
  <si>
    <t xml:space="preserve">Continuidad del servicio: Horas suspendidas por año / 8760 horas año   </t>
  </si>
  <si>
    <t>20.42 horas/dia</t>
  </si>
  <si>
    <t>22.1 horas / dia</t>
  </si>
  <si>
    <t xml:space="preserve">Mejoramiento de la bocatoma combeima para asegurar la captación del caudal concesionado en 300 lts/seg </t>
  </si>
  <si>
    <t>Optimizacion de la   planta de tratamiento Chembe en 7 lts /seg</t>
  </si>
  <si>
    <t>Construccion de 560 mts lineales de colector el sillon</t>
  </si>
  <si>
    <t xml:space="preserve">No. Metros lineales construidos. </t>
  </si>
  <si>
    <t xml:space="preserve">Construcción 560 m.l.  del colector el sillón </t>
  </si>
  <si>
    <t>Aumentar  en un 8% la cobertura de alcantarillado dentro del perimetro hidráulico (Línea Base 87%)</t>
  </si>
  <si>
    <t>% de cobertura</t>
  </si>
  <si>
    <t>Alcanzar 8.000 nuevos suscriptores dentro del   perimetro sanitario</t>
  </si>
  <si>
    <t>N.de nuevos suscriptores</t>
  </si>
  <si>
    <t xml:space="preserve">% reducido de carga contaminada </t>
  </si>
  <si>
    <t>PROGRAMA DE APOYO AL PROCESO DE CERTIFICACION DE PRODUCTOS DE GRAN VALOR DE LA APUESTA EXPORTADORA</t>
  </si>
  <si>
    <t>PROGRAMA FOMENTO Y APOYO A LA PISCICULTURA</t>
  </si>
  <si>
    <t>IBAGUE RURAL SE COMPROMETE CON LA POBLACION VICTIMA DEL CONFLICTO</t>
  </si>
  <si>
    <t>PROGRAMA DE IMPULSO A LA ASOCIATIVIDAD Y FORMACION DE REDES PARA APOYAR PROYECTOS PRODUCTIVOS AGROPECUARIOS, FORESTALES Y PESQUEROS</t>
  </si>
  <si>
    <t>AGROCENTRO</t>
  </si>
  <si>
    <t>MEJORAMIENTO D ELA MALLA VIAL TERCIARIA</t>
  </si>
  <si>
    <t>AGRICULTURA URBANA</t>
  </si>
  <si>
    <t>PROGRAMA MUNICIPAL AGROPECUARIO ECOLOGICO</t>
  </si>
  <si>
    <t>TOTAL SEGURIDAD ECONOMICA Y ALIMENTARIA</t>
  </si>
  <si>
    <t>POLICIA METROPOLITANA Y FUERZA DE CONTROL URBANO</t>
  </si>
  <si>
    <t>ESTRUCTURACION DEL SISTEMA DE INTEGRACION TECNOLOGICA PARA LA PREVENCION, CONTROL, Y REPRESION DEL DELITO</t>
  </si>
  <si>
    <t>ATENCION INTEGRAL DEL RIESGO</t>
  </si>
  <si>
    <t>SECRETARIA DE GOBIERNO / CO BOMBEROS</t>
  </si>
  <si>
    <t>SEGURIDAD VIAL</t>
  </si>
  <si>
    <t xml:space="preserve">Formular el plan maestro de alumbrado publico </t>
  </si>
  <si>
    <t>ALCALDIA FUERZA PUBLICA JUNTOS POR LA SEGURIDAD HUMANA</t>
  </si>
  <si>
    <t>LA SEGURIDAD HUMANA ES JUSTICIA CON TOLORENACIA Y CONVIVENCIA</t>
  </si>
  <si>
    <t>SECRETARIA DE TRANSITO / DIRECCION DE JUSTICIA</t>
  </si>
  <si>
    <t>SECRETARIA DE GOBIERNO / DIRECCION DE JUSTICIA</t>
  </si>
  <si>
    <t>SECRETARIA DE GOBIERNO / UAO</t>
  </si>
  <si>
    <t>EL POLICIA MI AMIGO</t>
  </si>
  <si>
    <t>CULTURA CIUDADANA , CULTURA PARA LA CONVIVENCIA</t>
  </si>
  <si>
    <t>JOVENES A LO BIEN</t>
  </si>
  <si>
    <t>SECRETARIA DE GOBIERNO / SECRETARIA DE BIENESTAR SOCIAL</t>
  </si>
  <si>
    <t>VOTO JOVEN</t>
  </si>
  <si>
    <t>LA VIDA DERECHO UNICO Y UNIVERSAL</t>
  </si>
  <si>
    <t>ECOJOVEN</t>
  </si>
  <si>
    <t>LOS JOVENES CONSTRUYEN SU FUTURO</t>
  </si>
  <si>
    <t>LOS DERECHOS DE LAS NIÑAS, NIÑOS Y LAS Y LOS ADOLECENTES SUJETOS PRIORITARIOS DE DERECHO</t>
  </si>
  <si>
    <t>CONOCE TU CIUDAD</t>
  </si>
  <si>
    <t>SECRETARIA DE CULTURA, COMERCIO Y TURISMO</t>
  </si>
  <si>
    <t>LA CULTURA Y EL ARTE CONSTRUYEN CIUDADANIA Y CIUDAD</t>
  </si>
  <si>
    <t>SISTEMA MUNICIPAL DE FORMACIN ARTISTICA Y CULTURAL - SIMIFARTE</t>
  </si>
  <si>
    <t>EMPRENDIMIENTO Y PROMOCION CULTURAL PARA UN ARTE CON CIUDAD</t>
  </si>
  <si>
    <t>MUSICA Y CULTURA PARA TODOS LOS IBAGUEREÑOS</t>
  </si>
  <si>
    <t>MAS INFRAESTRUCTURA AL SERVICIO DE LA CULTURA Y DE LA COMUNIDAD</t>
  </si>
  <si>
    <t>RESCATE DE NUESTRO PATRIMONIO CULTURAL COMO ENCUENTRO DE LA CULTURA Y EL DESARROLLO DE LA CIUDAD</t>
  </si>
  <si>
    <t>FORMACION ARTISTICA Y CULTURAL PARA UN MEJOR DESEMPEÑO Y EJERCICIO PROFESIONAL DEL ARTISTA</t>
  </si>
  <si>
    <t>PLANEACION PARA LA GESTION Y EL DESARROLLO CULTURAL COMO HERRAMIENTA PARA LA CONSTRUCCION CIUDADANA</t>
  </si>
  <si>
    <t>FORTALECIMIENTO DE LA RED MUNICIPAL DE BIBLIOTECAS PUBLICAS PARA LA INCLUSION Y LA EQUIDAD SOCIAL</t>
  </si>
  <si>
    <t>INCLUSION Y OPORTUNIDADES PARA LAS POBLACIONES ESPECIALES DESDE LA CULTURA</t>
  </si>
  <si>
    <t>IBAGUE CON EQUIDAD CULTURAL JUVENIL</t>
  </si>
  <si>
    <t>DEPORTE , RECREACION Y EDUCACION FISICA PARA EL SECTOR EDUCATIVO</t>
  </si>
  <si>
    <t>APOYO AL DEPORTE ASOCIADO</t>
  </si>
  <si>
    <t>DEPORTE, RECREACION Y ACTIVIDAD FISICA PARA EL SECTOR COMUNITARIO</t>
  </si>
  <si>
    <t>INFRAESTRUCTURA DEPORTIVA PARA LA COMPETITIVIDAD NACIONAL E INTERNACIONAL</t>
  </si>
  <si>
    <t>RECREANDO MENTES JUVENILES</t>
  </si>
  <si>
    <t>REAL</t>
  </si>
  <si>
    <t>Beneficiar a 1.000 personas en situación de vulnerabilidad en procesos culturales</t>
  </si>
  <si>
    <t>Ibagué, con equidad cultural juvenil</t>
  </si>
  <si>
    <t>Realizar cuatro (4) eventos juveniles en el que los jóvenes puedan mostrar su arte, cultura e ideas</t>
  </si>
  <si>
    <t>Apoyar el programa Jóvenes a lo Bien de la Policía Metropolitana de Ibagué.</t>
  </si>
  <si>
    <t>Programa Apoyado</t>
  </si>
  <si>
    <t>Trabajar desde el programa SIMIFARTE, en todas comunas, en promoción y difusión de artistas en las comunas de Ibagué.</t>
  </si>
  <si>
    <t xml:space="preserve">Apoyo a la realización de eventos culturales como Ibagué Ciudad Rock, Encuentro Municipal de Hip-Hop, </t>
  </si>
  <si>
    <t>Eventos Apoyados</t>
  </si>
  <si>
    <t>Realización del Encuentro juvenil en el Pueblito Tolimense</t>
  </si>
  <si>
    <t>Evento Realizado</t>
  </si>
  <si>
    <r>
      <rPr>
        <sz val="10"/>
        <color indexed="8"/>
        <rFont val="Arial"/>
        <family val="0"/>
      </rPr>
      <t>Nº de Ciudadanos Beneficiados</t>
    </r>
    <r>
      <rPr>
        <b/>
        <sz val="10"/>
        <rFont val="Arial"/>
        <family val="2"/>
      </rPr>
      <t xml:space="preserve"> </t>
    </r>
  </si>
  <si>
    <t>Deporte, recreación y educación física para el sector educativo</t>
  </si>
  <si>
    <t>Beneficiar a 18.800 estudiantes de la zona urbana y rural a través de eventos deportivos como son los juegos del sector educativo juegos intercolegiados, festivales escolares y juegos universitarios.</t>
  </si>
  <si>
    <t>Nº de estudiantes beneficiados</t>
  </si>
  <si>
    <t>vincular el 50% de las instituciones educativas públicas del municipio de Ibagué al sistema nacional de competencias deportivas y académicas</t>
  </si>
  <si>
    <t>Nº de centros educativos vinculados al Sistema Nacional de Competencias Deportivas y Académicas</t>
  </si>
  <si>
    <t>Beneficiar 5.600 Estudiantes a través de los Centro de Educación Física</t>
  </si>
  <si>
    <t xml:space="preserve"> Beneficiar 5600 estudiantes a través del Fortalecimiento de centros de educación Fisica </t>
  </si>
  <si>
    <t xml:space="preserve">Población escolar beneficiada </t>
  </si>
  <si>
    <t>Apoyo al deporte asociado</t>
  </si>
  <si>
    <t>Beneficiar 1000 deportistas de los Organismos Deportivos</t>
  </si>
  <si>
    <t>Nº de deportistas beneficiados</t>
  </si>
  <si>
    <t>2.200 participantes en eventos nacionales, departamental e internacionales</t>
  </si>
  <si>
    <t>Nº de participantes  apoyados</t>
  </si>
  <si>
    <t>Beneficiar a 80 Deportistas del Plan Talentos</t>
  </si>
  <si>
    <t>Realizar cuatro torneos inter-comunales deportivos y recreativos</t>
  </si>
  <si>
    <t>Nº de torneos realizados</t>
  </si>
  <si>
    <t>Deporte, recreación y actividad física para  el sector comunitario</t>
  </si>
  <si>
    <t>Beneficiar a 152.000 miembros de las comunas y corregimientos a través de programación deportiva y recreativa.</t>
  </si>
  <si>
    <t>N° de miembros beneficiados</t>
  </si>
  <si>
    <t>1900-1080</t>
  </si>
  <si>
    <t>beneficiar 4.000 personas en situacion de  vulnerabilidad con eventos deportivos y recreativos</t>
  </si>
  <si>
    <t>Nº de personas Beneficiadas</t>
  </si>
  <si>
    <t xml:space="preserve">REALIZAR ANUALMENTE DOS EVENTOS PARA DESTACAR A LOS DEPORTISTAS TOLIMENSES  </t>
  </si>
  <si>
    <t>Unificar en un solo sistema     de información,  los datos relacionados sobre la población víctima del conflicto con la red nacional de información (caracterizar la población víctima, en los términos de la ley 1448 de 2011.)</t>
  </si>
  <si>
    <t>Sistema de información unificado</t>
  </si>
  <si>
    <t xml:space="preserve">  IMPLEMENTAR EL SISTEMA UNIFICADO CON LA RED NACIONAL DE INFORMACIÓN</t>
  </si>
  <si>
    <t>N° SISTEMA DE INFORMACIÓN</t>
  </si>
  <si>
    <t>Socializar la ruta de protección al  100% de la población solicitante que esté en riesgo extraordinario o extremo, así como a los funcionarios de las entidades participantes.</t>
  </si>
  <si>
    <t>SIETE (7) TALLERES</t>
  </si>
  <si>
    <t>Porcentaje de establecimientos visitados.</t>
  </si>
  <si>
    <t>100% visitas programadas</t>
  </si>
  <si>
    <t>11520 ESTABLECIMIENTOS COMERCIALES A DOBLE VUELTA INSPECCIONADOS</t>
  </si>
  <si>
    <t>No. De establecimientos inspeccionados a doble vuelta.</t>
  </si>
  <si>
    <t>9600   ESTABLECIMIENTO DE ALIMENTOS CON INSPECCIONES TECNICAS</t>
  </si>
  <si>
    <t>No. De establecimientos de alimentos inspeccionados</t>
  </si>
  <si>
    <t>1040MUESTRAS DE ALIMENTOS DE ALTO RIESGO ANALIZADOS</t>
  </si>
  <si>
    <t>No. DE MUESTRAS DE ALIMENTOS DE ALTO RIESGO ANALIZADOS</t>
  </si>
  <si>
    <t>100% DE  EMPRESAS CAPACITADORAS VISITADAS, A TRIPLE VUELTA EN EL AÑO</t>
  </si>
  <si>
    <t>% DE VISITAS  A EMPRESAS CAPACITADORAS</t>
  </si>
  <si>
    <t xml:space="preserve"> 24000 CARNÉTS DE MANIPULACION DE ALIMENTOS  SISTEMATIZADOS</t>
  </si>
  <si>
    <t>No. CARNES EXPEDIDOS</t>
  </si>
  <si>
    <t>100 % SEGUIMIENTOS A LAS NOTIFICACIONES DE OBLIGATORIO CUMPLIMIENTO</t>
  </si>
  <si>
    <t>4 Informes presentados</t>
  </si>
  <si>
    <t>Número de informes presentados</t>
  </si>
  <si>
    <t>Microempresarios participantes en ruedas de negocio</t>
  </si>
  <si>
    <t>Número de microempresarios benerficiados</t>
  </si>
  <si>
    <t>Ofertar a las empresas privadas una alianza con la administración que permitan mostrar el capital humano y/o recursos que son de  interes para los empresarios a los jovenes de las I.E media y superior</t>
  </si>
  <si>
    <t>Formulación del Plan Municipal de Empleo</t>
  </si>
  <si>
    <t xml:space="preserve">               591 empresas publicas               1841 empresas privadas</t>
  </si>
  <si>
    <t>% de caracterización de empresas (591 Públicas y 1,841 privadas)</t>
  </si>
  <si>
    <t>Microempresarios beneficios en fortalecimiento empresarial / total de microempresarios registrados</t>
  </si>
  <si>
    <t>Crear e implementar el observatorios de turismo y comercio en el municipio de Ibagué</t>
  </si>
  <si>
    <t>Observatorio creado e implementado</t>
  </si>
  <si>
    <t>Implementar el consultorio de comercio exterior</t>
  </si>
  <si>
    <t>Consultorio implementado</t>
  </si>
  <si>
    <t>Aumentar en 20%</t>
  </si>
  <si>
    <t>Realizar  5  estudios  de mercado orientadas a promover la creacion de industrias culturales</t>
  </si>
  <si>
    <t>Número de unidades productivas participantes en ferias de emprendimiento juvenil</t>
  </si>
  <si>
    <t>Formular 4 proyectos para el desarrollo, adopcion e implementacion de resultados de Ciencia Tecnologia e Innovacion en la región .</t>
  </si>
  <si>
    <t>4 Proyectos formulados</t>
  </si>
  <si>
    <t xml:space="preserve"> Fortalecimiento de laboratorios de investigación, informáticos y tecnológicos en  el I.E del Municipio                                   </t>
  </si>
  <si>
    <t>Agenda de internacionalización implementada</t>
  </si>
  <si>
    <t>Implementació de 4 CCD</t>
  </si>
  <si>
    <t>No de poblacion en situacion vulnerable beneficiadas</t>
  </si>
  <si>
    <t xml:space="preserve">Tranformación de 19 centros de salud rural en unidades fijas remisorias rurales </t>
  </si>
  <si>
    <t>Número de centros atendidos</t>
  </si>
  <si>
    <t xml:space="preserve">Implementación de 59 laboratorios fijos y 2 moviles </t>
  </si>
  <si>
    <t>No de estudiantes beneficiados</t>
  </si>
  <si>
    <t>Programa creado</t>
  </si>
  <si>
    <t>Zona franca implementada</t>
  </si>
  <si>
    <t>SECRETARIA APOYO A LA GESTIÓN/CLUSTER TEXTILCONFECCIÓN</t>
  </si>
  <si>
    <t xml:space="preserve"> IMPLEMENTAR UN SISTEMA DE INFORMACION TURISTICO (Brindar Información turistica a 15,000 usuarios)</t>
  </si>
  <si>
    <t>58.00</t>
  </si>
  <si>
    <t>Formulación de la política pública del sector rural</t>
  </si>
  <si>
    <t>Estudio Elaborado</t>
  </si>
  <si>
    <t>Proyecto de Acuerdo presentado</t>
  </si>
  <si>
    <t>Realizar un estudio del impacto del cambio climatico en el municipio de Ibaguè e implementar las recomendaciones del estudio</t>
  </si>
  <si>
    <t>Número de familias capacitadas</t>
  </si>
  <si>
    <t>N° de familias cafeteras con producciones de cafes especiales</t>
  </si>
  <si>
    <t xml:space="preserve">Nº de asociaciones y/o productores con procesos de certificacion </t>
  </si>
  <si>
    <t>N° de asociaciones que participan en las convocatorias</t>
  </si>
  <si>
    <t>Nº de asociaciones que comercializan SUS PRODUCTOS</t>
  </si>
  <si>
    <t>670 Km</t>
  </si>
  <si>
    <t>100 Km</t>
  </si>
  <si>
    <t>250 Km</t>
  </si>
  <si>
    <t>450 Km</t>
  </si>
  <si>
    <t>Formular Un progama agropecuario ecologico (PROMAE)</t>
  </si>
  <si>
    <t xml:space="preserve">5  investigaciones de mercado  en industrias culturales </t>
  </si>
  <si>
    <t>Apoyar proyectos de movilidad y reacción de las instituciones de seguridad que operan en el municipio, mediante el mantenimiento del equipo automotor</t>
  </si>
  <si>
    <t>Nº de sistemas implementados</t>
  </si>
  <si>
    <t>Instalar 500 alarmas comunitarias en los barrios de la ciudad.</t>
  </si>
  <si>
    <t>Adquisición de un (1) equipos tecnológicos para mejorar el servicio de seguridad</t>
  </si>
  <si>
    <t>Proceso celebrado</t>
  </si>
  <si>
    <t>beneficiar 400 personas de la comunidad LGBT  con formación en desarrollo empresarial</t>
  </si>
  <si>
    <t xml:space="preserve">CARACTERIZACIÓN Y SENSIBILIZACIÓN POR MEDIO DE 8 CAPACITACIONES </t>
  </si>
  <si>
    <t>No DE CAPACITAICONES</t>
  </si>
  <si>
    <t>Apoyar a la comunidad LGBT con 16 auxilios funerarios.</t>
  </si>
  <si>
    <t>Nº de auxilios funerarios</t>
  </si>
  <si>
    <t>BRINDAR 16 APOYOS DE AUXILIOS FUNERARIOS PARA LA POBLACION LGBT.</t>
  </si>
  <si>
    <t>N° DE APOYOS</t>
  </si>
  <si>
    <t>Conoce tu ciudad</t>
  </si>
  <si>
    <t>Sensibilizar a 2.000 Estudiantes en los diferentes destinos y atractivos turísticos</t>
  </si>
  <si>
    <t>Nº  de estudiantes sensibilizados</t>
  </si>
  <si>
    <t>Diseño y Ejecución de la estrategia de sensibilización</t>
  </si>
  <si>
    <t>Nº de Estrategias Diseñadas y Ejecutadas</t>
  </si>
  <si>
    <t>Grupo Turismo/Secretaria de Cult, Tur y cio</t>
  </si>
  <si>
    <t>Realizar 16 Talleres en Instituciones Educativas de Sensibilización para promotores turísticos y culturales para la conservación de ciudad</t>
  </si>
  <si>
    <t>Nº de Talleres realizados</t>
  </si>
  <si>
    <t xml:space="preserve">Apoyar la formación y capacitación de 30 Vigías del Patrimonio y Guías Turísticos </t>
  </si>
  <si>
    <t xml:space="preserve">Nº Vigías del Patrimonio y Guías Turísticos capacitados y formados </t>
  </si>
  <si>
    <t>Promocionar 10 actividades culturales realizadas por jóvenes</t>
  </si>
  <si>
    <t>Nº de actividades culturales promocionadas</t>
  </si>
  <si>
    <t>Trabajar con la red de bibliotecas en actividades de prevención contra explotación y abuso sexual y en apoyo con la policía de Turismo; Y con jovenes  del programa Chicos a Lo Bien programar concursos de grafitis</t>
  </si>
  <si>
    <t>Nº de Eventos realizados</t>
  </si>
  <si>
    <t>Realizar 4 eventos culturales con organizaciones que trabajen por los jóvenes en situación de discapacidad</t>
  </si>
  <si>
    <t>Nº de eventos culturales realizados</t>
  </si>
  <si>
    <t>Programar actividades con el ICBF Y  LA Asociación de Discapacitados del Tolima; En el mes de agosto concurso de cometas , en el festival de artes mes de Diciembre y Olimpiadas culturales</t>
  </si>
  <si>
    <t>La cultura y el arte construyen ciudadanía y ciudad</t>
  </si>
  <si>
    <t>Beneficiar a 60.000 ciudadanos a través del proyecto "Esquinas Culturales"</t>
  </si>
  <si>
    <t>Nº de Ciudadanos Beneficiados</t>
  </si>
  <si>
    <t>Realizar 100 jornadas de Esquinas Culturales en las comunas y corregimientos de la ciudad</t>
  </si>
  <si>
    <t>Nº de Jornadas de Esquinas Culturales desarrollados</t>
  </si>
  <si>
    <t>Beneficiar  a 40.000 ciudadanos que habiten en sectores vulnerables a través  de campañas de cultura y arte</t>
  </si>
  <si>
    <t>Participación de 500 artistas y gestores de las organizaciones culturales en Campañas de Cultura y arte</t>
  </si>
  <si>
    <t>Nº de Artistas y Gestores Culturales participantes</t>
  </si>
  <si>
    <t xml:space="preserve">Desarrollar 4 eventos culturales para Estudiantes de las Instituciones Educativas "Olimpiadas Culturales Estudiantiles"  en Articulación con la Sec. de Educación Mpal. </t>
  </si>
  <si>
    <t>No. Eventos Olimpiadas Culturles Estudiantiles desarrolladas</t>
  </si>
  <si>
    <t>Apoyar el desarrollo de 16 Campañas Institucionales de Cultura y arte</t>
  </si>
  <si>
    <t>Nº de Campañas de Cultura y arte Apoyadas</t>
  </si>
  <si>
    <t>Sistema municipal de formación artística y cultural –simifarte</t>
  </si>
  <si>
    <t>Beneficiar a 24.000 niños, niñas y adolescentes  en Talleres en expresiones y manifestaciones artísticas y culturales de las comunas y corregimientos</t>
  </si>
  <si>
    <t>Nº de niños, niñas y adolescentes de comunas y corregimientos beneficiados</t>
  </si>
  <si>
    <t>Nº Programas desarrollados</t>
  </si>
  <si>
    <t>Desarrollar 7 Programas de SIMIFARTE en las 13 comunas y 5 corregimientos</t>
  </si>
  <si>
    <t>Nº de Personal Vinculado</t>
  </si>
  <si>
    <t>Vinculación de 2 Coordinadores y 30 Instructores al año para formación artística de la comunidad.</t>
  </si>
  <si>
    <t>Nº de Elementos suministrados</t>
  </si>
  <si>
    <t>Cuatro dotaciones de Materiales y elementos para desarrollar los programas de SIMIFARTE</t>
  </si>
  <si>
    <t xml:space="preserve">Emprendimiento y promoción cultural para un arte con calidad  </t>
  </si>
  <si>
    <t>Apoyo a 200 artistas y gestores culturales  en el desarrollo de proyectos e iniciativas culturales</t>
  </si>
  <si>
    <t>Nº de artistas y gestores culturales beneficiados</t>
  </si>
  <si>
    <t>7 convocatorias para apoyar eventos e iniciativas culturales y artísticas</t>
  </si>
  <si>
    <t>Nº de convocatorias  realizadas</t>
  </si>
  <si>
    <t>Elaborar el Portafolio de estímulos para el sector cultural</t>
  </si>
  <si>
    <t>Portafolio elaborado</t>
  </si>
  <si>
    <t>40 proyectos e iniciativas culturales apoyados a través de convocatorias</t>
  </si>
  <si>
    <t>Nº de proyectos apoyados</t>
  </si>
  <si>
    <t>Implementar la instalación de la Escuela Taller</t>
  </si>
  <si>
    <t>Escuela Taller implementada</t>
  </si>
  <si>
    <t xml:space="preserve">Apoyar 40 Evertos e Iniciativas Culturales y Artísticas </t>
  </si>
  <si>
    <t>Nº de Eventos e Iniciativas Culturales y Artísticas  apoyadas</t>
  </si>
  <si>
    <t xml:space="preserve">Asesorar a 300 jóvenes en programas de emprendimiento Cultural </t>
  </si>
  <si>
    <t>Nº de jóvenes Beneficiados</t>
  </si>
  <si>
    <t>Desarrollar 4 Talleres de capacitación en formulación y presentación de proyectos culturales, con el apoyo de Mincultura. Dos al año./ (Contratar)</t>
  </si>
  <si>
    <t>Número de Talleres realizados</t>
  </si>
  <si>
    <t>Desarrollar un taller de capacitación  de herramientas para el desarrollo de contenidos digitales, para publicarlos en la Web</t>
  </si>
  <si>
    <t>Implementar el programa de Colombia Creativa, programa de profesionalización con la Universidad del Tolima-Univ. De  Antioquia. Para Danza y Teatro.</t>
  </si>
  <si>
    <t>Programa en Operaciòn</t>
  </si>
  <si>
    <t>RECUPERACION, CONSTRUCCION Y ARTICULACION DEL SISTEMA DE ESPACIO PUBLICO MUNICIPAL</t>
  </si>
  <si>
    <t>SECRETARIA DE GOBIERNO / DIRECCION DE ESPACIO PUBLICO</t>
  </si>
  <si>
    <t xml:space="preserve">DIRECCION OPERATIVA INFIBAGUE </t>
  </si>
  <si>
    <t xml:space="preserve">JEFE OFICINA DE ALUMBRADO PUBLICO INFIBAGUE </t>
  </si>
  <si>
    <t>Cant M2 Recuperados  / Cant M2 ocupados ilegalmente</t>
  </si>
  <si>
    <t>No. de Alumbrados Navideños</t>
  </si>
  <si>
    <t xml:space="preserve"> Embellecer el espacio Publico con  un alumbrado navideño anual</t>
  </si>
  <si>
    <t>ORDENAMIENTO TERRITORIAL</t>
  </si>
  <si>
    <t>Realizar 4  Actualizaciones al Expediente Municipal (incluye el documento de seguimiento y evaluacion del POT vigente)</t>
  </si>
  <si>
    <t xml:space="preserve">Actualizar la caracterizacion y diagnostico Territorial del municipio  </t>
  </si>
  <si>
    <t xml:space="preserve">50 fichas de sectores normativos de   ajuste de la norma complementaria al POT vigente, acuerdo  09 de 2003 </t>
  </si>
  <si>
    <t xml:space="preserve">Formular e implementar dos instrumentos de financiacion del desarrollo municipal </t>
  </si>
  <si>
    <t>SECRETARIO DE PLANEACION/ DIRECTOR  GRUPO DE P.O.T</t>
  </si>
  <si>
    <t>SEGURIDAD ES PREVENCION Y ATENCION DE DESASTRES</t>
  </si>
  <si>
    <t>Caracterizacion de 3 amenazas</t>
  </si>
  <si>
    <t xml:space="preserve">Atencion oportuna en ayudas humanitarias y asistencial al 99% de la poblacion afectada por desastres </t>
  </si>
  <si>
    <t>SECRETARIA DE SALUD / GPAD</t>
  </si>
  <si>
    <t>% de poblacion atendida</t>
  </si>
  <si>
    <t>Formulacion de 5 proyectos de Reconstruccion y Rehabilitacon de zonas afectadas por desastres</t>
  </si>
  <si>
    <t>Determinar el 100% de infraestructura (vias, puentes, escuelas, puestos de salud, viviendas) y poblacion en zona de riesgo por amenaza volcanica y rondas hidricas</t>
  </si>
  <si>
    <t>REUBICACION DE FAMILIAS LOCALIZADAS EN ZONAS DE RIESGO</t>
  </si>
  <si>
    <t>SECRETARIA DE DESARROLLO RURAL</t>
  </si>
  <si>
    <t>SECRETARIA DE INFRAESTRUCTURA</t>
  </si>
  <si>
    <t>SECRETARIA DE INFRAESTRUCTURA / RURAL</t>
  </si>
  <si>
    <t>Desarrollar programa de  beneficios en seguridad social para los artistas y gestores culturales, según lo establezcan los organismos encargados del orden nacional.</t>
  </si>
  <si>
    <t>Programa en Operación</t>
  </si>
  <si>
    <t xml:space="preserve">Realizar el Directorio Cultural de artistas de la ciudad, para promoción de actividades y servicios culturales, en formato digital web. </t>
  </si>
  <si>
    <t>Directorio Cultural en la Web</t>
  </si>
  <si>
    <t>Realizar el diseño, elaboración y administración de la pagina WEB de la Secretaria de Cultura, Turismo y Comercio</t>
  </si>
  <si>
    <t>Pagina Web de la Secretaria en Funcionamiento</t>
  </si>
  <si>
    <t>Articular con el SENA  la formación y titulación de 300 Técnicos en Producción de Audio Digital</t>
  </si>
  <si>
    <t>Nº de personas titulada</t>
  </si>
  <si>
    <t>Implementar un (1) Nuevo estudio de grabación de Audio.</t>
  </si>
  <si>
    <t>Nº de Estudios de grabación implementados</t>
  </si>
  <si>
    <t>Música y cultura para todos los ibaguereños</t>
  </si>
  <si>
    <t>Realizar 40 Eventos Musicales y Culturales para la Ciudad.</t>
  </si>
  <si>
    <t>Nº de eventos realizados</t>
  </si>
  <si>
    <t>Seleccionar y apoyar los 5 eventos principales y de gran impacto para la agenda Capital Musical.</t>
  </si>
  <si>
    <t>No. Eventos principales de la Agenda Capital Musical.</t>
  </si>
  <si>
    <t>Seleccionar y apoyar otros 5 eventos culturales y musicales de importancia que impulse y posicione la ciudad en actividades culturales.</t>
  </si>
  <si>
    <t>No. Eventos principales de la Agenda Cultural.</t>
  </si>
  <si>
    <t>Desarrollar una estrategia de marketing de ciudad entorno a los eventos culturales de la Agenda de los demás eventos.</t>
  </si>
  <si>
    <t>Estrategia de Marketing desarrollada</t>
  </si>
  <si>
    <t>Implementar un programa orientado a fortalecer las escuelas musicales y artísticas y culturales en el municipio.</t>
  </si>
  <si>
    <t>Elaborar un diagnostico de las escuelas musicales, artísticas y culturales</t>
  </si>
  <si>
    <t>Desarrollar un programa de fortalecimiento institucional a las escuelas musicales y artísticas del municipio, en temas como formalización, elaboración de proyectos culturales, y emprendimiento.</t>
  </si>
  <si>
    <t>Programa de Fortalecimiento a escuelas Musicales en operaciòn</t>
  </si>
  <si>
    <t>Más infraestructura al servicio de la cultura y de la comunidad.</t>
  </si>
  <si>
    <t>Gestionar y/o Cofinanciar el desarrollo de 2 Nuevos Escenarios culturales para el servicio de la comunidad</t>
  </si>
  <si>
    <t>Nº de Centros culturales desarrollados</t>
  </si>
  <si>
    <t>Elaborar 2 proyectos de construcción de Nuevos Centros Culturales.</t>
  </si>
  <si>
    <t>Nº de Proyectos elaborados</t>
  </si>
  <si>
    <t>Elaborar un reglamento de uso y responsable de los escenarios culturales de la ciudad.</t>
  </si>
  <si>
    <t>Reglamento en operaciòn</t>
  </si>
  <si>
    <t>Construir dos escenarios culturales</t>
  </si>
  <si>
    <t>Nº de Escenarios Culturales Construidos</t>
  </si>
  <si>
    <t>Rescate de nuestro patrimonio cultural como encuentro de la cultura y desarrollo de la ciudad</t>
  </si>
  <si>
    <t>Restaurar Dos Bienes de Interés Cultural de importancia regional y/o nacional</t>
  </si>
  <si>
    <t>Nº de Bienes Restaurados</t>
  </si>
  <si>
    <t>Realizar la propuesta de desarrollo del proyecto Panóptico de Ibagué entre las secretarías pertinentes, la Gobernación del Tolima y otros sectores</t>
  </si>
  <si>
    <t>Propuesta elaborada para Panòptico</t>
  </si>
  <si>
    <t>Realizar las obras de terminación del Panóptico de Ibagué y del Edificio del Antiguo DAS, hoy sede de la EFAC.</t>
  </si>
  <si>
    <t>Obras de restauraciòn Terminadas</t>
  </si>
  <si>
    <t>Realizar el diagnostico de monumentos, murales y otras obras o infraestructura de carácter cultural de la ciudad.</t>
  </si>
  <si>
    <t xml:space="preserve">Realizar la restauración de murales, obras, esculturas, de carácter cultural, como infraestructura patrimonial del municipio. </t>
  </si>
  <si>
    <t>Formación artística y cultural para un mejor desempeño y ejercicio profesional del artista</t>
  </si>
  <si>
    <t xml:space="preserve">formación a 340 estudiantes a través de la EFAC  </t>
  </si>
  <si>
    <t>Nº de Estudiantes beneficiados</t>
  </si>
  <si>
    <t>Realizar 4 talleres de capacitación y actualización para las auxiliares de la red de bibliotecas municipal.</t>
  </si>
  <si>
    <t>Realizar 4 Dotaciones de Equipos, Materiales y Libros para la Red de Bibliotecas Públicas de Ibagué</t>
  </si>
  <si>
    <t>Número de  Dotaciones de equipos, libros y Materiales realizadas</t>
  </si>
  <si>
    <t>Implementar la Conectividad y el Sistema SIABUC en todas las bibliotecas</t>
  </si>
  <si>
    <t>Número de Conectividades implementadas</t>
  </si>
  <si>
    <t>Vinculación de 17 Bibliotecarios y/o Auxiliares de Biblioteca para la Red de Bibliotecas Públicas</t>
  </si>
  <si>
    <t>Número de Bibliotecarios y/o Auxiliares de Biblioteca Contratados</t>
  </si>
  <si>
    <t>Mejorar la infraestructura del 50% de las Bibliotecas de la Red</t>
  </si>
  <si>
    <t>Porcentaje de bibliotecas adecuadas</t>
  </si>
  <si>
    <t>Inclusión y oportunidades para poblaciones especiales desde la cultura</t>
  </si>
  <si>
    <t>Desarrollar 6 programas de formación artística y cultural para la población víctima del conflicto registrados en el sistema</t>
  </si>
  <si>
    <t>Nº de Programas Desarrollados</t>
  </si>
  <si>
    <t>Trabajar desde el programa SIMIFARTE, en todas comunas.</t>
  </si>
  <si>
    <t>Numero de programas desarrollados</t>
  </si>
  <si>
    <t>Beneficiar a 2.000 personas con discapacidad física y cognitiva en procesos culturales</t>
  </si>
  <si>
    <t>Trabajar desde el programa SIMIFARTE, en todas comunas, en Danza y Música</t>
  </si>
  <si>
    <t>Articular con FIDES, 4 Eventos denominado Encuentro de Danza Folclórica Especial</t>
  </si>
  <si>
    <t>Eventos de Danza Folclorica Realizada</t>
  </si>
  <si>
    <t>Beneficiar a 4.000 personas de población de las minorías étnicas, en procesos culturales</t>
  </si>
  <si>
    <t>Apoyar las actividades que se celebren en conmemoración al día de la Afrocolombianidad, día de la raza y otras.</t>
  </si>
  <si>
    <t>Numero de Eventos Realizados y apoyados</t>
  </si>
  <si>
    <t>No. Atractivos señalizados</t>
  </si>
  <si>
    <t>Capacitación a 200 prestadores de servicios turisticos para la consolidación de un producto Turistico Especializado (Ruta Mutis-Eco y agroturismo)</t>
  </si>
  <si>
    <t>Apoyo a 3 eventos anuales que promueva la actividad turistica en la ciudad</t>
  </si>
  <si>
    <t>No. Eventos realizados</t>
  </si>
  <si>
    <t>Mesa de planificación Ibagué- subregión del centro del Tolima</t>
  </si>
  <si>
    <t>CONSTRUIR LA MESA DE PLANIFICACION REGIONAL IBAGUE- SUBREGION DEL CENTRO DEL TOLIMA</t>
  </si>
  <si>
    <t>MESA DE PLANIFICACION RESGIONAL INSTALADA</t>
  </si>
  <si>
    <t>2 proyectos  regionales concertados por la mesa de planificacion</t>
  </si>
  <si>
    <t>Nº de proyectos regionales formulados/ Nº de proyectos regionales aprobados</t>
  </si>
  <si>
    <t>formular e implementar cuatro proyectos con el fin de estrucutrar el cluster logistico</t>
  </si>
  <si>
    <t>Nº de proyectos formulados e implementados</t>
  </si>
  <si>
    <t>Formular y Estructurar el proyecto del sistema de transporte CABLE urbano DE IBAGUE</t>
  </si>
  <si>
    <t>No. De proyectos formulados y estructurados</t>
  </si>
  <si>
    <t>Formular y Estructurar el proyecto  del corredor logistico IBAGUE - FLANDES</t>
  </si>
  <si>
    <t>ente gestor en funcionamiento</t>
  </si>
  <si>
    <t>Realizar 4 eventos feriales que promuevan el Cluster de Logistica</t>
  </si>
  <si>
    <t>No. De eventos friales realizados</t>
  </si>
  <si>
    <t>Formular el proyecto de la modernización del aeropuerto Perales</t>
  </si>
  <si>
    <t>No. De proyectos formulados</t>
  </si>
  <si>
    <t>INFIBAGUE - CLUSTER DE LOGISTICA</t>
  </si>
  <si>
    <t>Formular y estructurar el ente gestor de la movilidad</t>
  </si>
  <si>
    <t>Formulación de una política pública del sector rural</t>
  </si>
  <si>
    <t>FORMULACION DE LA POLITICA PUBLICA DEL SECTOR RURAL</t>
  </si>
  <si>
    <t>Politica publica formulada</t>
  </si>
  <si>
    <t>Srio de Desarrollo Rural</t>
  </si>
  <si>
    <t>Presentar un proyecto de acuerdo de re-conversion agricola</t>
  </si>
  <si>
    <t>PROYECTO DE ACUERDO PRESENTADO</t>
  </si>
  <si>
    <t>Director Umata</t>
  </si>
  <si>
    <t>Elaboración de un estudio del impacto del TLC en el municipio y acoger las recomendaciones para la mitigación de los sectores afectados.</t>
  </si>
  <si>
    <t>ESTUDIO  ELABORADO</t>
  </si>
  <si>
    <t>Programa de conservación de agua y suelo "procas</t>
  </si>
  <si>
    <t>( Nº de nuevas biofabricas instaladas / Nº total de Veredas ) x 100</t>
  </si>
  <si>
    <t>Diez y ocho (18) biofabricas instaladas en el período de gobierno</t>
  </si>
  <si>
    <t>Nº de biofabricas Instaladas</t>
  </si>
  <si>
    <t>SEGURIDAD ECONOMICA Y ALIMENTARIA</t>
  </si>
  <si>
    <t>SEGURIDAD PERSONAL Y DE LA COMUNIDAD</t>
  </si>
  <si>
    <r>
      <t xml:space="preserve">SEGURIDAD </t>
    </r>
    <r>
      <rPr>
        <b/>
        <sz val="16"/>
        <rFont val="Tahoma"/>
        <family val="0"/>
      </rPr>
      <t>(Click sobre el Eje para Ver)</t>
    </r>
  </si>
  <si>
    <t>SEGURIDAD EDUCATIVA Y SALUD</t>
  </si>
  <si>
    <t>SEGURIDAD AMBIENTAL Y ENTORNO</t>
  </si>
  <si>
    <t>GOBIERNO EN LINEA: HACIA UNA IBAGUE DIGITAL</t>
  </si>
  <si>
    <t>Implementar la ventanilla única de trámites y servicios a través del portal de la Alcaldía Municipal de Ibagué</t>
  </si>
  <si>
    <t>N° de trámites implementados/ N° de tramites existentes*100</t>
  </si>
  <si>
    <t xml:space="preserve"> N° de servicios implementados/N° de servicios existentes*100
</t>
  </si>
  <si>
    <t>3 (Impuesto Predial, Impuesto de Industria y Comercio, Generación factura energía)</t>
  </si>
  <si>
    <t>47 Servicios. Dentro de los que se encuentra información de la secretaria de planeación, educación, bienestar social, gobierno, infraestructura, cultura, comercio y turismo entre otros.</t>
  </si>
  <si>
    <t>Automatizar a través de la web los trámites  de la Alcaldía Municipal</t>
  </si>
  <si>
    <t>Nº de procedimientos automatizados</t>
  </si>
  <si>
    <t>Automatizar a través de la web los servicios  de la Alcaldía Municipal</t>
  </si>
  <si>
    <t>ADMINISTRATIVO GRUPO DE INFORMATICA</t>
  </si>
  <si>
    <t>Diseñar una metodología de capacitación en Tics a la ciudadanía sobre el uso del portal de la Alcaldía Municipal. (Implementar 7 centros de capacitación virtual en la administración municipal)</t>
  </si>
  <si>
    <t>Nº de Talleres Capacitación realizados/ N de talleres programados*100</t>
  </si>
  <si>
    <t>implementar 7 centros de capacitacion virtual en la administracion municipal</t>
  </si>
  <si>
    <t>capacitaciones a la ciudaddania en el uso del portal de de la alcaldia municipal</t>
  </si>
  <si>
    <t>No de talleres realizados</t>
  </si>
  <si>
    <t>7 centros de capacitacion virtual</t>
  </si>
  <si>
    <t>Capacitar al 20% de los pequeños productores del municipio de Ibague en alianzas con las entidades financieras del sector agropecuario para fomentar el acceso a las lineas de credito de FINAGRO</t>
  </si>
  <si>
    <t xml:space="preserve">900 familias de pequeños productores capacitados en el acceso a las lineas de credito FINAGRO en el periodo de gobierno </t>
  </si>
  <si>
    <t>Nº de familias de Pequeños Productores capacitados</t>
  </si>
  <si>
    <t xml:space="preserve">Incrementar la cobertura de la  asistencia tecnica directa en un 33% a familias de pequenos productores del Municipio </t>
  </si>
  <si>
    <t>Programa de fomento y apoyo a la producción de cafés especiales</t>
  </si>
  <si>
    <t>El 10% delas familias Cafeteras orientadas a la produccion de cafes especiales</t>
  </si>
  <si>
    <t>(N° de familias cafeteras con producciones de cafes especiales/ N° total de familias cafeteras) x100</t>
  </si>
  <si>
    <t>400 familias cafeteras asistidas tecnicamente en la produccion de cafes especiales</t>
  </si>
  <si>
    <t>Nº de familias cafeteras asistidas tecnicamente</t>
  </si>
  <si>
    <t>Programa de apoyo al proceso de certificación  de productos de gran valor de la apuesta exportadora</t>
  </si>
  <si>
    <t>Aumentar en un 10% el acceso de los productores agropecuarios a procesos de certificacion de productos de gran valor</t>
  </si>
  <si>
    <t>(Nº de asociaciones y/o productores con procesos de certificacion / Nº de asociaciones agropecuarias del municipio) X 100</t>
  </si>
  <si>
    <t>Doce (10) Asociaciones y/o productores independientes agropecuarios que adelantan proceso de certificacion para darle valor agregado a sus productos en los cuatro años</t>
  </si>
  <si>
    <t>Nº de asociaciones y/o productores que adelantan procesos de certificacion</t>
  </si>
  <si>
    <t>programa municiapal agropuecuario ecologico</t>
  </si>
  <si>
    <t>formular Un progama agropecuario ecologico (PROMAE)</t>
  </si>
  <si>
    <t>programa formulado</t>
  </si>
  <si>
    <t xml:space="preserve">No. (PROMAE) formulados </t>
  </si>
  <si>
    <t>Ibagué  rural se compromete con la población víctima del conflicto</t>
  </si>
  <si>
    <t>Aumentar 20% EL NUMERO DE FAMILIAS BENEFICADAS CON EL PROGRAMA  de proyectos productivos</t>
  </si>
  <si>
    <t>N°  de familias VICTIMAS DEL CONFLICTO acogidas en el proyecto</t>
  </si>
  <si>
    <t>Atencion a familias desplazadas</t>
  </si>
  <si>
    <t>N° de familias desplazadas asistidos tecnicamente</t>
  </si>
  <si>
    <t>Programa de impulso a la asociatividad y formación de redes para apoyar proyectos productivos agropecuarios, forestales y pesqueros.</t>
  </si>
  <si>
    <t>PROMOVER LA PARTICIPACION DEL 10% DE LAS ASOCIACIONES EN PROCESOS DE ENCADENAMIENTOS PRODUCTIVOS</t>
  </si>
  <si>
    <t>N° de asociaciones que participan en las convocatorias/</t>
  </si>
  <si>
    <t>Diez (10) asociaciones participando en procesos de convocatorias y proyectos productivos</t>
  </si>
  <si>
    <t>N° de asociaciones participando  en proyectos productivos</t>
  </si>
  <si>
    <t>PROMOVER LA COMERCIALIZACION EN El 25% de las asociaciones  conformadas y formalizadas</t>
  </si>
  <si>
    <t>(Nº de asociaciones que comercializan SUS PRODUCTOS/ Nº de asociaciones agropecuarias del municipio) X 100</t>
  </si>
  <si>
    <t xml:space="preserve">Diez (10) asociaciones de Pequeños Productores que realizan escalonamiento productivo ubicando sus productos en cadenas de hipermercados </t>
  </si>
  <si>
    <t>Nº de asociaciones que comercializan sus productos en hipermercados</t>
  </si>
  <si>
    <t>realizar 72 audiencias de rendicion de cuentas (por comunas, rurales y generales)</t>
  </si>
  <si>
    <t>Audiencias de rendición de cuentas realizadas</t>
  </si>
  <si>
    <t>Seguimiento y evaluación al 100% de políticas públicas implementadas</t>
  </si>
  <si>
    <t>Nº de políticas públicas con seguimiento y evaluación/Nº de políticas públicas en el municipio</t>
  </si>
  <si>
    <t>10 (Indígenas; Adulto Mayor, Juventud; Equidad de Género, Discapacidad; Salud Mental; Erradicación del Trabajo Infantil; Ambiental; Infancia y Adolescencia; PIU)</t>
  </si>
  <si>
    <t>Elaborar 30 encuentros ciudadanos por comuna y por corregimiento para dar cumplimiento a la estrategia de presupuestos participativos</t>
  </si>
  <si>
    <t>Nº de encuentros realizados/Nº de encuentros programados</t>
  </si>
  <si>
    <t xml:space="preserve">realizar 93 encuentros ciudadanos </t>
  </si>
  <si>
    <t>Encuentros ciudadanos realizados</t>
  </si>
  <si>
    <t>RED DE ATENCION P.A.S - PUNTOS DE ATENCION Y SERVICIOS</t>
  </si>
  <si>
    <t>Creación de 5 Centros de Atención en puntos estratégicos de la ciudad del Sisbén.</t>
  </si>
  <si>
    <t>Nº de centros creados/programados</t>
  </si>
  <si>
    <t>SECRETARIO DE PLANEACION/DIRECTOR DEL SISBEN</t>
  </si>
  <si>
    <t>Implementación de la Inspección permanente Móvil</t>
  </si>
  <si>
    <t>Inspección permanente móvil en funcionamiento</t>
  </si>
  <si>
    <t>Mejoramiento de la malla vial terciaria</t>
  </si>
  <si>
    <t>Mantenimiento del 100% de la Malla vial</t>
  </si>
  <si>
    <t>Nº de Kms de  vias terciarias en mantenimiento y mejoramiento</t>
  </si>
  <si>
    <t>670 K m de malla vial rural con Mantenimiento permanente</t>
  </si>
  <si>
    <t xml:space="preserve">Agricultura Urbana </t>
  </si>
  <si>
    <t>Creacion de 10.000 huertas caseras en el Municipio</t>
  </si>
  <si>
    <t>Nº de huertas caseras instaladas</t>
  </si>
  <si>
    <t>Srio de Desarrollo Social</t>
  </si>
  <si>
    <t xml:space="preserve">Programa fomento y apoyo a la piscicultura </t>
  </si>
  <si>
    <t>Aumentar en un 20% la cobertura de beneficiarios Piscicolas del Municipio</t>
  </si>
  <si>
    <t>Nº de nuevos productores Piscicolas beneficiados del Municipio</t>
  </si>
  <si>
    <t>40 nuevas familias de Pequeños Productores Piscicolas Asistidos integralmente</t>
  </si>
  <si>
    <t>N° de productores Asistidos tecnicamente</t>
  </si>
  <si>
    <t>Policía metropolitana y fuerza de control urbano</t>
  </si>
  <si>
    <t>Construcción y puesta en funcionamiento de siete (7) equipamientos para la seguridad ciudadana.</t>
  </si>
  <si>
    <t>N°  de equipamientos construidos</t>
  </si>
  <si>
    <t>Apoyo el desarrollo de la construcción de un (1) complejo para la Policía Metropolitana</t>
  </si>
  <si>
    <t>Infraestructura apoyada</t>
  </si>
  <si>
    <t>Sec. De Gobierno</t>
  </si>
  <si>
    <t>Apoyo para el mejoramiento de la infraestructura de seguridad de las diferentes instituciones que operan en el Municipio.</t>
  </si>
  <si>
    <t>Infraestructura mejorada</t>
  </si>
  <si>
    <t>Mantenimiento del 100% del parque automotor al servicio de la seguridad ciudadana.</t>
  </si>
  <si>
    <t>% de mantenimiento realizado</t>
  </si>
  <si>
    <t>Apoyar proyectosde movilidad y reacción de las instituciones deseguridad que operan en el municipio.</t>
  </si>
  <si>
    <t>Proyectos apoyados</t>
  </si>
  <si>
    <t>Aumentar en un 20% el parque automotor al servicio de la seguridad ciudadana del municipio de Ibagué</t>
  </si>
  <si>
    <t>% de parque automotor adquirido al servicio de la ciudadanía</t>
  </si>
  <si>
    <t>Apoyar un proyecto que permita aumentar la capacidad de reacción presentado por la policía metropolitana</t>
  </si>
  <si>
    <t>Proyecto apoyado</t>
  </si>
  <si>
    <t>Puesta en marcha del programa de vigilancia comunitaria por cuadrantes en el 100% del territorio del municipio de Ibagué</t>
  </si>
  <si>
    <t>Nº. de cuadrantes implementados/no. de cuadrantes proyectados</t>
  </si>
  <si>
    <t xml:space="preserve">Implementación de cuadrantes comunitarios </t>
  </si>
  <si>
    <t>Cuadrantes creados</t>
  </si>
  <si>
    <t>Establecer el mapa de riesgos por comuna</t>
  </si>
  <si>
    <t>Mapa de riesgos establecido</t>
  </si>
  <si>
    <t>Implementación de un (1) sistema georeferenciado de seguimiento y evaluación de los comportamientos delictivos, el accionar de los GAML y de sus redes de apoyo en el territorio municipal a efectos de realizar la priorización de planes,  programas y proyectos</t>
  </si>
  <si>
    <t>Nº de sistemas implementados/Nº sistemas proyectados</t>
  </si>
  <si>
    <t>1 Diagnóstico para la implementación de los sistemas de gestión de calidad pública</t>
  </si>
  <si>
    <t>Diagnóstico para la implementación de los sistemas de gestión de calidad pública</t>
  </si>
  <si>
    <t>Realizar e implementar un Estudio que determine la estructuración de cada una de las Secretarías y Entes descentralizados de la Administración</t>
  </si>
  <si>
    <t>Nº.de estudios realizados</t>
  </si>
  <si>
    <t>1 Realizar un Estudio  que determine la estructuración de cada una de las Secretarías y Entes descentralizados de la Administración</t>
  </si>
  <si>
    <t>Realizar un estudio que determine la estructuración de cada una de las Secretarías y Entes descentralizados de la Administración</t>
  </si>
  <si>
    <t>Nº.de estudios implementados</t>
  </si>
  <si>
    <t>1 Implementar un Estudio  que determine la estructuración de cada una de las Secretarías y Entes descentralizados de la Administración</t>
  </si>
  <si>
    <t>Implementar la estructuración de cada una de las Secretarías y Entes descentralizados de la Administración</t>
  </si>
  <si>
    <t>40 procesos en gestión de calidad en la Administración Central y Entes Descentralizados</t>
  </si>
  <si>
    <t>certificación de 40 procesos</t>
  </si>
  <si>
    <t>Certificación de 40 procesos en gestión de calidad en la Administración Central y Entes Descentralizados</t>
  </si>
  <si>
    <t>Nº de procesos certificados</t>
  </si>
  <si>
    <t>15 ( 1 Hospital San Francisco, 1 de la USI, 10 del IBAL, 3 de Educación)</t>
  </si>
  <si>
    <t>Crear una (1) instancia de más alto nivel que formule, implemente y evalué las políticas ambientales en el municipio.</t>
  </si>
  <si>
    <t>La creación y puesta en marcha de esa instancia</t>
  </si>
  <si>
    <t>Crear una instancia  que formule, implemente y evalué las políticas ambientales en el municipio.</t>
  </si>
  <si>
    <t>Crear una unidad de reacción inmediata en salud 24 horas – Defensoría del paciente. Que velará por la atención adecuada y reaccionará de manera inmediata ante las quejas de usuarios del sistema de salud integral, funcionando las 24 horas del dia con personal tecnico, juridico y medico, para contruibuir en la solucion delos problemas deunciado, en busca de la pertienencia medica y en salvaguardo de la vida de los pacientes.</t>
  </si>
  <si>
    <t>Unidad de reacción inmediata creada</t>
  </si>
  <si>
    <t>Aumentar en un 20% la cobertura del sistema de seguridad al servicio de la ciudadanía</t>
  </si>
  <si>
    <t>% de cobertura ampliada</t>
  </si>
  <si>
    <t>Instalar alarmas comunitarias en los barrios de la ciudad.</t>
  </si>
  <si>
    <t>Alarmas instaladas</t>
  </si>
  <si>
    <t>ADQUISICIÓN DE 60 KITS DE VIGILANCIA ELECTRONICA MOVIL PARA EL MUNICIPIO (CCTV MOVIL)</t>
  </si>
  <si>
    <t>Nº DE KITS ADQUIRIDOS</t>
  </si>
  <si>
    <t>Construir una (1) sala CIEPS que permita garantizar la operatividad conjunta entre las diferentes instituciones de seguridad.</t>
  </si>
  <si>
    <t>Sala CIEPS construida</t>
  </si>
  <si>
    <t>Adquisición de equipos tecnológicos para mejora el servicio de seguridad</t>
  </si>
  <si>
    <t xml:space="preserve">Adquisición de equipos tecnológicos </t>
  </si>
  <si>
    <t>Ampliar el sistema de CCTV permitiendo mayor cobertura en la ciudad.</t>
  </si>
  <si>
    <t>Camaras de seguridad instaladas</t>
  </si>
  <si>
    <t xml:space="preserve">Mejoramiento de la tecnología para el sistema 123 </t>
  </si>
  <si>
    <t>Mejoramiento tecnológico para el sistema 123</t>
  </si>
  <si>
    <t>Atención integral del riesgo</t>
  </si>
  <si>
    <t>Construcción y puesta en funcionamiento de dos (2) equipamientos para el cuerpo oficial de bomberos</t>
  </si>
  <si>
    <t>N° de equipamientos en funcionamiento</t>
  </si>
  <si>
    <t>Construcción de dos (2) estaciones de bomberos en el Municipio de Ibagué.</t>
  </si>
  <si>
    <t>Estaciones de Bomberos construidas</t>
  </si>
  <si>
    <t>Sec. De Gobienro - C. O. de Bomberos</t>
  </si>
  <si>
    <t>Realización del mantenimiento a la infraestructura bomberil</t>
  </si>
  <si>
    <t>Estaciones de Bomberos con mantenimiento</t>
  </si>
  <si>
    <t>Incrementar en un 60% el número de efectivos al servicio del cuerpo oficial de bomberos</t>
  </si>
  <si>
    <t>Número de efectivos en el cuerpo oficial de bomberos</t>
  </si>
  <si>
    <t>Aumentar el personal del cuerpo oficial de bomberos</t>
  </si>
  <si>
    <t>Número de bomberos oficiales en la ciudad</t>
  </si>
  <si>
    <t>Adquirir 3 máquinas para el fortalecimiento del parque automotor del cuerpo oficial de bomberos</t>
  </si>
  <si>
    <t xml:space="preserve">N° de unidades adquiridas </t>
  </si>
  <si>
    <t>Adquisición de dos (2) máquinas de bomberos y un (1) vehículo de apoyo logístico.</t>
  </si>
  <si>
    <t>Maquinas de bomberos aequiridas</t>
  </si>
  <si>
    <t>Realización de un procesos contractual para la Adquisiciòn de equipos especializados para la atención de emergencias y desastres.</t>
  </si>
  <si>
    <t>Procesocelebrado</t>
  </si>
  <si>
    <t>realizar la adecuación a 4 escenarios deportivos (estadio de futbol,  parque deportivo,  coliseo cubierto y concha acústica) de acuerdo a los protocolos de seguridad, nacional e internacional</t>
  </si>
  <si>
    <t>N° de escenarios adecuados</t>
  </si>
  <si>
    <t>Adecuar cuatro (4) escenarios deportivos para la mitigación de riesgos implementando los protocolos de seguiridad.</t>
  </si>
  <si>
    <t>Escenarios deportivos adecuados</t>
  </si>
  <si>
    <t>Sec. De Gobierno e IMDRI</t>
  </si>
  <si>
    <t>capacitar a 600 ciudadanos en materia de prevención y atención de  incendios y calamidades conexas</t>
  </si>
  <si>
    <t>N° de ciudadanos capacitados</t>
  </si>
  <si>
    <t>Capacitar a 200 comerciantes en materia de riesgos de incendios y de ocurrencia natural</t>
  </si>
  <si>
    <t>Comerciantes capacitados</t>
  </si>
  <si>
    <t>Capacitar a 400 jóvenes en materia de prevención de riesgos</t>
  </si>
  <si>
    <t>Jóvenes capacitados</t>
  </si>
  <si>
    <t>Realizar campañas de Bomberos en su Barrio con el fin de socializar las técnicas de prevención de desastres.</t>
  </si>
  <si>
    <t>Campañas Realizadas</t>
  </si>
  <si>
    <t>realizar uno (1) simulacro por año de atención y prevención de desastres</t>
  </si>
  <si>
    <t>N° de simulacro en prevención de desastres</t>
  </si>
  <si>
    <t>Realización de un (1) simulacro anual con enfasis en los diferentes tipos de emergencia.</t>
  </si>
  <si>
    <t>Simulacros realizados</t>
  </si>
  <si>
    <t>aumentar en un 15% la capacidad de respuesta de la comunidad del municipio en torno al manejo integral del riesgo</t>
  </si>
  <si>
    <t>Programa de formación en gestión del riesgo implementado</t>
  </si>
  <si>
    <t>Desarrollo de un proceso de formación anual a la comunidad en general en atención del riesgo.</t>
  </si>
  <si>
    <t>Proceso de formación realizado</t>
  </si>
  <si>
    <t>Seguridad vial</t>
  </si>
  <si>
    <t>Reducir en un 50% el número de accidentes de tránsito</t>
  </si>
  <si>
    <t>Nº de accidentes de tránsito</t>
  </si>
  <si>
    <t>Demarcar 60.000 M2 de Señalizacion Horizontal en Intersecciones Viales</t>
  </si>
  <si>
    <t>Demarcar 100.000 ML de Señalización Horizontal en la Malla vial</t>
  </si>
  <si>
    <t>Nº DE ML DEMARCADOS</t>
  </si>
  <si>
    <t xml:space="preserve">Instalacion de 1200 señales viales verticales </t>
  </si>
  <si>
    <t>Nº DE SEÑALES INSTALADS</t>
  </si>
  <si>
    <t>Diseño e implementación de cien (100) auditorias de seguridad vial en la red vial básica urbana y casos de concentración de accidentes de tránsito y/o de personas</t>
  </si>
  <si>
    <t>Nº de auditorias  diseñadas e implementadas</t>
  </si>
  <si>
    <t>Reducir en un 50% el número de casos de muertes por accidentes de tránsito</t>
  </si>
  <si>
    <t>Nº de casos de muertes por accidentes de tránsito.</t>
  </si>
  <si>
    <t>Realizar 400 Operativos de Control de Seguridad Vial para evitar la conducción en estado de embriaguez</t>
  </si>
  <si>
    <t>Establecimiento de 4 Convenios Interadministrativos para el Mejoramiento de la Seguridad Vial</t>
  </si>
  <si>
    <t>Realizar 20 Campañas de educación, prevención y seguridad vial dirigidas a los peatones, conductores de vehículos y motocicletas, ciclistas, peatones.</t>
  </si>
  <si>
    <t>Modernización de 100 % la red semafórica del Municipio.</t>
  </si>
  <si>
    <t>Cobertura de inmunización contra el Neumococo en niños y niñas de 1 año</t>
  </si>
  <si>
    <t>La cobertura de inmunización con Triple Viral en niños y niñas  de 1 año no será inferior al 95%</t>
  </si>
  <si>
    <t>% de cumpliendo con la  guia de atencion de planificaion familiar - según las norma.</t>
  </si>
  <si>
    <t>60 Seguimientos  a EPS/IPS</t>
  </si>
  <si>
    <t>La tasa de mortalidad por cancer de cuello uterino no superara 12 mujeres x 100.000.</t>
  </si>
  <si>
    <t xml:space="preserve"> promedio  2005-2009 de Tasa de mortalidad por Cáncer de Cuello Uterino </t>
  </si>
  <si>
    <t xml:space="preserve">94% DE CUBRIMIENTO EN POBLACION SENSIBILIZADA   CON DIFERENTES ESTRATEGIAS DE IEC.   Y 100%  EN LA VIGILANCIA   DE LAS IPS QUE TOMAN CITOLOGIA.                                                                                             </t>
  </si>
  <si>
    <t>POBLACION SENSIBILIZADA EN PROMOCION Y PREVENCION DE   CA CUELLO UTERINO A TRAVES DE  LA ESTRATEGIA IEC.                    Y  100% de EPS cumpliendo la meta institucional.</t>
  </si>
  <si>
    <t>alrededor de 8 estrategias IEC Y 60 Seguimientos  a EPS/IPS</t>
  </si>
  <si>
    <t>La tasa de prevalencia de infeccion x VIH no superara el 1%</t>
  </si>
  <si>
    <t xml:space="preserve"> promedio  de 2007/2010 Prevalencia de Infección por VIH , poblacion de 15 a 49 años</t>
  </si>
  <si>
    <t xml:space="preserve">94% DE CUBRIMIENTO EN POBLACION SENSIBILIZADA   A TRAVES E LA ESTRATEGIA IEC                                                          </t>
  </si>
  <si>
    <t>La cobertura de terapia Antiretroviral para VIH positivo sera del 88.5%</t>
  </si>
  <si>
    <t>Cobertura de Terapia Antirretroviral para VIH positivos</t>
  </si>
  <si>
    <t>100% de vigilancia y seguimiento a las guia de atenciòn en VIH.</t>
  </si>
  <si>
    <t>% de cumpliendo con la  guia de atencion en VIH  - según las norma.</t>
  </si>
  <si>
    <t>La cobertura de mujeres gestantes que asisten a control prenatal para la prueba de VIH (Elisa) sera del 95%</t>
  </si>
  <si>
    <t>Porcentaje de mujeres gestantes que asistieron a control prenatal y que se practicaron la prueba de VIH (elisa)  año 2009</t>
  </si>
  <si>
    <t>Creación del observatorio deportivo en las trece (13) comunas de Ibagué, garantizando el fortalecimiento de escuelas de formación deportiva, la buena practica de cada una de las disciplinas de deporte.</t>
  </si>
  <si>
    <t>Nº de familias de Pequeños Productores Asistidos y capacitados tecnicamente</t>
  </si>
  <si>
    <t>PLAN DE DESARROLLO IBAGUE CAMINO A LA SEGURIDAD HUMANA</t>
  </si>
  <si>
    <t>PLAN INDICATIVO 2012-2015</t>
  </si>
  <si>
    <t>Tasa de trasmision materno infantil debe ser igual o menor al 2%</t>
  </si>
  <si>
    <t>Tasa de transmision materno infantil de VIH</t>
  </si>
  <si>
    <t>80%de captacion temprana de la gestante  al control prenatal y seguimiento al tratamiento en VIH +</t>
  </si>
  <si>
    <t xml:space="preserve"> cobertura en control prenatal en el trimestre de gestacion</t>
  </si>
  <si>
    <t>por establecer linea de base</t>
  </si>
  <si>
    <t>El % de embarazo en  mujeres adolescentes no sera superior al 15% (Conforme a la meta nacional ODM)</t>
  </si>
  <si>
    <t>El porcentaje de mujeres de 15 a 19 años que han sido madre o estan en embarazo promedios de 2008-2009</t>
  </si>
  <si>
    <t>POBLACION JOVEN ESCOLARIZADA Y DESESCOLARIZADA SENSIBILIZADA EN PROMOCION Y PREVENCION RELACIONADA CON LA SSR  ATRAVES DE  LA ESTRATEGIA IEC.                    Y  100% de EPS cumpliendo la meta institucional.</t>
  </si>
  <si>
    <t>15 IPS</t>
  </si>
  <si>
    <t>La tasa de mujeres gestantes con Sifilis que han sido diagnosticadas y tratadas antes de la semana 17 sera del 95%</t>
  </si>
  <si>
    <t>Porcentaje de mujeres gestantes con sífilis que han sido diagnosticadas y tratadas antes de la semana 17, fuente sivigila.</t>
  </si>
  <si>
    <t>VIGILANCIA AL 100% DE LOS EVENTOS IDENTIFICADOS Y NOTIFICADOS.</t>
  </si>
  <si>
    <t xml:space="preserve"> SEGUIMIENTO Y VIGILANCIA A POBLACION EMBARAZADAS,    TRATAMIENTOS  DE SIFILIS  GESTACIONAL  </t>
  </si>
  <si>
    <t xml:space="preserve">La tasa de Sifilis congenita no superara el 0.5 x 1000. </t>
  </si>
  <si>
    <t>Tasa de sifilis congénita promedio 2005-2009 x 1000nv</t>
  </si>
  <si>
    <t>POBLACION GENERAL SENSIBILIZADA EN PROMOCION Y PREVENCION  DE ENFERMEDADES DE TRANSMISION SEXUAL (SIFILIS)  ATRAVES DE  LA ESTRATEGIA IEC.                    Y  100% de EPS cumpliendo la meta institucional.</t>
  </si>
  <si>
    <t>38 x 100,000 (11)</t>
  </si>
  <si>
    <t>82,08% (6781)</t>
  </si>
  <si>
    <t>98,96% (9802,6)</t>
  </si>
  <si>
    <t>98,94% (9800)</t>
  </si>
  <si>
    <t>8,1% (1975)</t>
  </si>
  <si>
    <t>7,5% (10613)</t>
  </si>
  <si>
    <t>11,18 x100,000 mujeres (29)</t>
  </si>
  <si>
    <t>271,1 (99)</t>
  </si>
  <si>
    <t>Disminuir en 20% el número de casos presentados por abuso sexual en niños, niñas, adolescentes y jóvenes. (Línea base 203)</t>
  </si>
  <si>
    <t>Número de casos presentados por  abusosexual en niños, niñas, adolescente y jóvenes</t>
  </si>
  <si>
    <t>Disminuir en 20%  el número de adolescentes entre 14 y 17 años infractores de la Ley Penal vinculados a procesos judiciales (Línea base 451)</t>
  </si>
  <si>
    <t>Número de adolescentes entre 14 y 17 infractores de la Ley Penal vinculados a procesos judiciales</t>
  </si>
  <si>
    <t>Adelantar estrategias que permitan disminuir el porcentaje de adolescentes entre 14 y 17 años privados de libertad procesados conforme a la ley (No hay Línea base)</t>
  </si>
  <si>
    <t>Porcentaje de adolescentes entre 14 y 17 años privados de libertad procesados conforme a la ley</t>
  </si>
  <si>
    <t>Realización de una campaña de sencivilización sobre la violencia intrafamiliar.</t>
  </si>
  <si>
    <t>Sec. De Gobierno - Direción de Justicia</t>
  </si>
  <si>
    <t>Realizar una campaña permanente sobre la convivencia ciudadana</t>
  </si>
  <si>
    <t>Adelantar 4 campañas de promoción, divulgación y sensibilización en justicia previa y conciliatoria</t>
  </si>
  <si>
    <t>Implementar un centro de conciliación en equidad en cada comuna</t>
  </si>
  <si>
    <t>Centros de conciliación implementados</t>
  </si>
  <si>
    <t>Adelantar una campaña anual para la promoción del uso de la justicia de conciliación y de paz en la ciudad</t>
  </si>
  <si>
    <t>Campañas adelantadas</t>
  </si>
  <si>
    <t>Construir y poner en funcionamiento una casas de justicia y centro de convivencia ciudadana.</t>
  </si>
  <si>
    <t>Casa de juscitica construida</t>
  </si>
  <si>
    <t>Fortalecimiento permanente de la Dirección de Justicia</t>
  </si>
  <si>
    <t>Dirección fortalecida</t>
  </si>
  <si>
    <t>Mejorar la operatividad de la inspección ambiental dentro de los cuatro (4) años.</t>
  </si>
  <si>
    <t>Inspección fortalecida</t>
  </si>
  <si>
    <t>Ampliación y fortalecimiento de servicios de la casa de justicia del norte</t>
  </si>
  <si>
    <t>Fortalecimiento de la casa de justicia</t>
  </si>
  <si>
    <t>ADOPCION Y PUESTA EN FUNCIONAMIENTO DE 13 PROGRAMAS DE PREVENCION DE LA REVICTIMIZACION</t>
  </si>
  <si>
    <t>N° PROGRAMAS ADOPTADOS Y EN FUNCIONAMIENTO/TOTAL DE PROGRAMAS</t>
  </si>
  <si>
    <t>Sec. De Gobierno,UAO</t>
  </si>
  <si>
    <t>FORTALECER CON 5 PROFESIONALES LAS REDES DE APOYO A VICTIMAS BAJO LA COORDINACION DE LOS CAVIF - CAIVAS</t>
  </si>
  <si>
    <t xml:space="preserve">N° DE PROFESIONALES CONTRATADOS/TOTAL DE PROFESIONALES </t>
  </si>
  <si>
    <t>COORDINAR LA OPERACIÓN DE UNA MESA ESTATAL DE PREVENCIÒN Y PROTECCION A VICTIMAS DEL CONFLICTO ARMADO</t>
  </si>
  <si>
    <t>N° DE MESAS EN OPERACIÓN/TOTAL DE MESAS</t>
  </si>
  <si>
    <t>Desarrollar un proceso de formación y socialización sobre las diferentes costumbres y tradiciones de los diferentes grupos étnicos que reciden en el Municipio.</t>
  </si>
  <si>
    <t>Realizar 8 campañas sobre la mitigación de la violencia de genero en el Municipio.</t>
  </si>
  <si>
    <t>Establecer la Oficina de Minorías Étnicas en el Municipio.</t>
  </si>
  <si>
    <t>Oficina establecida</t>
  </si>
  <si>
    <t>Apoyar el reconocimiento de 3 grupos indigenas en el Municipio.</t>
  </si>
  <si>
    <t>Grupos indigenas con reconocimiento.</t>
  </si>
  <si>
    <t>Apoyar la aplicación de nuevas tecnologías de seguiridad por parte de las empresas privadadas en el Municipio.</t>
  </si>
  <si>
    <t>Empresas apoyadas</t>
  </si>
  <si>
    <t>Empresas enlazadas con los sistemas de seguridad de la ciudad.</t>
  </si>
  <si>
    <t>Empresas enlazadas a los sistemas de seguridad</t>
  </si>
  <si>
    <t>Implementar planes de seguiridad en las 10 empresas más importantes de la ciudad.</t>
  </si>
  <si>
    <t>Empresas con planes de seguiridad implementados.</t>
  </si>
  <si>
    <t>Construcción de un (1) centro de resocialización para los menores infractores.</t>
  </si>
  <si>
    <t>Centro de resocialización construido</t>
  </si>
  <si>
    <t>Desarrollar cuatro (4) campañas de preveción a la reincidencia al delito a menores.</t>
  </si>
  <si>
    <t>Campañas desarrolladas</t>
  </si>
  <si>
    <t>Construcción y dotación de la Unidad Permanente de justicia.</t>
  </si>
  <si>
    <t>Unidad permanente de justicia construida</t>
  </si>
  <si>
    <t>Realizar el acompañamiento de las familias con menores infractores</t>
  </si>
  <si>
    <t>Familias con acompañamientos</t>
  </si>
  <si>
    <t>Implementar el Observatorio de Derechos Humanos</t>
  </si>
  <si>
    <t>Observatorio de derechos humanos implementado</t>
  </si>
  <si>
    <t>Construir la política pública de minorías etnicas</t>
  </si>
  <si>
    <t>Política Pública construida</t>
  </si>
  <si>
    <t>Implementación del sistema nacional de Derechos Humanos en el Municpio.</t>
  </si>
  <si>
    <t>Sistema de Derechos Humanos implementado</t>
  </si>
  <si>
    <t>Dotar las inspecciones de policía de equipos tecnológicos nuevos.</t>
  </si>
  <si>
    <t>Inspecciones de policía con equipos nuevos</t>
  </si>
  <si>
    <t>Realizar una campaña sobre la disminución del abuso sexual a menores.</t>
  </si>
  <si>
    <t>Realización de jornadas de socialización de la ley penal aplicada a los jóvenes.</t>
  </si>
  <si>
    <t>Jornadas de socialización realizadas</t>
  </si>
  <si>
    <t>apoyar 20 clubes juveniles.</t>
  </si>
  <si>
    <t>clubes juveniles apoyados</t>
  </si>
  <si>
    <t>El policía, mi amigo</t>
  </si>
  <si>
    <t>Implementación del programa de policía comunitaria en el Municipio de Ibagué</t>
  </si>
  <si>
    <t>Programa de policía comunitaria implementado en el Municipio de Ibagué</t>
  </si>
  <si>
    <t>Realiazación de 13 actividades con la policía comunitaria en las comunas de Ibagué</t>
  </si>
  <si>
    <t xml:space="preserve"> Implementación del plan de mejoramiento integral de barrios - MIB-  en las 13 comunas</t>
  </si>
  <si>
    <t>N° de comunas beneficiadas</t>
  </si>
  <si>
    <t>Realización de 30 campañas de acompañamiento en los barrios</t>
  </si>
  <si>
    <t>Formulación e implementación de la política pública de seguridad y convivencia.</t>
  </si>
  <si>
    <t>Nº de política pública formulada e implementada</t>
  </si>
  <si>
    <t>Construcción de la Política pública de seguridad para el Municipio.</t>
  </si>
  <si>
    <t>Implementar la red institucional del observatorio del delito</t>
  </si>
  <si>
    <t>Observatorio implementado</t>
  </si>
  <si>
    <t>Implementación y sostenimiento del observatorio del delito.</t>
  </si>
  <si>
    <t>obsevatorio del delito implementado y sostenido</t>
  </si>
  <si>
    <t>33.04 * 100.000 hab ( A Dic/10. Fuente Perfil epidemiológico)</t>
  </si>
  <si>
    <t>NUMERO DE GRUPOS INTERVENIDOS</t>
  </si>
  <si>
    <t>DOCENTES CAPACITADOS</t>
  </si>
  <si>
    <t>POBLACION SENSIBILIZADA EN TEMAS DE SALUD MENTAL</t>
  </si>
  <si>
    <t>MUJERES EN SITUACION DE DESPLAZAMENTO CAPACITADAS</t>
  </si>
  <si>
    <t>1</t>
  </si>
  <si>
    <t>PLAN MUNICIPAL DE REDUCCION DEL CONSUMO DE SUSTANCIAS PSICOATIVAS Y SU IMPACTO EN EL INDIVIDUO, LA FAMILIA Y LA SOCIEDAD ACTUALIZADO</t>
  </si>
  <si>
    <t>VIGILANCIA EPIDEMIOLOGICA VIOLENCIA INTRAFAMILIAR Y SEXUAL</t>
  </si>
  <si>
    <t>ESTRATEGIAS DE MITIGACION DE DAÑOS Y RIESGOS ASOCIADOS AL CONSUMO DE SPA IMPLEMENTADAS</t>
  </si>
  <si>
    <t>Levantamiento linea de base de personas que sufren enfermedades mentales en el municipio</t>
  </si>
  <si>
    <t>Linea de base</t>
  </si>
  <si>
    <t>ESTUDIO MUNICIPAL DE SALUD MENTAL</t>
  </si>
  <si>
    <t>Linea amiga de ayuda y orientación en salud mental</t>
  </si>
  <si>
    <t>LINEA AMIGA EN FUNCIONAMIENTO</t>
  </si>
  <si>
    <t>La tasa de mortalidad por suicido no superara la meta de 4 casos x 100.000 habitantes</t>
  </si>
  <si>
    <t>La tasa de incidencia de intentos de suicidio no superara 33 casos por 100.000 habitantes</t>
  </si>
  <si>
    <t>Crear una linea amiga de ayuda y orientacion en la salud mental</t>
  </si>
  <si>
    <t>SALUD PÚBLICA - NUTRICIÓN</t>
  </si>
  <si>
    <t xml:space="preserve">REDUCIR LA DESNUTRICION GLOBAL  EN NIÑOS Y NIÑAS MENORES DE 5 AÑOS A 1.5% </t>
  </si>
  <si>
    <t>PORCENTAJE DE NIÑOS, NIÑAS MENORES DE 5 AÑOS QUE PRESENTAN BAJO PESO PARA LA EDAD</t>
  </si>
  <si>
    <t xml:space="preserve"> 2.2% ENSIN 2010</t>
  </si>
  <si>
    <t>208 capacitaciones en guías alimentarias</t>
  </si>
  <si>
    <t>CAPACITACIÓN EN GUIAS ALIMENTARIAS</t>
  </si>
  <si>
    <t>Cultura ciudadana,  cultura para la convivencia</t>
  </si>
  <si>
    <t xml:space="preserve">Realizar 24 campañas con el fin de reducir  la incidencia de problemas socialmente relevantes en especial el de las drogas entre los niños,  niñas,  adolescentes y jóvenes del municipio. </t>
  </si>
  <si>
    <t>Realización de 24 campañas en colegios procurando reducir el consumo de sustancias ilegales.</t>
  </si>
  <si>
    <t>Adopción y puesta en marcha del programa “Departamentos y Municipios Seguros” (DMS).</t>
  </si>
  <si>
    <t xml:space="preserve">Nº de programas </t>
  </si>
  <si>
    <t>Celebración con la Gobernación del tolima un combenio de cooperación en materia de seguiridad.</t>
  </si>
  <si>
    <t>Convenios celebrados</t>
  </si>
  <si>
    <t>Diseño, adopción y operación de una estrategia integral de desarme a partir del plan maestro de seguridad y convivencia ciudadana</t>
  </si>
  <si>
    <t>Estrategia de desarme adoptada e implementada</t>
  </si>
  <si>
    <t>Desarrollar e imlementar un plan desarme</t>
  </si>
  <si>
    <t>Plan Implementado</t>
  </si>
  <si>
    <t>Promoción y adopción del programa "ciudadano legal", orientado a la no comercialización de productos ilegales</t>
  </si>
  <si>
    <t>Programa implementado</t>
  </si>
  <si>
    <t>Realización de una campaña para la no comercialización de productos ilegales.</t>
  </si>
  <si>
    <t>Adelantar un (1) convenio anual con el ministerio del interior y el SENA para la formación de formadores en derechos humanos y derecho internacional humanitario</t>
  </si>
  <si>
    <t>Nº de convenios</t>
  </si>
  <si>
    <t>Capacitar 600 jovenes en derechos humanos y derecho internacional humanitario</t>
  </si>
  <si>
    <t>Capacitar al 30% de la población escolarizada del municipio en protección,  promoción y ejercicio de los derechos humanos y el derecho internacional humanitario</t>
  </si>
  <si>
    <t>% de población capacitada en DDHH y DHI</t>
  </si>
  <si>
    <t>Capacitar a 2,843 menores escolarizados en DDHH y DHI.</t>
  </si>
  <si>
    <t>Menores escolarizados capacitados</t>
  </si>
  <si>
    <t>sec. De gobierno y sec. Educación</t>
  </si>
  <si>
    <t>Jóvenes a lo bien</t>
  </si>
  <si>
    <t>capacitar a 1.000 jóvenes en alto riesgo delincuencial y/o des escolarizados,  en artes,  oficios,  competencias laborales y mecanismos de autogeneración de ingresos para impulsar su reinserción socioeconómica</t>
  </si>
  <si>
    <t>N° de jóvenes capacitados en competencias laborales y apuestas productivas</t>
  </si>
  <si>
    <t>Deasorrar 50 charlas en los colegios a los jóvenes previviendo el delito dentro y fuera de los planteles educativos.</t>
  </si>
  <si>
    <t>Charlas realizadas</t>
  </si>
  <si>
    <t>Sec. De Gobierno y sec. Bienestar Social.</t>
  </si>
  <si>
    <t>Suscripción de convenios con el Sena para la ejecución de programas de capacitación laboral en artes y oficios,  dirigidos a jóvenes en conflicto con la ley penal</t>
  </si>
  <si>
    <t>Nº de convenios suscritos</t>
  </si>
  <si>
    <t>Celebrar un convenio interinstitucional para capacitar a jóvenes en temas productivos.</t>
  </si>
  <si>
    <t>convenios celebrados</t>
  </si>
  <si>
    <t>Creación de un programa de seguridad orientado a garantizar la convivencia en el futbol</t>
  </si>
  <si>
    <t>Programa de convivencia en el futbol implementado</t>
  </si>
  <si>
    <t>Realización de campañas de seguiridad alrededor del estadio y escenarios deportivos.</t>
  </si>
  <si>
    <t>Sec. de Gobierno</t>
  </si>
  <si>
    <t>Implementación de Barras en paz</t>
  </si>
  <si>
    <t>Construcción de 13 redes comunales de participación juvenil</t>
  </si>
  <si>
    <t>N° redes de participación construidas</t>
  </si>
  <si>
    <t>Creación de grupos juveniles de apoyo para garantizar la convivencia ciudadana.</t>
  </si>
  <si>
    <t>Grupos de apoyo creados</t>
  </si>
  <si>
    <t>Sensibilizar   a 500 jóvenes por año que hayan delinquido, desescolarizados, y reincidentes, para que tengan una alternativa de vida diferentes reconstruyan su proyecto de vida y se proyecten ante la sociedad de una  manera diferente</t>
  </si>
  <si>
    <t>Nº De jóvenes sensibilizados</t>
  </si>
  <si>
    <t>Vinculación de 500 jóvenes desescolarizados a proyectos productivos</t>
  </si>
  <si>
    <t>Jóvenes vinculados a proyectos productivos</t>
  </si>
  <si>
    <t>Estructurar un sistema de participación juvenil en el territorio municipal desde la institucionalización de redes de participación a nivel comunitario</t>
  </si>
  <si>
    <t>Sistema de participación estructurado</t>
  </si>
  <si>
    <t>Establecer un sistema de participación democrático para jóvenes</t>
  </si>
  <si>
    <t>Sistema de participación establecido</t>
  </si>
  <si>
    <t>Voto joven</t>
  </si>
  <si>
    <t>Formar 100 jóvenes para desarrollar competencias en el ejercicio de control social y veedurías juveniles.</t>
  </si>
  <si>
    <t>Nº  de jóvenes formados</t>
  </si>
  <si>
    <t>CAPACITAR A 50 CONTRALORES ESTUDIANTILES EN CONTROL SOCIAL , INCIDENCIA POLITICA y formulacion de proyectos</t>
  </si>
  <si>
    <t>Desarrollar 8 talleres para jóvenes en el tema de responsabilidad penal.</t>
  </si>
  <si>
    <t>Talleres desarrollados</t>
  </si>
  <si>
    <t>Diplomado en DD.HH y asuntos juveniles</t>
  </si>
  <si>
    <t>No de diplomados realizados</t>
  </si>
  <si>
    <t xml:space="preserve"> Eco joven</t>
  </si>
  <si>
    <t>Impulsar y apoyar veinte (20) grupos juveniles que trabajen por la protección del medio ambiente "eco joven"</t>
  </si>
  <si>
    <t>Nº de Grupos Juveniles apoyados</t>
  </si>
  <si>
    <t xml:space="preserve">promocionar un grupo juvenil por año que trabaje por la proteccion de medio ambiente   </t>
  </si>
  <si>
    <t>Implementar el servicio social ambiental en la totalidad instituciones educativas públicas del municipio de Ibagué</t>
  </si>
  <si>
    <t>Nº de las instituciones educativas servicio</t>
  </si>
  <si>
    <t>implementar  20 servicios sociales ambientaIes dentro de las institucioneseducativas</t>
  </si>
  <si>
    <t xml:space="preserve">Nº de las instituciones educativas servicio 
social ambiental implementados
</t>
  </si>
  <si>
    <t>Apoyo al desarrollo de veinte (20) iniciativas académicas que propendan por la sostenibilidad y protección del medio ambiente.</t>
  </si>
  <si>
    <t>Nº de investigaciones o estudios apoyados social ambiental implementados</t>
  </si>
  <si>
    <t>realizas Cinco estudios o investigaciones apoyadas</t>
  </si>
  <si>
    <t>Nº de investigaciones o estudios apoyados</t>
  </si>
  <si>
    <t xml:space="preserve">2 campañas anuales de Informacion y promocion de los derechos humanos PARA los jovenes </t>
  </si>
  <si>
    <t>Nº de campañas realizadas/total de campañas</t>
  </si>
  <si>
    <t>Sec. De Gobierno - Direción de Justicia - APOYO A LA GESTION</t>
  </si>
  <si>
    <t>realizar  4 procesos de formacion que permitan fortalecer el  autoestima y aumentar el respeto por la vida por parte de los jovenes "proyecto de vida"</t>
  </si>
  <si>
    <t>Nº de procesos realizados/Nº DE PROCESOS</t>
  </si>
  <si>
    <t>Los jóvenes construyen su futuro</t>
  </si>
  <si>
    <t>Formar  a 160 jóvenes en tecnologías de la información y la comunicación e innovación (tics)</t>
  </si>
  <si>
    <t>Nº de jóvenes formados</t>
  </si>
  <si>
    <t>Realizar 4 curso de medios</t>
  </si>
  <si>
    <t>No de curso realizados</t>
  </si>
  <si>
    <t>Capacitar a 120 jóvenes entre 14 y 26 años para mejorar sus hábitos de vida, mejorar su salud y su vida sexual.</t>
  </si>
  <si>
    <t>REALIZAR 4 brigadas de prevencion y salud sexual y reproductiva</t>
  </si>
  <si>
    <t>Nº brigadas/TOTAL DE BRIGADAS</t>
  </si>
  <si>
    <t>Realizar una campaña anual de prevencion de mortalidad materna en jovenes en periodo de gestacion</t>
  </si>
  <si>
    <t>Realizar 20 estudios soporte para la implementación, revisión y ajuste del POT</t>
  </si>
  <si>
    <t>Nº. De estudios realizados</t>
  </si>
  <si>
    <t>Implementar el 100% de los Instrumentos de planeación para desarrollar y complementar el POT</t>
  </si>
  <si>
    <t>% de implementación</t>
  </si>
  <si>
    <t>Formular 10 planes maestros</t>
  </si>
  <si>
    <t>Nº. De planes maestros formulados</t>
  </si>
  <si>
    <t>legalizacion de 30sentamientos humanos</t>
  </si>
  <si>
    <t xml:space="preserve">Nº de asentamientos </t>
  </si>
  <si>
    <t>Reglamentación de 10 centros poblados</t>
  </si>
  <si>
    <t>Nº de centros poblados reglamentados</t>
  </si>
  <si>
    <t>realizar 1 evaluacion anual de curadores (licencias de urbanismo y de construccion)</t>
  </si>
  <si>
    <t>evaluaciones realizadas</t>
  </si>
  <si>
    <t>Implementación de 6 observatorios</t>
  </si>
  <si>
    <t>Observatorios implementados</t>
  </si>
  <si>
    <t>Actualización Estratificación Socioeconomica</t>
  </si>
  <si>
    <t>1 documento</t>
  </si>
  <si>
    <t>Actualizacion  e implementacion Microzonificación sismica</t>
  </si>
  <si>
    <t>Creación del sistema de información georeferenciado SIG</t>
  </si>
  <si>
    <t>sistema creado</t>
  </si>
  <si>
    <t>Actualización del sistema de información de catastro municipal SICAM</t>
  </si>
  <si>
    <t>sistema actualizado</t>
  </si>
  <si>
    <t>12 Estudios ambientales y de gestion del Riesgo</t>
  </si>
  <si>
    <t>No. De estudios</t>
  </si>
  <si>
    <t>Nº. De caracterizaciones realizadas</t>
  </si>
  <si>
    <t xml:space="preserve">Realizar un plan de Riesgo para el municipio </t>
  </si>
  <si>
    <t>Plan Realizado</t>
  </si>
  <si>
    <t>Nº. De Proyectos formulados</t>
  </si>
  <si>
    <t>Mejoramiento de 200 viviendas mediante Acciones de mitigacion Integral</t>
  </si>
  <si>
    <t>Nº. De familias beneficiadas</t>
  </si>
  <si>
    <t>Reubicacion de 1500 viviendas en zonas de riesgo y/o derivados de eventos catastroficos</t>
  </si>
  <si>
    <t>Lotes urbanizados para 1500 unidades de vivienda</t>
  </si>
  <si>
    <t xml:space="preserve">No. De familias beneficiadas </t>
  </si>
  <si>
    <t>1000 familias beneficiadas con la construcción de vivienda nueva</t>
  </si>
  <si>
    <t>Subsidios Gestionados para familias de escasos recursos</t>
  </si>
  <si>
    <t>No. de subsidios asignados</t>
  </si>
  <si>
    <t>No. de lotes urbanizados</t>
  </si>
  <si>
    <t>Nº. De mejoramientos</t>
  </si>
  <si>
    <t>Subsidios para  familias localizadas en zonas de riesgo y/o derivados de eventos catastroficos</t>
  </si>
  <si>
    <t>Nº. De Subsidios</t>
  </si>
  <si>
    <t xml:space="preserve">ALCANZAR EL 100% DE ATENCION  A  )PQR=  EN TEMAS RELACIONADOS CON LA ATENCION Y PRESTACION DE SERVICIOS DE SALUD </t>
  </si>
  <si>
    <t>ALCANZAR EL 94% ANUAL DE CUBRIMIENTO DE POBLACION INFORMADA / SENSIBILIZADA EN DERECHOS Y DEBERES  EN SALUD(IEC)</t>
  </si>
  <si>
    <t>GESTIONAR IMPLEMENTAR EL SERVICIO DE ORIENTACION Y APOYO 24 HORAS AL 100% ANUAL DE SOLICITUDES DE LA COMUNIDAD RELACIONADA CON LA PRESTACION DE LOS SERVICIOS PRESENTADAS EN LA SECRETARIA DE SALUD.</t>
  </si>
  <si>
    <t xml:space="preserve"> GESTION PROYECTO PARA ATENCION PRIMARIA MEDICA DE TELEMEDICINA DE COBERTURA URBANA Y RURAL</t>
  </si>
  <si>
    <t>LOGRAR UN 100% EN LA SOSTENIBILIDAD FINANCIERA EN LAS IPS PUBLICAS CONTRATANDO LA ATENCION DE LA PRESTACION DE SERVICIOS A LA POBLACION POBRE NO ASEGURADA</t>
  </si>
  <si>
    <t xml:space="preserve">PORCENTAJE </t>
  </si>
  <si>
    <t xml:space="preserve"> GARANTIZAR AL 100% ANUAL LA  PRESTACION DE LOS SERVICIOS DE SALUD A LA POBLACION NO ASEGURADA DEL MUNICIPIO( FUENTE MINISTERIO DE LA PROTECCION SOCIAL =</t>
  </si>
  <si>
    <t>INFANCIA</t>
  </si>
  <si>
    <t xml:space="preserve">no superarar 16,68 por cada 1000NV cada año </t>
  </si>
  <si>
    <t xml:space="preserve"> 16,68 por cada 1000NV </t>
  </si>
  <si>
    <t>Realizar un mantenimiento anual a las fachadas internas y externas de cada una de las 4 plazas de mercado (16 mantenimientos)</t>
  </si>
  <si>
    <t>Nº de plazas de  mercado pintadas intera y externa mente</t>
  </si>
  <si>
    <t>Disminuir a 300 el número de puestos en provisionalidad de las 4 plazas de mercado</t>
  </si>
  <si>
    <t>Número de puestos en provisionalidad</t>
  </si>
  <si>
    <t>Recuperación del 50% de la cartera de las plazas de mercado con corte a 31 de diciembre de 2011</t>
  </si>
  <si>
    <t>Mantenimiento y recuperacion de  catorce (14) fuentes del ornato urbano</t>
  </si>
  <si>
    <t>No. De fuentes  mantenidas y recuperadas</t>
  </si>
  <si>
    <t>Realizar 1344 Mantenimientos de limpieza</t>
  </si>
  <si>
    <t>Nº de mantenimientos realizados</t>
  </si>
  <si>
    <t>Realizar 672 Mantenimientos eléctricos e hidráulicos</t>
  </si>
  <si>
    <t>Obras de remodelación para las Fuentes de el Salado y calle 43 con cra 5a)</t>
  </si>
  <si>
    <t>Nº de  fuentes remodeladas</t>
  </si>
  <si>
    <t>Adelantar 1 estudio técnico para la remodelación de la plaza de la 14</t>
  </si>
  <si>
    <t>Estudios Realizados</t>
  </si>
  <si>
    <t xml:space="preserve">Implementar un proyecto piloto para la recuperación del espacio público en la Plaza del Jardin </t>
  </si>
  <si>
    <t>No. De Proyectos Implementados</t>
  </si>
  <si>
    <t xml:space="preserve">Porcentaje  Recuperado </t>
  </si>
  <si>
    <t>200 Ha beneficiadas con instrumentos de renovacion urbana</t>
  </si>
  <si>
    <t>No. De Ha adoptadas para renovacion en macroproyectos urbanos y planes parciales</t>
  </si>
  <si>
    <t>Implementación del 100% de la fase pre-operativa del SETP</t>
  </si>
  <si>
    <t>% implementado</t>
  </si>
  <si>
    <t>Implementar el 30% SETP en su parte operativa</t>
  </si>
  <si>
    <t>Incrementar el IPK de Ibagué de 1,8 al 2,1  de la fase I SETP</t>
  </si>
  <si>
    <t>Realizar el estudio de actualización del Diseño Conceptual del SETP de Ibagué</t>
  </si>
  <si>
    <t>Estudio realizado</t>
  </si>
  <si>
    <t>Sec. de Tránsito, Grupo Operativo</t>
  </si>
  <si>
    <t>Implementar la fase operativa del SETP, adelantando estudios, proyectos, análisis y demás gestiones que se requieran.</t>
  </si>
  <si>
    <t>% de implementación de la fase operativa</t>
  </si>
  <si>
    <t xml:space="preserve">Indice de pasajeros/kilometro </t>
  </si>
  <si>
    <t>Incrementar el IPK en la fase 1</t>
  </si>
  <si>
    <t>Diseño y construcción de 5 puestes peatonales en corredores estratégicos</t>
  </si>
  <si>
    <t>Puentes peatonales construidos</t>
  </si>
  <si>
    <t>Construcción de 5 puestes peatonales</t>
  </si>
  <si>
    <t>Adelantar los estudios técnicos,financieros y jurídicos que permitan determinar la viabilidad para implementar la tarifa preferencial para las poblaciones especiales.</t>
  </si>
  <si>
    <t>Estudios Adelantados</t>
  </si>
  <si>
    <t>Desarrollar los estudios necesarios para determinar la tarifa preferencial para poblaciones especiales.</t>
  </si>
  <si>
    <t xml:space="preserve">Diseño e Implementación de 7 planes específicos de movilidad </t>
  </si>
  <si>
    <t>Planes implementados</t>
  </si>
  <si>
    <t>Diseñar e implementar Planes específicos de movilidad</t>
  </si>
  <si>
    <t>Planes diseñados e implementados</t>
  </si>
  <si>
    <t>Implementación de la central logistica de movilidad</t>
  </si>
  <si>
    <t>Central Implementada</t>
  </si>
  <si>
    <t>Implementación de la Central Logistica de movilidad</t>
  </si>
  <si>
    <t>Central logística implementada</t>
  </si>
  <si>
    <t xml:space="preserve">Sustituir 60 vehículos de tracción animal </t>
  </si>
  <si>
    <t>Nº de vehiculos de tracción animal sustituidos</t>
  </si>
  <si>
    <t>Adelantar el proceso integral para la sustitución de vehículos de tracción animal</t>
  </si>
  <si>
    <t>Proceso integral adelantado</t>
  </si>
  <si>
    <t>Acompañamiento al 100% de las familias que hagan parte del programa de sustitución de tracción animal</t>
  </si>
  <si>
    <t>familias que se acogieron al programa / familias acompañadas</t>
  </si>
  <si>
    <t>100% de familias que dependen de vehículos de tracción animal, cobijadas con el programa de sustitución</t>
  </si>
  <si>
    <t>Implementación del 100% de las zonas amarillas reglamentadas por decreto</t>
  </si>
  <si>
    <t>Zonas amarillas reglamentadas / zonas implementadas</t>
  </si>
  <si>
    <t>Estudiantes en niveles satisfactorio y avanzado en Ciencias Naturales Saber Grado 9(42)</t>
  </si>
  <si>
    <t xml:space="preserve">Implementar un laboratorio educativo </t>
  </si>
  <si>
    <t>Laboratorio Educativo implementado</t>
  </si>
  <si>
    <t>ND</t>
  </si>
  <si>
    <t>Publicaciones</t>
  </si>
  <si>
    <t>Asistencia Técnica</t>
  </si>
  <si>
    <t>Convenios</t>
  </si>
  <si>
    <t>Redes funcionando</t>
  </si>
  <si>
    <t>SECRETARIA DE PLANEACION/DIRECTOR GRUPO DE ESTUDIOS ESTRATEGICOS</t>
  </si>
  <si>
    <t>Fortalecimiento del desarrollo de competencias en lengua extranjera</t>
  </si>
  <si>
    <t>Docentes Formados</t>
  </si>
  <si>
    <t>Redes de Aprendizaje</t>
  </si>
  <si>
    <t>Escuela y comunidad educativa escenarios de formacion integral</t>
  </si>
  <si>
    <t>Escuela de Padres</t>
  </si>
  <si>
    <t>Escuelas de padres</t>
  </si>
  <si>
    <t>Educación Ambiental</t>
  </si>
  <si>
    <t>Docentes y estudiantes capacitados</t>
  </si>
  <si>
    <t>Educación Sexual</t>
  </si>
  <si>
    <t>Etica y Resolución de conflictos</t>
  </si>
  <si>
    <t xml:space="preserve">Docentes      400
Alumnos       2.000 </t>
  </si>
  <si>
    <t>Docentes y alumnos capacitados en ética y resolución de conflictos</t>
  </si>
  <si>
    <t>Formación de docentes en estrategias, modelos pedagogicos y evaluación de aprendizajes</t>
  </si>
  <si>
    <t>Sistema Municipal de Evaluación</t>
  </si>
  <si>
    <t>Sistema Institucional de Evaluación</t>
  </si>
  <si>
    <t>Sistema de Evaluación</t>
  </si>
  <si>
    <t>formación de docentes</t>
  </si>
  <si>
    <t>Desarrollo de 4 proyectos para la consolidación del Ordenamiento de Estacionamientos</t>
  </si>
  <si>
    <t>Proyectos desarrollados</t>
  </si>
  <si>
    <t xml:space="preserve">Dos Estudios de Prefactibilidad del Centro de Integrado de Mercancías, CINM. </t>
  </si>
  <si>
    <t>No. de estudios realizados</t>
  </si>
  <si>
    <t>Desarrollo de 2 estudios que permitan tomar decisiones para el ordenamiento logístico del transporte de carga (cada uno en 2 fases)</t>
  </si>
  <si>
    <t>Estudios desarrollados</t>
  </si>
  <si>
    <t>Elaboración de un estudio de Estructuración técnica, legal y financiera del transporte mixto, como sistema articulado e integrado al SETP</t>
  </si>
  <si>
    <t>Desarrollo de 1 estudio que determine la estructuración técnica, legal y financiera del transporte mixto articulado al SETP (desarrollado en 4 fases)</t>
  </si>
  <si>
    <t>Estudio desarrollado</t>
  </si>
  <si>
    <t>1,200,000 M2 de Rehabilitación de la Malla vial</t>
  </si>
  <si>
    <t>Número de M2 De vía</t>
  </si>
  <si>
    <t>2  Intersecciones Viales</t>
  </si>
  <si>
    <t>2 Intersecciones viales, viaductos, glorietas, deprimidos y/o puentes construidos</t>
  </si>
  <si>
    <t>Número de Intersecciones viales</t>
  </si>
  <si>
    <t xml:space="preserve">100% de correodres estructurantes intervenidos identificados así en el POT se construiran con Cicloruta </t>
  </si>
  <si>
    <t>% construido con ciclo ruta</t>
  </si>
  <si>
    <t xml:space="preserve">No de Intersecciones Viales </t>
  </si>
  <si>
    <t>Aumentar en un 8% la cobertura dentro  del perimetro  hidráulico,  (Línea base 87%)</t>
  </si>
  <si>
    <t>Cobertura urbana: No. De Viviendas con conexión acueducto / No. Total De viviendas urbanas dentro del perimetro hidrosanitario</t>
  </si>
  <si>
    <t>No. De nuevos suscriptores con conexión a acueducto dentro del perimetro hidrosanitario</t>
  </si>
  <si>
    <t xml:space="preserve">IBAL </t>
  </si>
  <si>
    <t xml:space="preserve">Consecución de los recursos para las fases I y II del proyecto acueducto complementario. </t>
  </si>
  <si>
    <t>No. De fases  con recursos asignados</t>
  </si>
  <si>
    <t xml:space="preserve">Aumentar la continuidad del servicio de acueducto a 22,1 horas promedio día. </t>
  </si>
  <si>
    <t>Construcción de   reservorios con capacidad total de 150.000 metros cúbicos en la cuenca combeima para  proveer agua en eventos de alta turbiedad</t>
  </si>
  <si>
    <t xml:space="preserve">metros cúbicos en reserva </t>
  </si>
  <si>
    <t>Aumentar la capacidad de almacenamiento en 8.000  m3. (línea base 38.400)</t>
  </si>
  <si>
    <t>No. de de M3 almacenados</t>
  </si>
  <si>
    <t xml:space="preserve">Implementar el programa de agua no contabilizada para reducir IANC (Indìce de agua no contabilizada)  al 35% </t>
  </si>
  <si>
    <t>IANC</t>
  </si>
  <si>
    <t>Optimizar las redes de distribución implementando el programa de presiones activas instalando 35 valvulas reguladoras de presión y caudal.</t>
  </si>
  <si>
    <t>No. Válvulas instaladas</t>
  </si>
  <si>
    <t>100%  anual de IPS vigiladas, seguimiento,  en el cumplimiento a la notificación obligatoria, BAI , etc. Eventos relacionados con la TB (SIVIIGILA)</t>
  </si>
  <si>
    <t xml:space="preserve">4,70 x 100 mil habitantes  anual </t>
  </si>
  <si>
    <t>100% anual de Muertes por tuberculosis notificadas con investigación de campo, unidad de analisis, COVE, Planes de mejoramiento/seguimiento) (SIVIGILA)</t>
  </si>
  <si>
    <t>15 seguimientos anuales,  laboratorios clinicos en busquedas activas insttucionales y  seguimiento al reporte con calidad en los reportes para el diagnóstico de TB</t>
  </si>
  <si>
    <t xml:space="preserve">100% de vigilancia y seguimiento a las guia de atenciòn del programa de lepra </t>
  </si>
  <si>
    <t>100%  anual de IPS vigiladas, seguimiento,  en el cumplimiento a la notificación obligatoria, BAI , etc. Eventos relacionados con la LEPRA (SIVIIGILA)</t>
  </si>
  <si>
    <t>15 seguimientos anuales,  laboratorios clinicos en busquedas activas insttucionales y  seguimiento al reporte con calidad en los reportes para el diagnóstico de LEPRA</t>
  </si>
  <si>
    <t>NO EXISTE</t>
  </si>
  <si>
    <t>Mantener el 100%  anual de sintomaticos de piel terminados</t>
  </si>
  <si>
    <t>Tasa de mortalidad por Enfermedades hipertensivas X 100.000 hab.</t>
  </si>
  <si>
    <t>14,48 Promedio 2005-2009          14.01 (a Dic 31/09. Fuente DANE)</t>
  </si>
  <si>
    <t>Mantener la tasa de mortalidad X hipertensión arterial  14,48</t>
  </si>
  <si>
    <t>100%  anual de IPS vigiladas, seguimiento,  en el cumplimiento a la notificación obligatoria, BAI , etc. Eventos relacionados con las cronicas no trasmisibles ( HTA, DM, ECV, LEUCEMIAS PEDIATRICAS Y   CA)</t>
  </si>
  <si>
    <t>100% anual de Muertes por Eventos relacionados leucemias agudas pediatricas  notificadas con investigación de campo, unidad e analisis, COVE, Planes de mejoramiento/seguimiento) (SIVIGILA) y el seguimiento al cumplimiento  de los indicadores de oportunidad.</t>
  </si>
  <si>
    <t xml:space="preserve">Construcción de una(1) planta de tratamiento de aguas residuales. </t>
  </si>
  <si>
    <t>Planta construida</t>
  </si>
  <si>
    <t xml:space="preserve">Reducir 40 puntos de vertimientos puntuales. </t>
  </si>
  <si>
    <t xml:space="preserve">No. De vertimientos eliminados </t>
  </si>
  <si>
    <t>Formular plan maestro de acueducto y alcantarillado</t>
  </si>
  <si>
    <t>Plan maestro formulado</t>
  </si>
  <si>
    <t>Reducir en un 10% carga contaminante a las fuentes hídricas basados en el articulo 5 de la ley 142 y en la Resolucion 3351 del 15 de Dic de 2009 y 2389 del 9 de julio de 2011 donde se adopta el PSMV urbano y rural para el municipio de Ibague</t>
  </si>
  <si>
    <t>Beneficiar con el suministro de agua potable a 200 familias de 5 centros poblados rurales</t>
  </si>
  <si>
    <t>N° de familias  beneficiadas</t>
  </si>
  <si>
    <t>realizar tres estudios y diseños de redes de conduccion  y sistemas de  potabilizacion de agua en centros poblados del sector rural del municipio</t>
  </si>
  <si>
    <t>Nº. De estudios tealizados</t>
  </si>
  <si>
    <t xml:space="preserve">Potabilizar el agua para   1   centros poblados  </t>
  </si>
  <si>
    <t>N° de centros poblados  con agua potable</t>
  </si>
  <si>
    <t xml:space="preserve">Mejoramiento  el servicio publico de acueducto urbano, comunitario y alcantarillado  a través  de incrementar la  transferencia de 4 a 16  operadores de acueductos comunitarios  </t>
  </si>
  <si>
    <t>No. De operadores</t>
  </si>
  <si>
    <t>Elaboracion de un Estudio de diagnostico de acueductos rurales del Municipio</t>
  </si>
  <si>
    <t>Optimizar en infraestructura (captacion, conduccion y distribucion)  20 acueductos rurales</t>
  </si>
  <si>
    <t>N° de acueductos optimizados</t>
  </si>
  <si>
    <t>Implementar el Plan de saneamiento y manejo de vertimientos del sector rural en 15 centros poblados  (descontaminacion de fuentes hidricas)</t>
  </si>
  <si>
    <t>planes implementados</t>
  </si>
  <si>
    <t>Construcción de  2 Plantas  de Tratamiento de Aguas Residuales “PTAR”</t>
  </si>
  <si>
    <t>No de PTAR construídas</t>
  </si>
  <si>
    <t>Pago  del  100% de  Tasa Retributiva estipulada por Cortolima</t>
  </si>
  <si>
    <t>Pago Tasa retirbutiva</t>
  </si>
  <si>
    <t xml:space="preserve">Limpieza y Mantenimiento de  6 PTAR </t>
  </si>
  <si>
    <t>No. De  PTAR con mantenimiento</t>
  </si>
  <si>
    <t xml:space="preserve">Dotar e instalar 250 sistemas sépticos </t>
  </si>
  <si>
    <t>No. De sistemas sépticos dotados e instalados.</t>
  </si>
  <si>
    <t>Dotar e instalar 25 biodigestores</t>
  </si>
  <si>
    <t>No. De biodigestores  dotados e instalados.</t>
  </si>
  <si>
    <t>Construccion de  300 m de  redes de alcantarillado sanitario y pluvial</t>
  </si>
  <si>
    <t>Nª de metros lineales instalados</t>
  </si>
  <si>
    <t>Cuatro  monitoreos (100 muestras) de  análisis fisicoquímico y bacteriológico en los vertimientos y plantas de tratamiento de agua residual</t>
  </si>
  <si>
    <t>No. De monitoreos realizados</t>
  </si>
  <si>
    <t>Construcción de 2000 m2 de zonas de esparcimiento</t>
  </si>
  <si>
    <t xml:space="preserve">M2 construidos </t>
  </si>
  <si>
    <t>Construcción y/o mejoramiento de 600 m2 de equipamientos sociales</t>
  </si>
  <si>
    <t>M2 construidos y/o MEJORADOS</t>
  </si>
  <si>
    <t>Equipar con infraestructura tecnica necesaria (ambulancias, computadores, equipos de reanimacion, tecnologias de comunicaciones, etc) a la unidad de reaccion inmediata en salud defensor del paciente. De acuerdo a lo establecido en la ley.</t>
  </si>
  <si>
    <t>Infraestructura implementada en la unidad de reaccion inmediata en salud</t>
  </si>
  <si>
    <t>Actualización del Plan de Gestión Integral de Residuos Sólidos</t>
  </si>
  <si>
    <t>PGIRS actualizado</t>
  </si>
  <si>
    <t>Desarrollar un sistema de separación, reutilización y valoración de residuos sólidos recolectados</t>
  </si>
  <si>
    <t>Realizar  un  estudio de viabilidad de recolección selectiva de residuos</t>
  </si>
  <si>
    <t>Estudio de viabilidad de recolección selectiva de residuos</t>
  </si>
  <si>
    <t>Constituir un centro de acopio y comercialización de materiales inorgánicos recuperables</t>
  </si>
  <si>
    <t>Centro de Acopio constituído</t>
  </si>
  <si>
    <t>No. De centros de acopio</t>
  </si>
  <si>
    <t>Fortalecer 4 organizaciones sociales de personas con discapacidad de Ibagué mediante el apoyo para la implementación y seguimiento de proyectos productivos.</t>
  </si>
  <si>
    <t>N° de organizaciones sociales beneficiadas.</t>
  </si>
  <si>
    <t>4 PROYECTOS PRODUCTIVOS</t>
  </si>
  <si>
    <t>Beneficiar a 4.000 personas en situación de discapacidad con  actividades, eventos, jornadas, que contribuyan a mejorar su calidad de vida, donde el 30% pertenezcan a la estrategia red unidos,</t>
  </si>
  <si>
    <t>12 ACTIVIDADES Y/O  EVENTOS Y/ O CELEBRACIONES ESPECIALES QUE CONTRIBUYAN A MEJORAR LA CALIDAD DE VIDA DE LA POBLACION CON DISCAPACIDAD</t>
  </si>
  <si>
    <t>N° DE ACTIVIDADES Y/O EVENTOS Y/O CELEBRAIONES</t>
  </si>
  <si>
    <r>
      <t>Nº de personas con discapacidad beneficiadas</t>
    </r>
    <r>
      <rPr>
        <b/>
        <sz val="10"/>
        <rFont val="Arial"/>
        <family val="2"/>
      </rPr>
      <t>.</t>
    </r>
  </si>
  <si>
    <t>APOYO A LA EJECUCIÓN DE LAS MEDIDAS DE REPARACIÓN INTEGRAL DE LA LEY 1448</t>
  </si>
  <si>
    <t>Atención al 100% de la población víctima del conflicto que solicite asistencia de urgencia.</t>
  </si>
  <si>
    <t>Nº de población víctima del conflicto asistida.</t>
  </si>
  <si>
    <t>N° DE AYUDAS HUMANITARIAS DE URGENCIA</t>
  </si>
  <si>
    <t>Ningún miembro de los hogares registrados en el RUPD será privado arbitrariamente, de su libertad después de su desplazamiento.</t>
  </si>
  <si>
    <t>Proporción de hogares incluidos en el RUPD en los que ninguno de sus miembros ha sufrido privación de su libertad después del desplazamiento (estén o no en el hogar actual).</t>
  </si>
  <si>
    <t xml:space="preserve">ACOMPAÑAMIENTO A HOGARES AMENAZADOS, QUE ESTEN EN RIESGO DE SER PRIVADOS ARBITRARIAMENTE DE SU LIBERTAD </t>
  </si>
  <si>
    <t>N° DE HOGARES AMENAZADOS ACOMPAÑADOS</t>
  </si>
  <si>
    <t>Creación y puesta en funcionamiento de un centro regional de atención a la población víctima del conflicto.</t>
  </si>
  <si>
    <t>Centro Regional de atención creado e implementado</t>
  </si>
  <si>
    <t xml:space="preserve">CREACIÓN Y PUESTA EN MARCHA DEL CENTRO REGIONAL DEL ATENCIÓN Y REPARACIÓN A VISTIMAS </t>
  </si>
  <si>
    <t>N° DE UNIDAD</t>
  </si>
  <si>
    <t xml:space="preserve">UN (1) CENTRO PARA LA MEMORIA HISTORICA Y TRES (3) ACTOS  CONMEMORATIVOS </t>
  </si>
  <si>
    <t>N° DE ACTOS CONMEMORATIVOS Y CENTRO PARA LA MEMORIA HISTORICA</t>
  </si>
  <si>
    <t>Atención al 100% de las mujeres solicitantes, afectadas e identificadas por los riesgos específicos con ocasión del conflicto interno.</t>
  </si>
  <si>
    <t xml:space="preserve">Construir un plan especial de forma participativa para las mujeres en situación de desplazamiento que contengan los 13 programas del auto 092 y los lineamientos del auto 237
</t>
  </si>
  <si>
    <t>N° MUJERES ATENDIDAS</t>
  </si>
  <si>
    <t>fortalecer 20 organizaciones de víctimas que se encuentran legalmente constituidas</t>
  </si>
  <si>
    <t>Nº de organizaciones fortalecidas</t>
  </si>
  <si>
    <t>DIEZ (10) CAPACITACIONES Y/O TALLERES</t>
  </si>
  <si>
    <t>Atención integral al 100% de la población registrada como víctimas del conflicto</t>
  </si>
  <si>
    <t>% de población registrada  atendida</t>
  </si>
  <si>
    <t>100% EN ASESORIA Y ASISTENCIA A POBLACIÓN VICTIMA DEL CONFLICTO ARMADO QUE LO SOLICITE</t>
  </si>
  <si>
    <t>No DE ASISTENCIAS</t>
  </si>
  <si>
    <t>Creación y activación del comité municipal de derechos humanos.</t>
  </si>
  <si>
    <t>CUATRO (4) COMITÉS MUNICIPALES DE DERECHOS HUMANOS CON APOYO DE SECRETARIA DE GOBIERNO Y PERSONERIA MUNICIPAL</t>
  </si>
  <si>
    <t>N° DE COMITES</t>
  </si>
  <si>
    <r>
      <t xml:space="preserve">% </t>
    </r>
    <r>
      <rPr>
        <sz val="10"/>
        <rFont val="Arial"/>
        <family val="0"/>
      </rPr>
      <t>de población solicitante atendida.</t>
    </r>
  </si>
  <si>
    <r>
      <t>N°</t>
    </r>
    <r>
      <rPr>
        <b/>
        <sz val="10"/>
        <rFont val="Arial"/>
        <family val="2"/>
      </rPr>
      <t xml:space="preserve"> </t>
    </r>
    <r>
      <rPr>
        <sz val="10"/>
        <rFont val="Arial"/>
        <family val="0"/>
      </rPr>
      <t>de mujeres solicitantes atendidas.</t>
    </r>
  </si>
  <si>
    <t>APOYO A PROGRAMAS NACIONALES PARA LA SUPERACIÓN DE LA POBREZA</t>
  </si>
  <si>
    <t>Beneficiar a 3000 familias en una jornada de integración</t>
  </si>
  <si>
    <t>Nº de familias beneficiadas</t>
  </si>
  <si>
    <t xml:space="preserve">4 ASAMBLEAS </t>
  </si>
  <si>
    <t>No DE ASAMBLEAS</t>
  </si>
  <si>
    <t>Crear una Zona Libre de Pobreza –Zolip-  en un sector de una comuna de Ibagué.</t>
  </si>
  <si>
    <t>Zonas libre de pobreza creada e implementada</t>
  </si>
  <si>
    <t xml:space="preserve">Mejorar las condiciones de vida del 100% de la población en pobreza extrema en el área de intervención Y reducirla   a niveles cercanos al 0% </t>
  </si>
  <si>
    <t>No DE PORCENTAJE DE POBLACION CON POBREZA EXTREMA REDUCIDA</t>
  </si>
  <si>
    <t>Seguimiento nutricional a 12.000 niños y niñas cada 2 meses</t>
  </si>
  <si>
    <t>Nº de niños y niñas atendidos</t>
  </si>
  <si>
    <t>24 CONTROLES NUTRICIONALES</t>
  </si>
  <si>
    <t>PESO PROG. EN LA SEGURIDAD. %</t>
  </si>
  <si>
    <t xml:space="preserve"> N° de participantes  en ruedas de negocio</t>
  </si>
  <si>
    <t>Aumentar la asignación de Microcréditos A 2.200</t>
  </si>
  <si>
    <t>No. de créditos asignados</t>
  </si>
  <si>
    <t>Realizar 4 alianzas con el sector público- privado con el fin de articular la demanda laboral con la oferta educativa.</t>
  </si>
  <si>
    <t xml:space="preserve">Nº de alianzas realizadas
</t>
  </si>
  <si>
    <t>24 JORNADAS DE VERIFICACIÓN DE NIÑOS MATRICULADOS</t>
  </si>
  <si>
    <t>N° DE JORNADAS DE VERIFICACIÓN DE MATRICULAS</t>
  </si>
  <si>
    <t>Beneficiar a 5000 familias con actividades culturales, recreativas  y brigadas de salud.</t>
  </si>
  <si>
    <t>N° de familias beneficiadas</t>
  </si>
  <si>
    <t>12 BRIGADAS Y/O  ACTIVIDADES CULTURALES Y/O RECREATIVAS</t>
  </si>
  <si>
    <t>N° DE ACTIVIDADES</t>
  </si>
  <si>
    <t>IBAGUE HAMBRE CERO</t>
  </si>
  <si>
    <t>Implementación y seguimiento de comedores comunitarios Ibagué Hambre Cero para cubrir las necesidades 3,333 niños y niñas que se encuentran inscritos en el programa tanto en la zona urbana como en la zona rural.</t>
  </si>
  <si>
    <t>N° de niños beneficiados</t>
  </si>
  <si>
    <t>29 COMEDORES COMUNITARIOS IBAGUE HAMBRE CERO.</t>
  </si>
  <si>
    <t>No DE COMEDORES</t>
  </si>
  <si>
    <t>Capacitar en Buenas Prácticas Manufacturas B.P.M a 2000 padres de familia de los niños y niñas beneficiados y a las manipuladoras del programa.</t>
  </si>
  <si>
    <t>N° de padres y manipuladoras capacitadas</t>
  </si>
  <si>
    <t>384  CAPACITACIONES EN BUENA PRACTICAS MANUFACTURAS B.P.M</t>
  </si>
  <si>
    <t>ORGANIZACIONES SOCIALES</t>
  </si>
  <si>
    <t>Capacitar, apoyar y brindar acompañamiento a 500 Organizaciones sociales y comunitarias haciendo énfasis en las funciones de los dignatarios y  en el nuevo proceso de elecciones 2012.</t>
  </si>
  <si>
    <t>N° de   organizaciones sociales beneficiadas</t>
  </si>
  <si>
    <t xml:space="preserve">750 Capacitaciones </t>
  </si>
  <si>
    <t>Beneficiar a 5.113 Miembros de las organizaciones sociales mediante la celebración del día de la acción comunal del día comunal y del comunero.</t>
  </si>
  <si>
    <t>N° de beneficiados.</t>
  </si>
  <si>
    <t xml:space="preserve">8 CELEBRACIONES </t>
  </si>
  <si>
    <t>No DE CELEBRACIONES</t>
  </si>
  <si>
    <t>Crear la Red de Líderes Comunales de Ibagué.</t>
  </si>
  <si>
    <t>Red creada.</t>
  </si>
  <si>
    <t>24  REUNIONES</t>
  </si>
  <si>
    <t>No DE ACTAS DE REUNIONES</t>
  </si>
  <si>
    <t>ATENCION INTEGRAL A LA COMUNIDAD LGBT EN EL MUNICIPIO DE IBAGUE.</t>
  </si>
  <si>
    <t>Formular, sensibilizar y socializar la política pública para la población LGBT de la ciudad de Ibagué</t>
  </si>
  <si>
    <t>Sensibilización y socialización a 5.000 personas  de la Politica publica en el Municipio</t>
  </si>
  <si>
    <t>No D E PERSONAS SENSIBILIZADAS</t>
  </si>
  <si>
    <t>Firmar un convenio interistitucional con el SENA con el fin de ampliar el uso de la plataforma del servicio publico de empleo</t>
  </si>
  <si>
    <t>Ampliar en el 20% el uso de la plataforma del Servicio Publico de Empleo.</t>
  </si>
  <si>
    <t>Firmar un convenio interistitucional anual con el SENA con el fin de ampliar el uso de la plataforma del servicio publico de empleo</t>
  </si>
  <si>
    <t>INFIBAGUE</t>
  </si>
  <si>
    <t xml:space="preserve"> FORTALECIMIENTO PRODUCTIVO Y COMPETITIVO DEL COMERCIO Y LA INDUSTRIA LOCAL Y REGIONAL</t>
  </si>
  <si>
    <t>Beneficiar al 30% de Microempresarios de Ibagué con necesidades de Fortalecimiento Empresarial (Línea Base 1.000 Microempresarios Registrados en Cámara de Comercio</t>
  </si>
  <si>
    <t>microempresarios beneficios en fortalecimiento empresarial / total de microempresarios registrados</t>
  </si>
  <si>
    <t>1.000 Microempresarios Registrados en Cámara de Comercio</t>
  </si>
  <si>
    <t>Establecer 4 Convenios con Gremios Económicos y/o Entidades para el desarrollo de programas de fortalecimiento Empresarial</t>
  </si>
  <si>
    <t>Número de Convenios Suscritos</t>
  </si>
  <si>
    <t>Beneficiar a 300 Microempresarios con programas de fortalecimiento empresarial y comercial</t>
  </si>
  <si>
    <t>Número de Microempresarios Beneficiados</t>
  </si>
  <si>
    <t>Participación en 20 Ferias, Ruedas de Negocios, Eventos y Misiones Comerciales con Microempresarios de la ciudad</t>
  </si>
  <si>
    <t>Número de Ferias, Ruedas de Negocios, Eventos y Misiones Comerciales con participación de Microempresarios de la ciudad</t>
  </si>
  <si>
    <t>Apoyar a la Formulación de 100 Planes de Mercadeo y Comercialización de para Microempresarios y/o Famiempresas</t>
  </si>
  <si>
    <t>Planes de Mercadeo y Comercialización Apoyados</t>
  </si>
  <si>
    <t>Beneficiar al 10% de Microempresarios de Ibagué  en formalización empresarial (Línea Base 1.000 Microempresarios Registrados en Cámara de Comercio)</t>
  </si>
  <si>
    <t>Microempresarios Beneficiados en Formalización Empresarial  / Total Microempresarios</t>
  </si>
  <si>
    <t>Desarrollar 4 Programas de Formalizacion Empresarial</t>
  </si>
  <si>
    <t>Número de Programas de Formalización Empresarial Desarrollados</t>
  </si>
  <si>
    <t>Beneficiar al 10% de los Microempresarios con programas de fortalecimiento y masificación de Tics  (Línea Base 1.000 Microempresarios Registrados en Cámara de Comercio)</t>
  </si>
  <si>
    <t>Microempresarios Beneficiados con fortalecimiento y masificación de TIC´s    / Total Microempresarios</t>
  </si>
  <si>
    <t>Desarrollar 4 Estrategias y/o Programas de masificacion de TIC´s para 100 Microempresarios de la Ciudad</t>
  </si>
  <si>
    <t xml:space="preserve">Número de Estrategias y/o Programas de masificación de TIC´s desarrollados </t>
  </si>
  <si>
    <t>Desarrollar 4 Proyectos de Innovación, Ciencia y Tecnología para Empresarios de la ciudad</t>
  </si>
  <si>
    <t>Número de Proyectos Desarrollados</t>
  </si>
  <si>
    <t>crear e implementar el observatorios de turismo y comercio en el municipio de Ibagué</t>
  </si>
  <si>
    <t>observatorio creado e implementado</t>
  </si>
  <si>
    <t xml:space="preserve">Desarrollar 2 Convenios de Pasantías con Universidades para la Implementación y desarrollo del Observatorio </t>
  </si>
  <si>
    <t>Consolidar y Socializar 6 Estudios de Cifras de compormatamiento del Turismo y el Comercio en la ciudad de Ibagué</t>
  </si>
  <si>
    <t xml:space="preserve">Número de Publicaciones Socializadas </t>
  </si>
  <si>
    <t>Beneficiar a 20 Instituciones responsables de la planeación y desarrollo empresarias de Ibagué y la Región, a través de la información generada por el Observatorio</t>
  </si>
  <si>
    <t>Número de Instituciones Beneficadas</t>
  </si>
  <si>
    <t>implementar el consultorio de comercio exterior</t>
  </si>
  <si>
    <t>consultorio implementado</t>
  </si>
  <si>
    <t>Desarrollar 4 estrategias y/o convenios para la implementación y dotación del Consultorio de Comercio</t>
  </si>
  <si>
    <t xml:space="preserve">Número de Estrategias y/o Convenios  desarrollados </t>
  </si>
  <si>
    <t xml:space="preserve">Asesoría y Acompañamiento a 40 Microempresas de Ibagué para su incursión en mercados internacionales </t>
  </si>
  <si>
    <t>Número de Microempresarios Asesorados</t>
  </si>
  <si>
    <t>Desarrollar un Plan Piloto para el desarrollo de la Marca "Ibagué, Hecho a mano"</t>
  </si>
  <si>
    <t xml:space="preserve">Plan Piloto Desarrollado </t>
  </si>
  <si>
    <t>Beneficiar a 100 Microempresarios a través del desarrollo del Plan Piloto "Ibagué Hecho a Mano"</t>
  </si>
  <si>
    <t>Participación en 8 Ferias o Eventos Comerciales con Microempresarios participantes en el Plan Piloto</t>
  </si>
  <si>
    <t>Número de Ferias y Eventos Comerciales con participación de microempresarios del Plan Piloto</t>
  </si>
  <si>
    <t xml:space="preserve">Desarrollar 2 Estrategias con los Gremios Económicos, Universidades y Sociedad Civil para el Mejoramiento de la Planeación, Concertación y Ejecución de Políticas Públicas del orden económico, productivo y competitivo. </t>
  </si>
  <si>
    <t xml:space="preserve">Estrategias Desarrolladas </t>
  </si>
  <si>
    <t xml:space="preserve">Implementación de la Mesa de Desarrollo Economico de la ciudad </t>
  </si>
  <si>
    <t>Mesa de Desarrollo Económico Implementada</t>
  </si>
  <si>
    <t>Gestión para la implementación de la Oficina Satélite del Ministerio de Comercio, Industria y Turismo para la ciudad de Ibagué</t>
  </si>
  <si>
    <t>Gestión Desarrollada</t>
  </si>
  <si>
    <t>100% anual  de IPS vigiladas y con seguimiento en el cumplimiento de las guías de atención e indicadores de calidad en el programa de crecimiento y desarrollo</t>
  </si>
  <si>
    <t>Dirección de Salud Pública</t>
  </si>
  <si>
    <t>42,6 X 100.000 MENORES DE 1 a 4 AÑOS PROMEDIO DANE 2005-2009</t>
  </si>
  <si>
    <t>no superar 2,8 por cada 100.000 menores de 1 a 4 años.</t>
  </si>
  <si>
    <t xml:space="preserve"> 2,8 por cada 100.000 menores de 1 a 4 años.</t>
  </si>
  <si>
    <t>2 muertes por cada 1000 menores de 5 años</t>
  </si>
  <si>
    <t>Realizar la actualización y depuración del censo de artistas y gestores para apoyar al proceso de implementación del programa de seguridad social.</t>
  </si>
  <si>
    <t>Censo Actualizado</t>
  </si>
  <si>
    <t>Apoyo para la implementación, dotación y sostenimiento de la Mesa de Desarrollo Económico y la Oficina Satélite de Mincomercio</t>
  </si>
  <si>
    <t>Apoyos Desarrollados</t>
  </si>
  <si>
    <t>Conformación de núcleos empresariales de la confección de acuerdo a estudios técnicos y financieros.</t>
  </si>
  <si>
    <t>Número núcleos empresariales conformados.</t>
  </si>
  <si>
    <t>Conformar 2 Núcleos empresariales de la confección de acuerdo a estudios técnicos y financieros.</t>
  </si>
  <si>
    <t>Núcleos empresariales conformados</t>
  </si>
  <si>
    <t>Secretaria de Cultura, comercio y turismo</t>
  </si>
  <si>
    <t>Ciencia, tecnología e innovación para la competitividad</t>
  </si>
  <si>
    <t>No. De créditos asignados/ No. De Créditos Solicitados</t>
  </si>
  <si>
    <t>realizar  5  ESTUDIOS  de mercado orientadas a promover la creacion de industrias culturales</t>
  </si>
  <si>
    <t>Nº DE INVESTIGACIONES DE MERCADO REALIZADAS</t>
  </si>
  <si>
    <t>Aumentar en un 30%  la participación de las  instituciones educativas medias y universitarias en ferias de emprendimiento.</t>
  </si>
  <si>
    <t>Nº de  jóvenes participantes de las instituciones educativas/Nº de  jóvenes participantes de las ferias de emprendimiento juvenil x 100</t>
  </si>
  <si>
    <t>FORMULAR 4 PROYECTOS PARA el desarrollo, adopcion e implementacion de resultados de Ciencia Tecnologia e Innovacion en LA REGION .</t>
  </si>
  <si>
    <t>Nº DE PROYECTOS FORMULADOS</t>
  </si>
  <si>
    <t xml:space="preserve"> fortalecimiento de laboratorios de investigación, informáticos y tecnológicos en  53 I.E del Municipio                                   </t>
  </si>
  <si>
    <t>Nº de laboratorios fortalecidos.</t>
  </si>
  <si>
    <t>Asignar 288 Créditos de Libranza</t>
  </si>
  <si>
    <t>No. de Créditos asignados</t>
  </si>
  <si>
    <t>Aumentar la asignación de micro Créditos en un 20 % (5% anual)</t>
  </si>
  <si>
    <t>5  investigaciones de mercado  en industrias culturales y deportivas</t>
  </si>
  <si>
    <t>5 unidades productivas</t>
  </si>
  <si>
    <t>8 unidades productivas</t>
  </si>
  <si>
    <t xml:space="preserve">Motivar la participación de los jovenes en los eventos de emprendimiento cordinados por los laboratorios microempresariales </t>
  </si>
  <si>
    <t>No de jovenes participantes de las ferias</t>
  </si>
  <si>
    <t>N° de investigaciones realizadas</t>
  </si>
  <si>
    <t>Agencia de marketing territorial</t>
  </si>
  <si>
    <t>Implementar en un 100% un Plan Estratégico Municipal de Responsabilidad Social Empresarial</t>
  </si>
  <si>
    <t xml:space="preserve">Plan Estratégico Municipal de RSE Implementado </t>
  </si>
  <si>
    <t>Formular el Plan Estratégico Municipal de Responsabilidad Social Empresarial</t>
  </si>
  <si>
    <t>Plan Estratégico Formulado</t>
  </si>
  <si>
    <t>Desarrollar 4 Proyectos de Responsabilidad Social Empresarial</t>
  </si>
  <si>
    <t>Proyectos de RSE Desarrollados</t>
  </si>
  <si>
    <t>Beneficiar a 200 Ibagereños a través de Programas de Responsabilidad Social Empresarial</t>
  </si>
  <si>
    <t>Ciudadanos Beneficiados</t>
  </si>
  <si>
    <t>APOYO A LA GESTION</t>
  </si>
  <si>
    <t>Formular la agenda de internacionalizacion</t>
  </si>
  <si>
    <t>No. De proyectos formulados y ejecutados</t>
  </si>
  <si>
    <t>Centros comunitarios digitales</t>
  </si>
  <si>
    <t>4 Centros Comunitarios Digitales.</t>
  </si>
  <si>
    <t>N° de centros digitales funcionando</t>
  </si>
  <si>
    <t>Zonas wi-fi</t>
  </si>
  <si>
    <t>100 zonas wi fi (aprox)</t>
  </si>
  <si>
    <t>N° de zonas wi fi (aprox) instaladas</t>
  </si>
  <si>
    <t>Kioskos digitales</t>
  </si>
  <si>
    <t>13 Kioskos Digitales</t>
  </si>
  <si>
    <t>N° de kioscos digitales instalados</t>
  </si>
  <si>
    <t>Telemedicina</t>
  </si>
  <si>
    <t>19 Centros Rurales convertidos en Unidades remisoras y construcción de 1 Centro de Referencia urbano.</t>
  </si>
  <si>
    <t>N° de centros convertidos en unidades remisoras</t>
  </si>
  <si>
    <t>Educación digital</t>
  </si>
  <si>
    <t>7 mil computadores y 500 aulas digitales</t>
  </si>
  <si>
    <t xml:space="preserve">N° de computadores entregados
N° de aulas digitales instaladas
</t>
  </si>
  <si>
    <t>Robótica educativa</t>
  </si>
  <si>
    <t>59 laboratorios de robótica en igual número de instituciones educativas.</t>
  </si>
  <si>
    <t>N° de laboratorios de robótica instadlos en las instituciones</t>
  </si>
  <si>
    <t>Emprendimiento digital</t>
  </si>
  <si>
    <t>1 Fábrica de Software y emprendimiento</t>
  </si>
  <si>
    <t>1500 empleos</t>
  </si>
  <si>
    <t>PLANEACION</t>
  </si>
  <si>
    <t>DESPACHO GINA</t>
  </si>
  <si>
    <t>APOYO A  APUESTAS PRODUCTIVAS</t>
  </si>
  <si>
    <t xml:space="preserve">desarrollar un programa de estimulos tributarios para incentivar la inversion </t>
  </si>
  <si>
    <t>programa creado</t>
  </si>
  <si>
    <t xml:space="preserve">implementar UNA zona franca </t>
  </si>
  <si>
    <t>zona franca implementada</t>
  </si>
  <si>
    <t>realizacion de 8 eventos feriales agricolas y pecuarios</t>
  </si>
  <si>
    <t>N° de eventos realizados</t>
  </si>
  <si>
    <t>REALIZAR EL EVENTO FERIAL "IBAGUE MAQUILA Y MODA"</t>
  </si>
  <si>
    <t>Nº de negocios realizados</t>
  </si>
  <si>
    <t>Nº de empresas expositoras</t>
  </si>
  <si>
    <t xml:space="preserve">No. de compradores </t>
  </si>
  <si>
    <t>FORMALIZAR A 1000 PRESTADORES DE SERVICIOS TURISTICOS</t>
  </si>
  <si>
    <t>No. Prestadores de Servicios turisticos formalizados/ Total prestadores Turisticos</t>
  </si>
  <si>
    <t>FORMULACION DE LA POLITICA PUBLICA DE TURISMO PARA EL MUNICIPIO DE IBAGUE</t>
  </si>
  <si>
    <t>POLITICA FORMULADA</t>
  </si>
  <si>
    <t>CAPACITAR A 300 PRESTADORES DE SERVICIOS TURISTICOS</t>
  </si>
  <si>
    <t>Nº DE PRESTADORES CAPACITADOS</t>
  </si>
  <si>
    <t xml:space="preserve"> IMPLEMENTAR UN SISTEMA DE INFORMACION TURISTICO Brindar Información turistica a 15,000 usuarios</t>
  </si>
  <si>
    <t>Planeación para la gestión y el desarrollo cultural como herramienta para la construcción de ciudadanía</t>
  </si>
  <si>
    <t>Elaborar una política pública para el desarrollo cultural del municipio de Ibagué</t>
  </si>
  <si>
    <t>Política Pública de Cultura Municipal elaborada</t>
  </si>
  <si>
    <t xml:space="preserve">Elaborar 7 planes municipales de los sectores artísticos y cultural </t>
  </si>
  <si>
    <t>Número de planes elaborados</t>
  </si>
  <si>
    <t>Conformación y Fortalecimiento del Consejo Municipal de Cultura.</t>
  </si>
  <si>
    <t>Número de Conformaciones del Consejo Municipal de Cultura</t>
  </si>
  <si>
    <t>Elaborar un plan decenal Municipal de cultura</t>
  </si>
  <si>
    <t>Numero de planes elaborados</t>
  </si>
  <si>
    <t>Fortalecimiento de la red Municipal de Bibliotecas públicas para la inclusión y la equidad social</t>
  </si>
  <si>
    <t>Beneficiar a 375.000 personas a través de los servicios que ofrece la Red de Bibliotecas Públicas de Ibagué</t>
  </si>
  <si>
    <t>Nº de Usuarios Beneficiados</t>
  </si>
  <si>
    <t>Realizar la Depuración de colecciones de libros de 15 bibliotecas de la red publica</t>
  </si>
  <si>
    <t>Número de Depuraciones de Colecciones realizadas</t>
  </si>
  <si>
    <t>Viabilizar el proyecto de la Zona Franca "Ciudad de la salud, la ciencia y la vida"</t>
  </si>
  <si>
    <t>No. De Proyectos viabilizados</t>
  </si>
  <si>
    <t>Solicitud de Declaratorias del proyecto de la Zona Franca "Ciudad de la salud, la ciencia y la vida"</t>
  </si>
  <si>
    <t>No. De Proyectos declarados</t>
  </si>
  <si>
    <t>Implementar el proyecto de la Zona Franca "Ciudad de la salud, la ciencia y la vida"</t>
  </si>
  <si>
    <t>No. De Proyectos implementados</t>
  </si>
  <si>
    <t>Realizacion de 8 eventos feriales agricolas y pecuarios</t>
  </si>
  <si>
    <t>N° de eventos feriales celebrados</t>
  </si>
  <si>
    <t xml:space="preserve">16 talleres de Capacitación en Formalización Turistica </t>
  </si>
  <si>
    <t>SECRETARIA DE CUTURA, TURISMO Y COMERCIO Y GRUPO DE TRABAJO DE TURISMO</t>
  </si>
  <si>
    <t>6 Capacitación y fortalecimiento de 3 gremios del sector</t>
  </si>
  <si>
    <t>No. De capacitaciones realizadas a los gremios</t>
  </si>
  <si>
    <t>12 operativos de control</t>
  </si>
  <si>
    <t>No. De operativos de control realizados</t>
  </si>
  <si>
    <t>Elaborar dos estudios de investigación de Mercado</t>
  </si>
  <si>
    <t>No. De Estudios Realizados</t>
  </si>
  <si>
    <t>Elaboración de un documento producto Turistico para la ciudad de Ibagué</t>
  </si>
  <si>
    <t>No. De Documentos</t>
  </si>
  <si>
    <t>6 mesas de trabajo y articulación con prestadores de servicios turisticos y comunidad</t>
  </si>
  <si>
    <t>No. De mesas de Trabajo realizados</t>
  </si>
  <si>
    <t>Acuerdo para la adopción de la Politica Publica de turismo</t>
  </si>
  <si>
    <t>No. De Acuerdos</t>
  </si>
  <si>
    <t>Realizar 4 ciclos de capacitación y sensibilización en Normas tecnicas Sectoriales (500 prestadores)</t>
  </si>
  <si>
    <t>No. De capacitaciones realizadas</t>
  </si>
  <si>
    <t>Gestionar 2 proyectos de cofinanciación para apoyar a los empresarios en los procesos de certificación y categorización de acuerdo a las normas tecnicas en turismo</t>
  </si>
  <si>
    <t>No. De proyectos presentados</t>
  </si>
  <si>
    <t>Diseño y elaboración de un programa de calidad para atractivos y alojamientos rurales</t>
  </si>
  <si>
    <t>No. De documentos realizados</t>
  </si>
  <si>
    <t>Capacitación y sensibilización a 100 prestadores de servicios turisticos para la implementación de un programa de calidad para atractivos y alojamientos rurales</t>
  </si>
  <si>
    <t>No. De prestadores capacitados</t>
  </si>
  <si>
    <t>Brindar Información turistica a 15,000 usuarios</t>
  </si>
  <si>
    <t>Sistema de Información Turistica funcionando</t>
  </si>
  <si>
    <t>Promover a Ibagué capital musical de colombia como destino turistico en 6 ferias y eventos que promuevan la visita de turisticas a la Ciudad de Ibagué</t>
  </si>
  <si>
    <t>No. De ferias y eventos apoyados</t>
  </si>
  <si>
    <t>Implementar 3 puntos de información Turistica Permanentes y 3 moviles</t>
  </si>
  <si>
    <t>No. De puntos de informaciòn turistica operando</t>
  </si>
  <si>
    <t>Apoyo para la adecuación de 2 atractivos turisticos</t>
  </si>
  <si>
    <t>No de atractivos de interes turistico remodelados/adecuados y/o construidos</t>
  </si>
  <si>
    <t>Socialización de un plan de manejo de atractivos turisticos</t>
  </si>
  <si>
    <t>No. De documentos</t>
  </si>
  <si>
    <t>Diseño y elaboración de 20000 piezas de material promocional de Ibague destino turistico y sus diferentes atractivos</t>
  </si>
  <si>
    <t xml:space="preserve">No. De material promociòn </t>
  </si>
  <si>
    <t>Señalización Turistica a 4 atractivos turisticos</t>
  </si>
  <si>
    <t>Automatizar a través de la web 19 trámites  de la Alcaldía Municipal</t>
  </si>
  <si>
    <t>Nº de tramites automatizados</t>
  </si>
  <si>
    <t>9</t>
  </si>
  <si>
    <t>14</t>
  </si>
  <si>
    <t>Automatizar a través de la web 60 servicios  de la Alcaldía Municipal</t>
  </si>
  <si>
    <t>Nº de servicios automatizados</t>
  </si>
  <si>
    <t>Realizar 146 Capacitaciones a la ciudadania en el uso del portal de de la alcaldia municipal</t>
  </si>
  <si>
    <t>Banda ampliada / Banda programada *100</t>
  </si>
  <si>
    <t>10</t>
  </si>
  <si>
    <t>Renovación,de equipo computacional, y ups en 200 equipos</t>
  </si>
  <si>
    <t>No. De equipos adquiridos / No. De equipos proyectados</t>
  </si>
  <si>
    <t>Elaboración y ejecucion de un proyecto para las contingencias  y minimizar los riesgos que puede afectar la plataforma tecnologica de la administración</t>
  </si>
  <si>
    <t>Adquisión de 7 equipos que permitan mejorar la conectividad a redes inalambricas de la administración</t>
  </si>
  <si>
    <t>ADMINISTRATIVA</t>
  </si>
  <si>
    <t>SEGURIDAD POLITICA</t>
  </si>
  <si>
    <t xml:space="preserve">PARTICIPACION DE LA SEGURIDAD EN EL PLAN : </t>
  </si>
  <si>
    <t>PROGRAMAS</t>
  </si>
  <si>
    <t>PESO PROG. EN EL EJE. %</t>
  </si>
  <si>
    <t>INDICE FISICO DEL PROGRAMA (Ponderado)</t>
  </si>
  <si>
    <t>METAS RESULTADO CUATRIENIO 2012-2015</t>
  </si>
  <si>
    <t>INDICADOR RESULTADO</t>
  </si>
  <si>
    <t>INDICADOR DE PRODUCTO.  SERIE ANUAL ACUMULADA</t>
  </si>
  <si>
    <t>RECURSOS (MILES DE PESOS)</t>
  </si>
  <si>
    <t>RESPONSABLE</t>
  </si>
  <si>
    <t>NOMBRE INDICADOR</t>
  </si>
  <si>
    <t xml:space="preserve"> LINEA DE BASE  (31 DIC/11)</t>
  </si>
  <si>
    <t>VALOR ESPERADO (31 DIC/15)</t>
  </si>
  <si>
    <t>METAS PRODUCTO CUATRIENIO 2012-2015</t>
  </si>
  <si>
    <t>VALOR  (31 DIC/11)</t>
  </si>
  <si>
    <t>VALOR ESPERADO (31 DIC/12)</t>
  </si>
  <si>
    <t>VALOR ESPERADO (31 DIC/13)</t>
  </si>
  <si>
    <t>VALOR ESPERADO (31 DIC/14)</t>
  </si>
  <si>
    <t>TOTAL PROYECTADO 2012-2015</t>
  </si>
  <si>
    <t>SECRETARIA DE PLANEACION MUNICIPAL</t>
  </si>
  <si>
    <t>PLAN INDICATIVO          2012 - 2015</t>
  </si>
  <si>
    <t xml:space="preserve">Nº. </t>
  </si>
  <si>
    <t>105% de Cobertura bruta Secundaria ODM - 2,3</t>
  </si>
  <si>
    <t>Tasa de Cobertura bruta Secundaria ODM - 2,3</t>
  </si>
  <si>
    <t>101,13%- 2011</t>
  </si>
  <si>
    <t>Desmovilizados</t>
  </si>
  <si>
    <t>Desmovilizados atendidos</t>
  </si>
  <si>
    <t>85% de Cobertura bruta Media  ODM - 2,5</t>
  </si>
  <si>
    <t>Tasa de Cobertura bruta Media  ODM - 2,5</t>
  </si>
  <si>
    <t xml:space="preserve"> 81,57%- 2011</t>
  </si>
  <si>
    <t>Privados de la libertad</t>
  </si>
  <si>
    <t>Privados de la libertad atendidos</t>
  </si>
  <si>
    <t>0% de Repitencia en Preescolar</t>
  </si>
  <si>
    <t>Tasa de Repitencia en Preescolar</t>
  </si>
  <si>
    <t>4%- 2010</t>
  </si>
  <si>
    <t>Madres Cabeza de Familia</t>
  </si>
  <si>
    <t>Madres cabezas de Hogar</t>
  </si>
  <si>
    <t>2% de Repitencia en Primaria (38)</t>
  </si>
  <si>
    <t>Tasa de Repitencia en Primaria (38)</t>
  </si>
  <si>
    <t>6,99%- 2010</t>
  </si>
  <si>
    <t>Reinsertados</t>
  </si>
  <si>
    <t>Reinsertados atendidos</t>
  </si>
  <si>
    <t>2% de Repitencia en Secundaria(39)</t>
  </si>
  <si>
    <t>Tasa de Repitencia en Secundaria(39)</t>
  </si>
  <si>
    <t xml:space="preserve"> 7,15%- 2010</t>
  </si>
  <si>
    <t>Iletrados</t>
  </si>
  <si>
    <t>Iletrados atendidos</t>
  </si>
  <si>
    <t>1% de Repitencia en Media (40)</t>
  </si>
  <si>
    <t>Tasa deRepitencia en Media (40)</t>
  </si>
  <si>
    <t>7,04%- 2010</t>
  </si>
  <si>
    <t>Jovenes y Adultos</t>
  </si>
  <si>
    <t>Jóvenes y adultos atendidos</t>
  </si>
  <si>
    <t>2% de Repitencia Total</t>
  </si>
  <si>
    <t>Tasa de Repitencia Total</t>
  </si>
  <si>
    <t>6,3%- 2010</t>
  </si>
  <si>
    <t>Ampliación de la cobertura y Atención integral a la primera infancia</t>
  </si>
  <si>
    <t>Cupos escolares</t>
  </si>
  <si>
    <t xml:space="preserve">2% de deserción en Preescolar </t>
  </si>
  <si>
    <t xml:space="preserve">Tasa de deserción en Preescolar </t>
  </si>
  <si>
    <t xml:space="preserve">4%    - 2010          </t>
  </si>
  <si>
    <t>Infraestructura física</t>
  </si>
  <si>
    <t>Hogar infantil</t>
  </si>
  <si>
    <t>2% de deserción en Primaria</t>
  </si>
  <si>
    <t>Tasa de deserción en Primaria</t>
  </si>
  <si>
    <t xml:space="preserve">4.78%   - 2010          </t>
  </si>
  <si>
    <t>Canastas educativas</t>
  </si>
  <si>
    <t>Centros de Atención dotados</t>
  </si>
  <si>
    <t>2%  de deserción en Secundaria</t>
  </si>
  <si>
    <t>Tasa de deserción en Secundaria</t>
  </si>
  <si>
    <t xml:space="preserve">4,01%- 2010           </t>
  </si>
  <si>
    <t>formación de comunidad</t>
  </si>
  <si>
    <t>Miembros de la Comunidad educativa formados</t>
  </si>
  <si>
    <t>1%  de deserción en Media</t>
  </si>
  <si>
    <t>Tasa de deserción en Media</t>
  </si>
  <si>
    <t xml:space="preserve">2,41% - 2010           </t>
  </si>
  <si>
    <t>Ampliación de cobertura y mejoramiewnto de la permanencia escolar.</t>
  </si>
  <si>
    <t>Alimentación Escolar</t>
  </si>
  <si>
    <t>Desayunos escolares (raciones) entregados</t>
  </si>
  <si>
    <t>2% de deserción total (37)</t>
  </si>
  <si>
    <t>Tasa de deserción total (37)</t>
  </si>
  <si>
    <t xml:space="preserve"> 4.01%    - 2010                  </t>
  </si>
  <si>
    <t xml:space="preserve">Uniformes </t>
  </si>
  <si>
    <t>Estudiantes matriculados en establecimientos oficiales rurales con subsidio de uniformes</t>
  </si>
  <si>
    <t>Crear un fondo de apoyo para la articulación entre la educación superior y media</t>
  </si>
  <si>
    <t>Fondo creado</t>
  </si>
  <si>
    <t>Kit escolares</t>
  </si>
  <si>
    <t>Kits escolares</t>
  </si>
  <si>
    <t>Transporte escolar</t>
  </si>
  <si>
    <t>Estudiantes matriculados en establecimientos oficiales rurales con subsidio de transporte escolar</t>
  </si>
  <si>
    <t>Gratuidad Educativa</t>
  </si>
  <si>
    <t>Estudiantes con gratuidad en los establecimientos oficiales</t>
  </si>
  <si>
    <t>Fortalecimiento de la educacion rural</t>
  </si>
  <si>
    <t>Sedes con canasta educativa</t>
  </si>
  <si>
    <t>Plan Municipal de Educación Rural</t>
  </si>
  <si>
    <t>Formación de comunidad</t>
  </si>
  <si>
    <t>Proyectos Pedagógicos Productivos</t>
  </si>
  <si>
    <t>Proyectos Pedagógicos productivos</t>
  </si>
  <si>
    <t>Asistencia técnica al desarrollo del Plan</t>
  </si>
  <si>
    <t>Ampliacion de la cobertura y fortalecimiento de la educación superior y la Formación para el trabajo</t>
  </si>
  <si>
    <t>Cupos en educacion superior</t>
  </si>
  <si>
    <t>Estudiantes en educación superior</t>
  </si>
  <si>
    <t>Centros Regionales de educ. super.</t>
  </si>
  <si>
    <t>CERES</t>
  </si>
  <si>
    <t>Programas de educ. para el trab.</t>
  </si>
  <si>
    <t>Programas autorizados</t>
  </si>
  <si>
    <t>Prestación del servicio educativo</t>
  </si>
  <si>
    <t>Planta docente, directivo y adtivo</t>
  </si>
  <si>
    <t>Docentes Y Administrativos</t>
  </si>
  <si>
    <t>Planta central</t>
  </si>
  <si>
    <t>Funcionarios planta Central</t>
  </si>
  <si>
    <t>INFRAESTRUCTURA ESCOLAR EDUCATIVA PARA IBAGUE</t>
  </si>
  <si>
    <t>Dotar, mejorar, adecuar y remodelar la planta física de 110 Instituciones Educativas y Centros Educativos oficiales</t>
  </si>
  <si>
    <t>Número de Instituciones y Centros educativos dotados, mejorados, adecuados y remodelados</t>
  </si>
  <si>
    <t>Ampliación, Remodelación y mejoramiento de la Infraestructura Física Escolar</t>
  </si>
  <si>
    <t>Baterías Sanitarias</t>
  </si>
  <si>
    <t>Baterías sanitarias constuidas o remodeladas</t>
  </si>
  <si>
    <t>Legalizar 100 predios</t>
  </si>
  <si>
    <t>Número de predios legalizados</t>
  </si>
  <si>
    <t>Aulas recuperadas</t>
  </si>
  <si>
    <t>Aulas construidas</t>
  </si>
  <si>
    <t>Plan Municipal de Infraestructura</t>
  </si>
  <si>
    <t>Plan realizado</t>
  </si>
  <si>
    <t>Legalizacion de Predios</t>
  </si>
  <si>
    <t>Predios legalizados</t>
  </si>
  <si>
    <t>Cerramientos</t>
  </si>
  <si>
    <t>Cerramientos realizados</t>
  </si>
  <si>
    <t>Dotacion de instituciones educativas</t>
  </si>
  <si>
    <t>Pupitres</t>
  </si>
  <si>
    <t>Tableros</t>
  </si>
  <si>
    <t>Bibliobancos</t>
  </si>
  <si>
    <t>Parques Infantiles</t>
  </si>
  <si>
    <t>parques infantiles</t>
  </si>
  <si>
    <t>INSTITUCIONALIDAD Y GESTION ESCOLAR</t>
  </si>
  <si>
    <t>Implementar un Plan de Modernización y fortalecimiento institucional del sector educativo conforme a sus componentes</t>
  </si>
  <si>
    <t>Plan de Modernización y Fortalecimiento Institucional implementado</t>
  </si>
  <si>
    <t>Implementación de estrategias, para la convivencia y el desarrollo de competencias ciudadanas</t>
  </si>
  <si>
    <t>cultura ciudadana</t>
  </si>
  <si>
    <t>derechos humanos</t>
  </si>
  <si>
    <t>Acoso Escolar</t>
  </si>
  <si>
    <t>Investigación realizada</t>
  </si>
  <si>
    <t>Modernización y fortalecimiento institucional del sector educativo</t>
  </si>
  <si>
    <t>Muebles</t>
  </si>
  <si>
    <t>Diferentes muebles</t>
  </si>
  <si>
    <t>Equipos</t>
  </si>
  <si>
    <t>Computadores</t>
  </si>
  <si>
    <t>N° de emprendedores Capacitados/ N° de emprendedores registrados</t>
  </si>
  <si>
    <t xml:space="preserve">Firmar cuatro convenios interistitucionales con el SENA y/o camara y comercios y otros para llevar a cabo la capacitacion de los emprendedores y empresarios del programa laboratorios </t>
  </si>
  <si>
    <t>N° de convenios realizados con el SENA y/o entidades aliadas</t>
  </si>
  <si>
    <t>Secretaría de Apoyo a la Gestión y Asuntos de la Juventud</t>
  </si>
  <si>
    <t xml:space="preserve"> Fortalecer con capacitaciones y asesorias especificas al 5% de los registrados en el programa de laboratorios microempresariales</t>
  </si>
  <si>
    <t>N° de emprendedores fortalecidos/ N° de emprendedores registrados</t>
  </si>
  <si>
    <t>Descongestión de un 50% de los procesos que llevan a cabo las Comisarías de Famillia</t>
  </si>
  <si>
    <t>Incluir al 100% de la población en la base de datos del Sisbén que lo solicita</t>
  </si>
  <si>
    <t>Total Población Sisbenizada / Total de la Población que solicita ser incluida en la base de datos</t>
  </si>
  <si>
    <t>atender el 100% de las solicitudes de la comunidad</t>
  </si>
  <si>
    <t>Nº de encuestas efectivas/solicitadas</t>
  </si>
  <si>
    <t>realizar 6 Campañas anuales de sensibilización sobre los beneficios del SISBËN</t>
  </si>
  <si>
    <t>Nº de campañas/Programadas</t>
  </si>
  <si>
    <t>REINGENIERÍA DE LAS SECRETARÍAS EN RECURSOS HUMANOS, FÍSICOS Y OPERATIVOS</t>
  </si>
  <si>
    <t>Creación del centro de información municipal para la planeación y desarrollo</t>
  </si>
  <si>
    <t>Centro de Información creado</t>
  </si>
  <si>
    <t>Realizar 4 anuarios estadisticos con enfoque territorial, poblacional y diferencial</t>
  </si>
  <si>
    <t>Nº. de anuarios estadisticos realizados</t>
  </si>
  <si>
    <t>Implementacion de la comisaria de familia permanente</t>
  </si>
  <si>
    <t>Comisaria permanente en funcionamiento</t>
  </si>
  <si>
    <t>Elaboración de un proyecto para reubicación de la planta física de la Administración Pública</t>
  </si>
  <si>
    <t>Proyecto de reubicación elaborado/ proyecto programado</t>
  </si>
  <si>
    <t>Adecuación y mantenimiento del 80% de la infraestructura administrativa municipal</t>
  </si>
  <si>
    <t xml:space="preserve">% de  adecuacion y mantenimiento </t>
  </si>
  <si>
    <t>Identificación del 100% de los bienes fiscales de la Administración Central</t>
  </si>
  <si>
    <t>% de bienes identificados</t>
  </si>
  <si>
    <t>Enajenar el 30% de los bienes improductivos libres de afectación de la propiedad</t>
  </si>
  <si>
    <t>% de bienes improductivos libres de afectación</t>
  </si>
  <si>
    <t>Elaboración de un proyecto para la reubicación de la Planta Física de la Admon Pública.</t>
  </si>
  <si>
    <t>Proyecto elaborado: Estudio, diseño y calculos estructurales y obtención de licencia de construcción./proyecto programado</t>
  </si>
  <si>
    <t>19</t>
  </si>
  <si>
    <t>1400000000  funcionamiento</t>
  </si>
  <si>
    <t xml:space="preserve">Ubicación e identificacion de predios </t>
  </si>
  <si>
    <t>15 % de los lotes identificados</t>
  </si>
  <si>
    <t>Elaboración del diagnóstico para la implementación de los sistemas de gestión de calidad pública</t>
  </si>
  <si>
    <t>Nº de diagnóstico elaborados</t>
  </si>
  <si>
    <t xml:space="preserve">REDUCIR LA DESNUTRICION GLOBAL  EN NIÑOS Y NIÑAS MENORES DE 5 AÑOS A 1.5%  ANUAL </t>
  </si>
  <si>
    <t xml:space="preserve">100% IPS publicas y privadas con el SISVAN implementado y el seguimiento a la calidad del dato  de niños menores de 5 años que presentan bajo peso para la edad                                                                                                                                                         levantamiento de las lines de base. </t>
  </si>
  <si>
    <t xml:space="preserve">100% IPS publicas y privadas con el SISVAN implementado y el seguimiento a la calidad del dato   de niños y niñas menores de 5 años que presentan baja talla para la edad                                                                                                                                                         levantamiento de las lines de base. </t>
  </si>
  <si>
    <t xml:space="preserve">100% IPS publicas y privadas con el SISVAN implementado y el seguimiento a la calidad del dato de niños mayores de 5 años    que presentan baja talla para la edad                                                                                                                                                   levantamiento de las lines de base. </t>
  </si>
  <si>
    <t>24, 5 Y 18%</t>
  </si>
  <si>
    <t>24 Y 18 %</t>
  </si>
  <si>
    <t>23 Y 17%</t>
  </si>
  <si>
    <t xml:space="preserve"> 7.7% DANE 2010             % Promedio 2005 - 2009 6,67</t>
  </si>
  <si>
    <t xml:space="preserve">6% ANUAL </t>
  </si>
  <si>
    <t>39 anuales visitas de seguimiento a la estrategia IAMI</t>
  </si>
  <si>
    <t>100%  anual de IPS vigiladas, seguimiento,  en el cumplimiento a la notificación obligatoria, BAI , etc. Eventos relacionados bajo peso al nacer y SISVAN</t>
  </si>
  <si>
    <t>Crear Unidad de reacción inmediata creada</t>
  </si>
  <si>
    <t>DINAMIZACION DE LOS ENTES DESCENTRALIZADOS</t>
  </si>
  <si>
    <t>Redimensionar  el direccionamiento estratégico institucional de INFIBAGUE  con su correspondiente reestructuración. Administrativa, financiera y organizacional.</t>
  </si>
  <si>
    <t>Estudio elaborado e implementación del mismo.</t>
  </si>
  <si>
    <t>Redimensionar  el direccionamiento estratégico de la Empresa GESTORA URBANA  de Ibagué con su correspondiente reestructuración administrativa, financiera y organizacional.</t>
  </si>
  <si>
    <t>Implementar y mantener en la organización  al menos en 2 normas internacionales que garanticen aumentar la eficacia en la gestión. IBAL</t>
  </si>
  <si>
    <t>Nº de normas internacionales certificadas</t>
  </si>
  <si>
    <t xml:space="preserve">Elaboración de un estudio de la estructura organizacional de la entidad para el fortalecimiento institucional de INFIBAGUÉ </t>
  </si>
  <si>
    <t>Estudio elaborado e implementado</t>
  </si>
  <si>
    <t>NA</t>
  </si>
  <si>
    <t>División Administrativa    Infibague      Luz Maria Callejas</t>
  </si>
  <si>
    <t>Obtener la certificación Medio ambiental ISO 14001 y mantener el certificado ISO 9001</t>
  </si>
  <si>
    <t>IBAL</t>
  </si>
  <si>
    <t>GESTORA</t>
  </si>
  <si>
    <t>GESTIÓN FISCAL Y FINANCIERA RESPONSABLE</t>
  </si>
  <si>
    <t>Mantener la Capacidad de Autofinanciamiento del Municipio dentro de los parámetros de la Ley 617 de 2000</t>
  </si>
  <si>
    <t>Capacidad de autofinanciamiento del funcionamiento = (Gastos de Funcionamiento / Ingresos Corrientes de Libre Destinacion) * 100</t>
  </si>
  <si>
    <t>44.08%</t>
  </si>
  <si>
    <t>65%</t>
  </si>
  <si>
    <t>Secretaría de Hacienda - Grupo de Presupuesto</t>
  </si>
  <si>
    <t>Mantener una Tasa de Respaldo de la Deuda del Municipio hasta del 70%</t>
  </si>
  <si>
    <t xml:space="preserve">Respaldo de la Deuda = (Saldo de la Deuda Total / Ingresos Corrientes) * 100 </t>
  </si>
  <si>
    <t>29.62%</t>
  </si>
  <si>
    <t>70%</t>
  </si>
  <si>
    <t>Mantener una Liquidez Financiera inferior al 15%</t>
  </si>
  <si>
    <t>Generacion Liquidez = (Intereses / Ahorro Operacional) * 100</t>
  </si>
  <si>
    <t>4.72%</t>
  </si>
  <si>
    <t>15%</t>
  </si>
  <si>
    <t>Mantener la Sostenibilidad de la Deuda superior al limite legal del 100%</t>
  </si>
  <si>
    <t>Sostenibilidad de la Deuda = (Superavit Primario / Intereses) * 100</t>
  </si>
  <si>
    <t>100%</t>
  </si>
  <si>
    <t>Mantener la Tasa de Dependencia de las Transferencias en el 55%</t>
  </si>
  <si>
    <t>Dependencia de las Transferencias = (Transferencias Recibidas / Ingresos Totales) * 100</t>
  </si>
  <si>
    <t>53.05%</t>
  </si>
  <si>
    <t>55%</t>
  </si>
  <si>
    <t>Mantener una Tasa de Importancia de los Recursos Propios superior al 25%</t>
  </si>
  <si>
    <t>Importancia de los Recursos Propios = (Ingresos Tributarios / Ingresos Totales) * 100</t>
  </si>
  <si>
    <t>22.73%</t>
  </si>
  <si>
    <t>25%</t>
  </si>
  <si>
    <t>Mantener una Tasa de Magnitud de la Inversión superior al 82%</t>
  </si>
  <si>
    <t>Magnitud de la Inversion = (Inversion Total /  Gastos Totales) * 100</t>
  </si>
  <si>
    <t>80.84%</t>
  </si>
  <si>
    <t>82%</t>
  </si>
  <si>
    <t>Mantener la Capacidad de Ahorro superior al 50%</t>
  </si>
  <si>
    <t>Capacidad de Ahorro = (Ahorro Corriente / Ingreso Corriente) * 100</t>
  </si>
  <si>
    <t>52.13%</t>
  </si>
  <si>
    <t>50%</t>
  </si>
  <si>
    <t>15</t>
  </si>
  <si>
    <t>POLITICA JURIDICA PREVENTIVA Y RESPONSABLE</t>
  </si>
  <si>
    <t>8 Capacitaciones a los servidores públicos  en oralidad; argumentación jurídica; Defensa Judicial del Estado; implementación Código Contencioso Administrativo y actualización en cambio y modificación  en normas</t>
  </si>
  <si>
    <t>Nº de capacitaciones realizadas/ Nº de capacitaciones programadas</t>
  </si>
  <si>
    <t>Modelo de calidad educativa municipal "escuela exitosa y prospera"</t>
  </si>
  <si>
    <t>El 30% de las Instituciones Escolares en niveles de desempeño Alto, Superior y Muy Superior en la prueba Saber 11 (43)</t>
  </si>
  <si>
    <t xml:space="preserve"> Instituciones Escolares en niveles de desempeño Alto, Superior y Muy Superior en la prueba Saber 11 (43)</t>
  </si>
  <si>
    <t>N.D.</t>
  </si>
  <si>
    <t>% modernización y mantenimiento</t>
  </si>
  <si>
    <t>Modernización de 25 cruces de intersección</t>
  </si>
  <si>
    <t>No de cruces modernizados</t>
  </si>
  <si>
    <t>Realización de 332 x 4 años  Mantenimientos Preventivos y Correctivos</t>
  </si>
  <si>
    <t>No de mantenimientos realizados</t>
  </si>
  <si>
    <t>Formular el plan maestro de alumbrado publico y adelantar las acciones de corto plazo que se determine.</t>
  </si>
  <si>
    <t>Plan maestro realizado e implementado.</t>
  </si>
  <si>
    <t>No. de mantenimientos realizados</t>
  </si>
  <si>
    <t>Diseño e implementación de veinticuatro (24) estrategias de seguridad vial en sitios de concentración de personas y/o considerados críticos.</t>
  </si>
  <si>
    <t>Nº de estrategias diseñadas e implementadas</t>
  </si>
  <si>
    <t>Alcaldía fuerza pública juntos por la seguridad humana</t>
  </si>
  <si>
    <t>Reducir en un 10% la tasa de homicidios por cada 100.000 habitantes</t>
  </si>
  <si>
    <t>Tasa de homicidio por cada 100.000 habitantes</t>
  </si>
  <si>
    <t>Realización de seiscientos (600) operativos de seguridad ciudadana</t>
  </si>
  <si>
    <t>Operativos de Seguridad ciudadana realizados</t>
  </si>
  <si>
    <t>Realización de trece (13) consejos de seguridad anualmente en la ciudad de Ibagué</t>
  </si>
  <si>
    <t>Consejos de seguridad ciudadana realizados</t>
  </si>
  <si>
    <t>Disminuir en un 10% la tasa de delitos contra el patrimonio por cada 100.000 habitantes</t>
  </si>
  <si>
    <t>Tasa de delitos contra el patrimonio por cada 100.000 habitantes</t>
  </si>
  <si>
    <t>Realización de una (1) campaña de cultura ciudadana en el Municipio.</t>
  </si>
  <si>
    <t>Campaña realizada</t>
  </si>
  <si>
    <t>Nº de  veedurías creadas y/o fortalecidas/total de veedurías</t>
  </si>
  <si>
    <t>Realización de Operativos candado en la ciudad.</t>
  </si>
  <si>
    <t>Prevalencia de uso de métodos modernos de anticoncepción entre las mujeres adolescentes (15 a 19 años) actualmente unidas y no unidas, sexualmente activas</t>
  </si>
  <si>
    <t>100% de vigilancia y seguimiento a las guia de atencion del joven con la modalidad de servicios amigables y / o creacion de centros de atencion a jovenes.</t>
  </si>
  <si>
    <t>% de cumpliendo con la  guia de atencion del joven  con alguna de las  modalidades de  servicios amigables</t>
  </si>
  <si>
    <t xml:space="preserve">El porcentaje de mujeres entre 15 - 49 años que esta utilizando metodos de PNF  no debe ser inferior al 75% </t>
  </si>
  <si>
    <t>Prevalencia de uso de métodos modernos de anticoncepción entre las mujeres actualmente unidas y no unidas, sexualmente activas</t>
  </si>
  <si>
    <t>100% de vigilancia y seguimiento a las guia de planificaciòn.</t>
  </si>
  <si>
    <t>Realización de una campaña de sensibilización sobre el abuso sexual.</t>
  </si>
  <si>
    <t>Realización de Operativos de control de menores en establecimientos nocturnos.</t>
  </si>
  <si>
    <t>Operativos realizados</t>
  </si>
  <si>
    <t>Realización de  24  campañas para la recuperación y mejoramiento de la seguridad ciudadana en áreas críticas de la ciudad</t>
  </si>
  <si>
    <t>Nº de campañas</t>
  </si>
  <si>
    <t>Realización de doce (12) campañas dirigidas al autocuidado y prevención de delitos comunes.</t>
  </si>
  <si>
    <t>sec. De Gobierno - Dir. Justicia</t>
  </si>
  <si>
    <t>Realización de una campaña anual sobre el microtrafico de estupefacientes</t>
  </si>
  <si>
    <t>Adelantara 9 planes de prevención e intervención para la recuperación de la seguridad ciudadana en áreas críticas del municipio</t>
  </si>
  <si>
    <t>N° de planes</t>
  </si>
  <si>
    <t>Recuperación de 8 zonas criticas de la ciudad.</t>
  </si>
  <si>
    <t>Zonas criticas recuperadas</t>
  </si>
  <si>
    <t>suscripción de 4 convenios de cooperación judicial entre las agencias del estado coordinados por la administración municipal</t>
  </si>
  <si>
    <t>N° de convenios suscritos/total de convenios</t>
  </si>
  <si>
    <t>Suscribir cuatro (4) convenios de cooperación institucional.</t>
  </si>
  <si>
    <t>Convenios suscritos</t>
  </si>
  <si>
    <t>Adelantar en el cuatrienio una (1) campaña con carácter permanente,  dirigida a fortalecer el compromiso ciudadano en el mejoramiento de las agencias de seguridad del estado</t>
  </si>
  <si>
    <t>Campañas de cultura ciudadana</t>
  </si>
  <si>
    <t>Establecer una campaña de cultura ciudadana de carácter permanente.</t>
  </si>
  <si>
    <t>Campaña de cultura ciudadana ejecutada.</t>
  </si>
  <si>
    <t>No. De M2 Demarcados</t>
  </si>
  <si>
    <t>No. De operativos realizados</t>
  </si>
  <si>
    <t>Gestión</t>
  </si>
  <si>
    <t>No de Convenios celebrados</t>
  </si>
  <si>
    <t>No. De Campañas realizadas</t>
  </si>
  <si>
    <t>Gestionar recursos del Gobierno Central a través de documento CONPES del SETP, que incluye inversión en la modernización del sistema semafórico.</t>
  </si>
  <si>
    <t>Documento CONPES obtenido</t>
  </si>
  <si>
    <t>Modernización de los semáforos de 60 intersecciones a iluminación led</t>
  </si>
  <si>
    <t>No de cruces modernizados con luminarias led</t>
  </si>
  <si>
    <t>Implementar 24 estrategias de seguridad vial en sitios de concentración de personas y/o considerados críticos</t>
  </si>
  <si>
    <t>No. de estrategias implementadas</t>
  </si>
  <si>
    <t>DIRECTOR OPERATIVO INFIBAGUE         JULIO CESAR RODRIGUEZ</t>
  </si>
  <si>
    <t>Ampliar en 20 Km la cobertura del Alumbrado Público</t>
  </si>
  <si>
    <t>No. de Km Ampliados</t>
  </si>
  <si>
    <t>JEFE OFICINA ALUMBRADO PUBLICO INFIBAGUE  Ing. Luis Enrique Ascencio</t>
  </si>
  <si>
    <t>Realizar 44.000 mantenimientos al Alumbrado Público</t>
  </si>
  <si>
    <t>Instalar 6000 luminarias nuevas</t>
  </si>
  <si>
    <t>No. De Luminarias nuevas instaladas</t>
  </si>
  <si>
    <t>La seguridad humana es justicia con tolerancia y convivencia</t>
  </si>
  <si>
    <t>Reducir en un 20% el Nº de casos absolutos de violencia intra-familiar en el municipio de Ibagué</t>
  </si>
  <si>
    <t>Nº de casos denunciados</t>
  </si>
  <si>
    <t>Disminuir en un 15% la tasa de lesiones personales por cada 100.000 habitantes</t>
  </si>
  <si>
    <t>Nº de casos por cada 100.000 habitantes</t>
  </si>
  <si>
    <t>Implementación de la justicia previa y conciliatoria en el municipio</t>
  </si>
  <si>
    <t>Justicia previa implementadas</t>
  </si>
  <si>
    <t>Diseño y puesta en marcha de un sistema de atención integral a víctimas del  Municipio</t>
  </si>
  <si>
    <t>Sistemas de atención integral diseñado e implementado</t>
  </si>
  <si>
    <t>Implementar un programa dirigido a la consolidación del respeto por las diferencias y la inclusión como alternativas para la convivencia pacífica.</t>
  </si>
  <si>
    <t>100% de vigilancia y seguimiento a las guia de atenciòn en control prenatal con relacion a la toma de la prueba par adiagnostico de  VIH.</t>
  </si>
  <si>
    <t>% de cumpliendo con la  guia de atencion de  control prenatal - según las norma.</t>
  </si>
  <si>
    <t xml:space="preserve">Tasa de Cobertura bruta en Educación Básica (Preescolar+Básica primaria + Básica secunadaria)  </t>
  </si>
  <si>
    <t>95,46% - 2011</t>
  </si>
  <si>
    <t>Implementar una política integral de minorías étnicas compuestas por comunidades afrocolombianas, indígenas, rom, LGBTI, víctimas, desplazados, habitantes de la calle y demás población en situación de vulnerabilidad</t>
  </si>
  <si>
    <t>Nº de políticas implementadas</t>
  </si>
  <si>
    <t>Adopción y puesta en marcha del  sistema nacional de derechos humanos en el territorio municipal</t>
  </si>
  <si>
    <t>Nº programas mapa de actores 2011. fuente: secretaria de gobierno</t>
  </si>
  <si>
    <t>1 programa observatorio de derechos humanos en ejecución. fuente: secretaria de gobierno</t>
  </si>
  <si>
    <t>Reducir en un 15%  el número de procesos policivos que generan congestión en las inspecciones de policía,  comisarías de familia y corregidurías del municipio de Ibagué</t>
  </si>
  <si>
    <t>% de procesos policivos reducidos</t>
  </si>
  <si>
    <t xml:space="preserve"> 100%   de población adolescente SENSIBILIZADA En  PREVENCION  para la gestacion temprana  ATRAVES DE  LA ESTRATEGIA IEC.                   </t>
  </si>
  <si>
    <t>promedio 2007-2011 por 100 gestantes esperadas es de 31,4%</t>
  </si>
  <si>
    <t xml:space="preserve"> 100%  anual de  seguimiento a las gestantes captadas para   tratamiento de Sífilis gestacional</t>
  </si>
  <si>
    <t>2.92 x1000NV</t>
  </si>
  <si>
    <t>La tasa  del  0.5 x 1000.  anual</t>
  </si>
  <si>
    <t>83,7% promedio 2008-2010 SIVIGILA-programa</t>
  </si>
  <si>
    <t>Mantener el 80%  de curados en los sintomáticos respiratorios.</t>
  </si>
  <si>
    <t>porcentaje</t>
  </si>
  <si>
    <t>2 x cada 100000 hab</t>
  </si>
  <si>
    <t>Subsistema de informaciónTB / LEPRA (programa y SIVIGILA)  , actualizado sistematicamente, depurado, consolidación, análisis, indicadores, divulgación.</t>
  </si>
  <si>
    <t>7 x 100 mil menores de 15 años promedio 2008-2011 SIVIGILA -programa</t>
  </si>
  <si>
    <t>16 por cada 100.000 menores de 15 años</t>
  </si>
  <si>
    <t xml:space="preserve">100% de vigilancia y seguimiento a las guia de atenciòn del programa de tuberculosis </t>
  </si>
  <si>
    <t>SECRETARIO DE EDUCACIÓN</t>
  </si>
  <si>
    <t>25 Instituciones Educativas en el Programa de Pequeños científicos</t>
  </si>
  <si>
    <t>1 observatorio de Calidad Educativo creado</t>
  </si>
  <si>
    <t>Observatorio de Calidad Educativa</t>
  </si>
  <si>
    <t>4 Programas educativos realizados</t>
  </si>
  <si>
    <t>Programas Educativos</t>
  </si>
  <si>
    <t>12 Análisis de las Pruebas Saber 5, 9 y 11 realizados</t>
  </si>
  <si>
    <t>Análisis de las Pruebas Saber 5, 9 y 11</t>
  </si>
  <si>
    <t>12 líneas de investigación creadas</t>
  </si>
  <si>
    <t>Líneas de investigación</t>
  </si>
  <si>
    <t xml:space="preserve">50 Instituciones Educativas </t>
  </si>
  <si>
    <t>Instituciones Educativas participando</t>
  </si>
  <si>
    <t>24 Coros estudiantiles creados y mantenidos</t>
  </si>
  <si>
    <t>Coros estudiantiles creados y mantenidos</t>
  </si>
  <si>
    <t>1 Grupo orquestal y vocal formado</t>
  </si>
  <si>
    <t xml:space="preserve">Grupo orquestal y vocal </t>
  </si>
  <si>
    <t>61 Conte nidos curriculares de Educación Musical creados</t>
  </si>
  <si>
    <t>Contenidos curriculares de Educación Musical</t>
  </si>
  <si>
    <t>1 Una estrategia de cominucación realizada</t>
  </si>
  <si>
    <t>Estrategia de comunicación</t>
  </si>
  <si>
    <t>6 Publicaciones realizadas</t>
  </si>
  <si>
    <t>Publicaciones realizadas</t>
  </si>
  <si>
    <t>3 Asistencias técnicas recibidas</t>
  </si>
  <si>
    <t>Asistencias técnicas recibidas</t>
  </si>
  <si>
    <t>5 Mesas temáticas realizadas</t>
  </si>
  <si>
    <t>Mesas temáticas</t>
  </si>
  <si>
    <t>20000 Estudiantes formados en Emprendimiento</t>
  </si>
  <si>
    <t>Estudiantes formados en Emprendimiento</t>
  </si>
  <si>
    <t>40 Programas articulados en las Instituciones educativas</t>
  </si>
  <si>
    <t>Programas articulados</t>
  </si>
  <si>
    <t xml:space="preserve"> Docentes Capacitados para articulación</t>
  </si>
  <si>
    <t>Docentes capacitados</t>
  </si>
  <si>
    <t>61 programas de gestión de escolar realizados</t>
  </si>
  <si>
    <t>Programa de Gestión Escolar</t>
  </si>
  <si>
    <t>59 Peis reestructurados</t>
  </si>
  <si>
    <t>PEI Reestructurados</t>
  </si>
  <si>
    <t>4000 personas de la Comunidad Educativa formados</t>
  </si>
  <si>
    <t>Comunidad educativa formada</t>
  </si>
  <si>
    <t>200 Peis reestructurados</t>
  </si>
  <si>
    <t>Plan lector</t>
  </si>
  <si>
    <t>4 Foros educativos realizados</t>
  </si>
  <si>
    <t xml:space="preserve">Foro educativo </t>
  </si>
  <si>
    <t>4 Congresos Matemáticos realizados</t>
  </si>
  <si>
    <t>Congresos Matemáticos</t>
  </si>
  <si>
    <t xml:space="preserve">4 Redes funcionando </t>
  </si>
  <si>
    <t>Escuela de Formadores</t>
  </si>
  <si>
    <t>Formar a 120 Docentes</t>
  </si>
  <si>
    <t>Número de Docentes formados</t>
  </si>
  <si>
    <t>120 Docentes formados en lengua extranjera</t>
  </si>
  <si>
    <t>4 Redes de aprendizaje funcionando</t>
  </si>
  <si>
    <t>4 Convenios realizados</t>
  </si>
  <si>
    <t>Formar 40 Escuelas de Padres</t>
  </si>
  <si>
    <t>Número de escuelas formadas</t>
  </si>
  <si>
    <t>40 escuelas de padres formadas</t>
  </si>
  <si>
    <t>2000 Docentes y estudiantes capacitados en temas ambientales</t>
  </si>
  <si>
    <t>3000 Docentes y estudiantes capacitados en temas sexuales</t>
  </si>
  <si>
    <t>Docentes      400
Alumnos       2.000  capacitados en ética y resolución de conflictos</t>
  </si>
  <si>
    <t>1 Sistema de evaluación municipal creado</t>
  </si>
  <si>
    <t>61 instituciones educativas evaluadas</t>
  </si>
  <si>
    <t>200 formados en estrategiasy modelos pedagógicos y evaluación</t>
  </si>
  <si>
    <t>10 publicaciones realizadas</t>
  </si>
  <si>
    <t>20 publicaciones de trabajos realizados por docentes</t>
  </si>
  <si>
    <t>8 maestrías subsidiadas</t>
  </si>
  <si>
    <t>8 pasantías realizadas por docentes</t>
  </si>
  <si>
    <t>20 comisiones de estudio otorgadas</t>
  </si>
  <si>
    <t>16000 discapacitados atendidos</t>
  </si>
  <si>
    <t>Atender 8,000 indigenas</t>
  </si>
  <si>
    <t>8000 Indígenas atendidos</t>
  </si>
  <si>
    <t>20000 desplazados atendidos</t>
  </si>
  <si>
    <t>4400 desmovilizados atendidos</t>
  </si>
  <si>
    <t>1200 privados de libertadad capacitados</t>
  </si>
  <si>
    <t>4000 madres cabezas de hogar atendidas</t>
  </si>
  <si>
    <t>1000 reinsertados atendidos</t>
  </si>
  <si>
    <t>3600 iletrados capacitados</t>
  </si>
  <si>
    <t>24500 jóvenes y adultos atendidos</t>
  </si>
  <si>
    <t>4800 cupos escolares</t>
  </si>
  <si>
    <t xml:space="preserve"> hogar infantil financiado</t>
  </si>
  <si>
    <t>20 centros de atención dotados</t>
  </si>
  <si>
    <t>2000 miembros de la Comunidad Educativa formados en temas de primera infancia</t>
  </si>
  <si>
    <t>36000000 raciones estregadas</t>
  </si>
  <si>
    <t>16000 estudiantes con subsidio para uniformes escolares</t>
  </si>
  <si>
    <t>20000 kits escolares entregados</t>
  </si>
  <si>
    <t>12800 estudiantes con subsidios de transporte escolar</t>
  </si>
  <si>
    <t>360000 estudiantes con gratuidad</t>
  </si>
  <si>
    <t>115 sedes con canasta educativa</t>
  </si>
  <si>
    <t>1 plan de educación rural realizado</t>
  </si>
  <si>
    <t>200 miembros de la Comunidad Educativa formados en aspectos educativos rurales</t>
  </si>
  <si>
    <t>20 proyectos pedagógicos ejecutados</t>
  </si>
  <si>
    <t>1 asistencia téctica realizada</t>
  </si>
  <si>
    <t>400 cupos de educación superior</t>
  </si>
  <si>
    <t>3 CERES creados</t>
  </si>
  <si>
    <t>40 Programas de Educación para el trabajo autorizados</t>
  </si>
  <si>
    <t>2948 docentes y administrativos pagados por nómina</t>
  </si>
  <si>
    <t>39 funcionarios de planta central</t>
  </si>
  <si>
    <t>Un Fondo Educativo creado</t>
  </si>
  <si>
    <t>Fondo educativo creado</t>
  </si>
  <si>
    <t>100 Baterías sanitarias constuidas o remodeladas</t>
  </si>
  <si>
    <t>50 Aulas recuperadas</t>
  </si>
  <si>
    <t>32 Aulas construidas</t>
  </si>
  <si>
    <t>1 Plan de infraestructura elaborado</t>
  </si>
  <si>
    <t>4 cerramientos construidos</t>
  </si>
  <si>
    <t>4000 pupitres adquiridos</t>
  </si>
  <si>
    <t>800 tableros adquiridos</t>
  </si>
  <si>
    <t>3000 bibliobancos adquiridos</t>
  </si>
  <si>
    <t>Certificacion procesos</t>
  </si>
  <si>
    <t xml:space="preserve">Procesos certificados </t>
  </si>
  <si>
    <t xml:space="preserve">Capacitacion </t>
  </si>
  <si>
    <t>Funcionarios capacitados</t>
  </si>
  <si>
    <t>Procesos</t>
  </si>
  <si>
    <t>Página Web</t>
  </si>
  <si>
    <t>Mantenimiento de la página web de la Secretaria de Educación</t>
  </si>
  <si>
    <t>TECNOLOGIA AL AULA</t>
  </si>
  <si>
    <t>2220 Docentes capacitados en Tics</t>
  </si>
  <si>
    <t>Número de Docentes capacitados</t>
  </si>
  <si>
    <t> Formación de docentes y directivos en el uso y apropiacion de las Tics en el aula y en el fortalecimiento institucional</t>
  </si>
  <si>
    <t>docentes formados</t>
  </si>
  <si>
    <t>Crear 2 Redes de Aprendizaje</t>
  </si>
  <si>
    <t>Número de redes creadas</t>
  </si>
  <si>
    <t>Programas</t>
  </si>
  <si>
    <t>Programas aplicados</t>
  </si>
  <si>
    <t>Formular 61 proyectos orientados a la adopción de las Tics</t>
  </si>
  <si>
    <t>Número de proyectos formulados</t>
  </si>
  <si>
    <t>Redes de aprendizaje</t>
  </si>
  <si>
    <t>Dotación de 200 sedes educativas con conectividad</t>
  </si>
  <si>
    <t>Equipos de cómputo adquiridos</t>
  </si>
  <si>
    <t xml:space="preserve">Proyectos   </t>
  </si>
  <si>
    <t>Proyectos de aula</t>
  </si>
  <si>
    <t>Dotar 61 Instituciones Educativas con soporte lógico</t>
  </si>
  <si>
    <t>Número de Instituciones Educativas con soporte lógico</t>
  </si>
  <si>
    <t>Acceso a la tecnología (Equipos, conectividad, soporte y mantenimiento, soporte lógico, software y reposición de equipos.</t>
  </si>
  <si>
    <t xml:space="preserve">Equipos </t>
  </si>
  <si>
    <t>2000 licencias de software educativo</t>
  </si>
  <si>
    <t>Número de licencias de software educativo adquiridas</t>
  </si>
  <si>
    <t>Conectividad</t>
  </si>
  <si>
    <t>Sedes con conectividad</t>
  </si>
  <si>
    <t>Inventario de Infraestructura</t>
  </si>
  <si>
    <t>Inventario realizado</t>
  </si>
  <si>
    <t>Formación docentes</t>
  </si>
  <si>
    <t>Escenarios Interactivos</t>
  </si>
  <si>
    <t xml:space="preserve">Aulas </t>
  </si>
  <si>
    <t>Soporte Lógico</t>
  </si>
  <si>
    <t>Instituciones Educaticas con soporte lógico</t>
  </si>
  <si>
    <t>Software educativo</t>
  </si>
  <si>
    <t>Licencias</t>
  </si>
  <si>
    <t>ESCUELA DE FORMADORES</t>
  </si>
  <si>
    <t>Formar a 120 docente</t>
  </si>
  <si>
    <t>Numero de docentes formados</t>
  </si>
  <si>
    <t>Numero de escuelas formadas</t>
  </si>
  <si>
    <t>Formar 40 escuelas de padres</t>
  </si>
  <si>
    <t>Recuperacion de las cuencas principales y  10 microcuenca   de interes ambiental</t>
  </si>
  <si>
    <t>N° de microcuencas</t>
  </si>
  <si>
    <t>N/D</t>
  </si>
  <si>
    <t>Realizar un diagnostico general sobre el recurso hidrico del municipio e identificar las cuencas de intervencion prioritaria</t>
  </si>
  <si>
    <t>Diagnostico Elaborado</t>
  </si>
  <si>
    <t>Formular 10 planes de manejo ambiental para microcuencas del Municipio</t>
  </si>
  <si>
    <t>N° de planes de manejo ambiental formulados</t>
  </si>
  <si>
    <t>Implementar acciones de mejoramiento de 5 planes de manejo ambiental para microcuencas del Municipio</t>
  </si>
  <si>
    <t>N° de acciones de mejoramiento ambiental implementados</t>
  </si>
  <si>
    <t>N° de predios adquiridas</t>
  </si>
  <si>
    <t>Compra de 500Ha ubicadas  en el Cañon del Combeima de acuerdo al conpes 3570</t>
  </si>
  <si>
    <t>N° de Ha adquiridas</t>
  </si>
  <si>
    <t>Implementar estrategias del estudio de mitigación del riesgo en el Cañon del Combeima y las microcuencas</t>
  </si>
  <si>
    <t>Estrategias Implementadas</t>
  </si>
  <si>
    <t>n/D</t>
  </si>
  <si>
    <t>Implementar una estrategia del estudio de mitigación</t>
  </si>
  <si>
    <t>Estrategia implementada</t>
  </si>
  <si>
    <t>Diseñar una estrategia para implementar los programas PROCEDA Y PRAE</t>
  </si>
  <si>
    <t>Estrategia Implementada</t>
  </si>
  <si>
    <t>N° de Procedas y Prae implementados</t>
  </si>
  <si>
    <t>N° de procedas implementados</t>
  </si>
  <si>
    <t>Compra de predios en la cuenca del cañon del Combeima ,de acuerdo a como le determine el estudio de escenarios de riesgo.</t>
  </si>
  <si>
    <t xml:space="preserve">Recuperar 3  predios reconocidos como de interes ambiental cientifico y paisajistico </t>
  </si>
  <si>
    <t>Predios recuperados</t>
  </si>
  <si>
    <t>N° de predios recuperados</t>
  </si>
  <si>
    <t>Reforestacion y arborizacion urbana y rural de 400 Ha con especies nativas</t>
  </si>
  <si>
    <t>Nº de Ha reforestadas</t>
  </si>
  <si>
    <t xml:space="preserve">N° de Ha reforestadas </t>
  </si>
  <si>
    <t>Producción y siembra de 120,000 plantulas</t>
  </si>
  <si>
    <t>Nº de plantas producidas</t>
  </si>
  <si>
    <t xml:space="preserve">BIOFABRICA DEL BARRIO LIBERTADOR 120.000 PLANTULAS </t>
  </si>
  <si>
    <t>Nº de especies arboreas entregadas</t>
  </si>
  <si>
    <t>Nº de especies arboreas sembradas</t>
  </si>
  <si>
    <t>Sembrar  400,000 plantulas en el area urbana y rural</t>
  </si>
  <si>
    <t>Adelantar los tramites que permitan el reconocimiento y la declaratoria de Cañon del Combeima como zona de especial interes ambiental,zona de preservación y patrimonio ecologico y ambiental del Municipio de Ibagué</t>
  </si>
  <si>
    <t>Documento</t>
  </si>
  <si>
    <t>Manejo integral a  2.300 Ha de zonas  de interes ambiental que hacen parte del sistema Municipal de Areas Protegidas .</t>
  </si>
  <si>
    <t>N° de Ha protegidas.</t>
  </si>
  <si>
    <t xml:space="preserve">Diseñar un sistema de pago por servicios ambientales.            </t>
  </si>
  <si>
    <t>Proyecto  formulado</t>
  </si>
  <si>
    <t>Actualizar diagnostico municipal del SIMAP y priorizar las zonas de interes ambiental</t>
  </si>
  <si>
    <t>Formular  10 planes de manejo ambiental para zonas de interes ambiental adquiridas por el municipio</t>
  </si>
  <si>
    <t xml:space="preserve">         N° planes de manejo ambiental  formulados</t>
  </si>
  <si>
    <t>Implementar 5 acciones en 5 planes de manejo ambiental para zonas de interes ambiental adquiridas por el  Municipio</t>
  </si>
  <si>
    <t>N° de accciones implementadas en los planes de manejo ambiental implementados</t>
  </si>
  <si>
    <t>Formar a 110 estudiantes  en competencias ciudadanas para  la constitución  de consejos estudiantiles</t>
  </si>
  <si>
    <t>Nº  estudiantes formados</t>
  </si>
  <si>
    <t>Desarrollar 58 rendiciones de cuentas dentro de las I.E. de los gobiernos escolares como principio del buen gobierno</t>
  </si>
  <si>
    <t>Nº de  rendiciones de cuentas realizadas</t>
  </si>
  <si>
    <t>La vida derecho único y universal</t>
  </si>
  <si>
    <t>Capacitar al 20% de los jóvenes entre 14 y 26 años del municipio de Ibagué en  el tema de derechos humanos</t>
  </si>
  <si>
    <t>Nº de jóvenes capacitados</t>
  </si>
  <si>
    <r>
      <t xml:space="preserve">Realizar 8 Talleres de informacion y apropiacion de los Derechos Humanos  </t>
    </r>
  </si>
  <si>
    <t>Talleres realizados</t>
  </si>
  <si>
    <t>Realizar un encuentro anual municipal de jóvenes en derechos humanos</t>
  </si>
  <si>
    <t>Encuentro realizado</t>
  </si>
  <si>
    <t>Apoyar dos campañas anuales implementadas dentro de la Política pública de infancia y adolescencia en lo referente al sistema de responsabilidad penal juvenil (ley 1098 de 2006)</t>
  </si>
  <si>
    <t>Nº de campañas apoyadas</t>
  </si>
  <si>
    <t>Presentar cuarenta y cuatro proyectos o ideas de negocio a convocatorias de orden local o nacional</t>
  </si>
  <si>
    <t>N° de proyectos o ideas de neogico presentadas a convocatorias</t>
  </si>
  <si>
    <t>Incrementar en el 5 % los  empresarios beneficiados con capital semilla (Línea Base 122 empresarios beneficiados con capital semilla)</t>
  </si>
  <si>
    <t>N° de empresarios beneficiados/N° de propuestas presentadas por los empresarios capacitados</t>
  </si>
  <si>
    <t xml:space="preserve">Realizar 16 eventos para entregas de capital semilla </t>
  </si>
  <si>
    <t>N° de eventos para entregas de capital semilla realizadas</t>
  </si>
  <si>
    <t>Realizar cuatro ferias Expocomunas para los microempresarios beneficiarios del Programa Laboratorios Microempresariales</t>
  </si>
  <si>
    <t>N° de ferias realizadas</t>
  </si>
  <si>
    <t>Incrementar en un 10% el numero de ideas de negocio premiadas (línea base 9 ideas de negocio premiadas)</t>
  </si>
  <si>
    <t>N° de ideas de negocio premiadas</t>
  </si>
  <si>
    <t>Realizar 4 versiones del Concurso Ibague emprendedora.</t>
  </si>
  <si>
    <t>Versiones del Concurso Ibagué Emprendedora realizadas</t>
  </si>
  <si>
    <t xml:space="preserve">Modificar  el marco tributario favorable para los empresarios en el contexto de la ley del primer empleo </t>
  </si>
  <si>
    <t>Marco tributario favorable en el contexto de la ley del primer empleo</t>
  </si>
  <si>
    <t>Presentar un informe anual de seguimiento y evaluación de la implementación de ley del primer empleo del municipio.</t>
  </si>
  <si>
    <t xml:space="preserve">Nº de informes presentados
Nº de empresas acogidas en la ley del primer empleo.
</t>
  </si>
  <si>
    <t xml:space="preserve">Creacion de la bolsa de empleo </t>
  </si>
  <si>
    <t>Bolsa de empleo creada</t>
  </si>
  <si>
    <t xml:space="preserve">13 procesos de socializacion y acompañamiento para la preparacion laboral  </t>
  </si>
  <si>
    <t xml:space="preserve">No de socializaciones realizadas </t>
  </si>
  <si>
    <t>Crear el centro de información para el empleo juvenil como una estrategia de comunicación e informacion que priorizar la oferta laboral existente para los jovenes entre 18 y 26 años  y promover el acceso efectivo al mercado laboral y al sistema de información juvenil. Linea Base 25.703 jovenes economicamente activos (sisben 1 y 2)</t>
  </si>
  <si>
    <t>Centro de información creado</t>
  </si>
  <si>
    <t>Implementar un negocio inclusivo en uno de los 4 sectores economía priorizados por el programa de laboratorios.</t>
  </si>
  <si>
    <t>N° de empleos negocio inclusivo</t>
  </si>
  <si>
    <t>Ejecutar la estrategia de un negocio inclusivo con empresarios beneficiarios de Laboratorios Microempresariales</t>
  </si>
  <si>
    <t>N° de empresarios de Laboratorios Microempresariales vinculados</t>
  </si>
  <si>
    <t>Incrementar en un 25% el apoyo a  mipymes en la realización de planes de exportación con el fin de internacionalizar sus productos</t>
  </si>
  <si>
    <t>N° de planes realizados</t>
  </si>
  <si>
    <t>Realizar cuatro convenios con universidades y/o instituciones aliadas para la formulación de los planes de exportación de la población seleccionada.</t>
  </si>
  <si>
    <t>N° de convenios con universidades y/o instituciones aliadas</t>
  </si>
  <si>
    <t>Participación en 8 ruedas de negocio, misiones comerciales y exploratorias. Línea base ( 2 por años )</t>
  </si>
  <si>
    <t>N° DE CONTROLES</t>
  </si>
  <si>
    <t>Realizar 150 personas  con valoraciones y seguimientos psicológicos</t>
  </si>
  <si>
    <t>Nº personas valoradas</t>
  </si>
  <si>
    <t>600  VALORACIONES Y SEGUIMIENTOS PSICOLOGICOS</t>
  </si>
  <si>
    <t xml:space="preserve">N° DE VALORACIONES Y SEGUIMIENTOS </t>
  </si>
  <si>
    <t>Beneficiar a 22.000 familias en los encuentros de cuidado</t>
  </si>
  <si>
    <t>1400 ENCUENTROS</t>
  </si>
  <si>
    <t>N° DE ENCUENTROS</t>
  </si>
  <si>
    <t>realizar 24 talleres de manualidades</t>
  </si>
  <si>
    <t>24 TALLERES</t>
  </si>
  <si>
    <t>Realizar 24 jornadas de recepción  de matrículas.</t>
  </si>
  <si>
    <t>Nº de jornadas realizadas</t>
  </si>
  <si>
    <t>ofertar a las empresas privadas una alianza con la administración que permitan mostrar el capital humano y/o recursos que son de  interes para los empresarios a los jovenes de las I.E media y superior</t>
  </si>
  <si>
    <t>No de ofertas realizadas</t>
  </si>
  <si>
    <t>Realizar una unión interinstitucional, entre la Alcaldía y la unidad administrativa especial de organizaciones solidarias</t>
  </si>
  <si>
    <t xml:space="preserve">Un convenio suscrito
Nº de empresas acogidas en la ley del primer empleo
</t>
  </si>
  <si>
    <t>Asignar 2200 Microcreditos</t>
  </si>
  <si>
    <t>No. De Microcréditos asignados</t>
  </si>
  <si>
    <t>FORMULAR EL PLAN MUNICIPAL DE EMPLEO</t>
  </si>
  <si>
    <t>PLAN MUNICIPAL FORMULADO</t>
  </si>
  <si>
    <t>PLAN MUNICIPAL DE EMPLEO FORMULADO</t>
  </si>
  <si>
    <t>Realizar la caracterización socioeconómica de microempresarios informales que se  encuentran  en el Municipio</t>
  </si>
  <si>
    <t xml:space="preserve">Estudio de caracterización realizado </t>
  </si>
  <si>
    <t>591 empresas publicas                           1841 empresas privadas</t>
  </si>
  <si>
    <t>100% anual de bajo peso al nacer  notificadas con investigación /  seguimiento de campo, unidad e analisis, COVE, (SIVIGILA) y el seguimiento al cumplimiento  de los indicadores de oportunidad.</t>
  </si>
  <si>
    <t>2 Subsistemas de información Eventos relacionados al (PROGRAMA  y SIVIGILA)  , actualizado sistematicamente, depurado, consolidación, análisis, indicadores, divulgación anual.</t>
  </si>
  <si>
    <t>4 meses</t>
  </si>
  <si>
    <t>4,3 meses</t>
  </si>
  <si>
    <t xml:space="preserve">Mortalidad por Dengue ODM -45                Ibagué                  </t>
  </si>
  <si>
    <t xml:space="preserve">3 Casos por año                         Tasa mortalidad por dengue 2010: 2,08 x 100.000 habitantes                </t>
  </si>
  <si>
    <t>3 casos anual</t>
  </si>
  <si>
    <t xml:space="preserve">Tasa de letalidad por Dengue ODM-46               Ibagué           </t>
  </si>
  <si>
    <t xml:space="preserve">Tasa de letalidad por dengue &lt;2%                        2010: 2,0 x 1000                   </t>
  </si>
  <si>
    <t xml:space="preserve">2% ANUAL </t>
  </si>
  <si>
    <t xml:space="preserve">100% ANUAL </t>
  </si>
  <si>
    <t>Salud pública -manejo sanitario en disponibilidad de agua potable y residuos líquidos-</t>
  </si>
  <si>
    <t>Realizar  visitas de inspección y control al  100% de los  acueductos urbanos y rurales</t>
  </si>
  <si>
    <t>Porcentaje de acueductos urbanos y rurales inspeccionados.</t>
  </si>
  <si>
    <t>100% acueductos rurales y urbanos inspeccionados</t>
  </si>
  <si>
    <t xml:space="preserve">  33 ACUEDUCTOS COMUNITARIOS URBANOS Y  61 ACUEDUCTOS RURALESINSPECCIONADOS</t>
  </si>
  <si>
    <t>No. De acueductos comunitarios urbanos y rurales con inspección</t>
  </si>
  <si>
    <t>94 acueductos comunitarios, 33  urbanos y 61 rurales</t>
  </si>
  <si>
    <t>Realizar  toma de muestras de agua para análisis de laboratorio al  100% de los  acueductos visitados.</t>
  </si>
  <si>
    <t>100% de muestras tomadas analisis</t>
  </si>
  <si>
    <t>COBERTURA MENSUAL  A 94 ACUEDUCTOS; 33 URBANOS Y 61 RURALES  CON SEGUIMIENTO AL MAPA DE RIESGO</t>
  </si>
  <si>
    <t>No. De acueductos comunitrios con toma de muestras con seguimiento al mapa de riesgo</t>
  </si>
  <si>
    <t>95 acueductos comunitarios, 33  urbanos y 61 rurales</t>
  </si>
  <si>
    <t>Cálculo del Índice de Calidad Sanitaria de Piscinas (ICSPS)</t>
  </si>
  <si>
    <t>COBERTURA AL 60% DE PISICINAS PUBLICAS Y PRIVADAS DEL MUNICIPIO DE IBAGUE</t>
  </si>
  <si>
    <t xml:space="preserve"> % de piscinas con muestras tomadas y analizadas</t>
  </si>
  <si>
    <t>Promoción, inspección y vigilancia en riesgos profesionales</t>
  </si>
  <si>
    <t>Mantener la tasa de mortalidad por  enfermedad profesional según línea de base nacional  11,5*100.000 hab /(fuente MPS)</t>
  </si>
  <si>
    <t>Tasa de mortalidad por enfermedad profesional * 100.000 hab</t>
  </si>
  <si>
    <t xml:space="preserve">11.5 </t>
  </si>
  <si>
    <t>TASA DE 11,5 X 100000 HAB</t>
  </si>
  <si>
    <t>3592 visitas de inspección y vigilancia</t>
  </si>
  <si>
    <t>16000 Kits de protección solar</t>
  </si>
  <si>
    <t>200 Profesionales de la salud capacitados en busqueda activa de enfermedades de origen laboral</t>
  </si>
  <si>
    <t>94% de trabajadores de la economía informal con IEC - promoción del cuidado de la salud</t>
  </si>
  <si>
    <t>Mantener la tasa de accidentes ocupacionales  según línea de base nacional  5.2 * 100.000 hab (fuente MPS)</t>
  </si>
  <si>
    <t>Tasa de accidentes ocupacionales * 100.000 hab</t>
  </si>
  <si>
    <t>5.2</t>
  </si>
  <si>
    <t>tasa de accidentes ocupacionales de 5,2 x 100 hb</t>
  </si>
  <si>
    <t>4 Actividades de promoción de la inclusión laboral del discapacitado</t>
  </si>
  <si>
    <t>SEGUIMIENTO A 12  PLANES de contingencia</t>
  </si>
  <si>
    <t>Inspección, vigilancia y control a establecimientos comerciales(Alimentos,Saneamiento basico)</t>
  </si>
  <si>
    <t>% DE SEGUIMIENTOS A NOTIFICACIONES DE OBLIGATORIO CUMPLIMIENTO</t>
  </si>
  <si>
    <t>SISTEMA DE VIGILANCIA, GESTION DEL CONOCIMIENTO y GESTION PARA EL DESARROLLO OPERATIVO Y FUNCIONAL DEL PLAN DE SALUD PÚBLICA.</t>
  </si>
  <si>
    <t xml:space="preserve"> caracterizar  el 100% de las UPGD.</t>
  </si>
  <si>
    <t>46 UPGD CARACTERIZADAS</t>
  </si>
  <si>
    <t>100%  anual de IPS vigiladas, seguimiento,  en el cumplimiento a la notificación obligatoria, BAI , etc. Eventos  de la patologias de interes en salud publica  (SIVIGILA)</t>
  </si>
  <si>
    <t>DIRECCION DE SALUD PUBLICA.</t>
  </si>
  <si>
    <t>Diseñar investigaciones  en temas de interés en salud pública (2).</t>
  </si>
  <si>
    <t>100% anual de   notificaciones con investigación de campo, unidad e analisis, COVE, Planes de mejoramiento/seguimiento) (SIVIGILA)</t>
  </si>
  <si>
    <t xml:space="preserve"> Plan   decenal elaborado.</t>
  </si>
  <si>
    <t>numero documento</t>
  </si>
  <si>
    <t>50 % de estudiantes en niveles satisfactorio y avanzado en Lenguaje  Saber Grado 5. (41)</t>
  </si>
  <si>
    <t>Estudiantes en niveles satisfactorio y avanzado en Lenguaje  Saber Grado 5. (41)</t>
  </si>
  <si>
    <t>45% de estudiantes en niveles satisfactorio y avanzado en Matemáticas Saber Grado 5 (41)</t>
  </si>
  <si>
    <t>Estudiantes en niveles satisfactorio y avanzado en Matemáticas Saber Grado 5 (41)</t>
  </si>
  <si>
    <t>45 % de estudiantes en niveles satisfactorio y avanzado en Ciencias Naturales Saber Grado 5(41)</t>
  </si>
  <si>
    <t>Estudiantes en niveles satisfactorio y avanzado en Ciencias Naturales Saber Grado 5(41)</t>
  </si>
  <si>
    <t>Docentes formados</t>
  </si>
  <si>
    <t>55% de estudiantes en niveles satisfactorio y avanzado en Lenguaje Saber Grado 9.(42)</t>
  </si>
  <si>
    <t>Estudiantes en niveles satisfactorio y avanzado en Lenguaje Saber Grado 9.(42)</t>
  </si>
  <si>
    <t>40% de estudiantes en niveles satisfactorio y avanzado en Matemáticas Saber Grado 9(42)</t>
  </si>
  <si>
    <t>Estudiantes en niveles satisfactorio y avanzado en Matemáticas Saber Grado 9(42)</t>
  </si>
  <si>
    <t>45% de estudiantes en niveles satisfactorio y avanzado en Ciencias Naturales Saber Grado 9(42)</t>
  </si>
  <si>
    <t>Operativos candado desarrollados</t>
  </si>
  <si>
    <t>Reducir en un 20% el Nº de casos absolutos de abuso sexual en niños, niñas y adolescentes en el municipio de Ibagué</t>
  </si>
  <si>
    <t>Nº  de casos denunciados</t>
  </si>
  <si>
    <t>Implementar  cultura ambiental por medio de  120 talleres de  manejo sustentable del recurso Hídrico,agricultura limpia,  cambio climatico, fauna, flora ,etc.</t>
  </si>
  <si>
    <t>600 km</t>
  </si>
  <si>
    <t>630 km</t>
  </si>
  <si>
    <t>660km</t>
  </si>
  <si>
    <t>Maquinas de bomberos adquiridas</t>
  </si>
  <si>
    <t>Realización de una campaña de sensibilización sobre la violencia intrafamiliar.</t>
  </si>
  <si>
    <t>i</t>
  </si>
  <si>
    <t>Disminuir en 20% el número de casos presentados por abuso sexual en niños, niñas, adolescentes y jóvenes.</t>
  </si>
  <si>
    <t>Disminuir en 20%  el número de adolescentes entre 14 y 17 años infractores de la Ley Penal vinculados a procesos judiciales.</t>
  </si>
  <si>
    <t>Adelantar estrategias que permitan disminuir el porcentaje de adolescentes entre 14 y 17 años privados de libertad procesados conforme a la ley.</t>
  </si>
  <si>
    <t>Celebración con la Gobernación del tolima un convenio de cooperación en materia de seguiridad.</t>
  </si>
  <si>
    <t>implementar  20 servicios sociales ambientaIes dentro de las instituciones educativas</t>
  </si>
  <si>
    <t>Nº de las instituciones educativas servicio 
social ambiental implementados</t>
  </si>
  <si>
    <t>Formar  a 160 jóvenes en tecnologías de la información y comunicación (tics)</t>
  </si>
  <si>
    <t>Realizar 4 cursos de medios</t>
  </si>
  <si>
    <t>No de cursos realizados</t>
  </si>
  <si>
    <t>Lograr  el 100% de niños y niñas menores de 1 año con registro civil.</t>
  </si>
  <si>
    <t>Lograr el 100% de niños y niñas menores de 7 años con registro civil.</t>
  </si>
  <si>
    <t>Lograr el 100% de niños, niñas y adolecentes entre 7 y 17 años con tarjeta de identidad.</t>
  </si>
  <si>
    <t>Disminuir el 10% el número de niños, niñas y adolescentes entre 5 y  17 años vinculados al trabajo laboral.</t>
  </si>
  <si>
    <t>TRECE  (13) ENTREGAS DE DOTACION  (ALGUNAS CONSIITENTES EN  VITAMINAS, OTRAS EN GAFAS, OTRAS EN PAÑALES, OTRAS EN PROTESIS, OTRAS EN AUDIFONOS, OTRAS EN  SUDADERAS Y OTRAS.)</t>
  </si>
  <si>
    <t>% de población víctima del conflicto asistida.</t>
  </si>
  <si>
    <t>ATENCIÓN AL 100 % EN AYUDAS HUMANITARIAS DE URGENCIA</t>
  </si>
  <si>
    <t>Creación un (1) comité de justicia transicional</t>
  </si>
  <si>
    <t>Creación del comité</t>
  </si>
  <si>
    <t>Construir un plan especial de forma participativa para las mujeres en situación de desplazamiento que contengan los 13 programas del auto 092 y los lineamientos del auto 237.</t>
  </si>
  <si>
    <t>N° MUJERES ATENDIDAS CON EL PLAN ESPECIAL.</t>
  </si>
  <si>
    <t>CUATRO (4) REUNIONES DE COMITÉ MUNICIPAL DE DERECHOS HUMANOS CON APOYO DE SECRETARIA DE GOBIERNO Y PERSONERIA MUNICIPAL</t>
  </si>
  <si>
    <t>Apoyar anualmente a 150 personas  con valoraciones y seguimientos psicológicos</t>
  </si>
  <si>
    <t>Realizar 24 talleres de manualidades</t>
  </si>
  <si>
    <t>No DE CAPACITACIONES</t>
  </si>
  <si>
    <t>Diseño y Ejecución de una (1) estrategia de sensibilización</t>
  </si>
  <si>
    <t>% de centros educativos vinculados al Sistema Nacional de Competencias Deportivas y Académicas</t>
  </si>
  <si>
    <t>©</t>
  </si>
  <si>
    <t>Beneficiar a 105.200 miembros de las comunas y corregimientos a través de programación deportiva y recreativa.</t>
  </si>
  <si>
    <t>beneficiar a 101.200 Habitantes de la zona Urbana y Rural a traves de actividades Fisicas ludicas, recreativas y deportivas "Muevete Ibague"</t>
  </si>
  <si>
    <t>N° de programas implementados/total de programas</t>
  </si>
  <si>
    <t>Creación y puesta en marcha de una (1)  alianza público - privada por la seguridad y la convivencia ciudadana en el tema de tecnología.</t>
  </si>
  <si>
    <t>N° de alianzas público privada / total de alianzas tecnologicas implementadas</t>
  </si>
  <si>
    <t>Brindar atención integral al 100% de los niños, niñas adolescentes y jóvenes en conflicto con la ley,  en el contexto de la implementación del  sistema de responsabilidad penal para adolescentes</t>
  </si>
  <si>
    <t>M</t>
  </si>
  <si>
    <t>Atención integral a poblaciones con NEE, NED y restablecimiento del derecho a la educación</t>
  </si>
  <si>
    <t>Discapacitados</t>
  </si>
  <si>
    <t>Discapacitados atendidos</t>
  </si>
  <si>
    <t>85% de Cobertura bruta Preescolar ODM - 2,1</t>
  </si>
  <si>
    <t>Tasa de Cobertura bruta Preescolar ODM - 2,1</t>
  </si>
  <si>
    <t>82,86%- 2011</t>
  </si>
  <si>
    <t>Indigenas</t>
  </si>
  <si>
    <t>Indígenas atendidos</t>
  </si>
  <si>
    <t>105% de Cobertura bruta Primaria ODM - 2,2</t>
  </si>
  <si>
    <t>Cobertura bruta Primaria ODM - 2,2</t>
  </si>
  <si>
    <t>98.91%- 2011</t>
  </si>
  <si>
    <t>En situación de desplazamiento</t>
  </si>
  <si>
    <t>Desplazados atendidos</t>
  </si>
  <si>
    <t>Subsistema de informaciónEventos relacionados con las cronicas no trasmisibles (programa y SIVIGILA)  , actualizado sistematicamente, depurado, consolidación, análisis, indicadores, divulgación.</t>
  </si>
  <si>
    <t>100% IPS con seguimiento adherencia a protocolos de atención de la resolución 412</t>
  </si>
  <si>
    <t>100% de los casos de leucemias pediátricas con seguimiento al cumplimirnto de indicadores</t>
  </si>
  <si>
    <t>100% de los clubes de hipertensos y diabéticos con seguimiento</t>
  </si>
  <si>
    <t>27 actividades de educacion en salud ejecutadas</t>
  </si>
  <si>
    <t>2400 mujeres en situación de desplazamiento capacitadas</t>
  </si>
  <si>
    <t>No.</t>
  </si>
  <si>
    <t>4 Busquedas activas de hipertensos y/o diabéticos realizadas</t>
  </si>
  <si>
    <t>Mantener la tasa de mortalidad  X  diabetes mellitus 18,43</t>
  </si>
  <si>
    <t xml:space="preserve">94%  anual  DE CUBRIMIENTO EN POBLACION  entre 10 y más años SENSIBILIZADA   A TRAVES E LA ESTRATEGIA IEC para un estilo de vida saludable.                                            </t>
  </si>
  <si>
    <t xml:space="preserve"> tasa de mortalidad X enfermedades isquemicas del corazón 94,05</t>
  </si>
  <si>
    <t xml:space="preserve"> 40 instituciones educativas con la  estrategia pedagógica
“Instituciones educativas libres de humo” implementada.
</t>
  </si>
  <si>
    <t xml:space="preserve">Tasa 39,35 anual </t>
  </si>
  <si>
    <t>332 actividades educativas de promoción de estilos de vida saludable</t>
  </si>
  <si>
    <t>INDICE COP PROMEDIO A LOS 12 AÑOS MENOR DE 2.3% ANUAL</t>
  </si>
  <si>
    <t>100%  anual de IPS vigiladas, seguimiento,  en el cumplimiento a la notificación obligatoria, BAI , etc. Eventos relacionados con la salud oral (Exposición al Fluor) (SIVIIGILA)</t>
  </si>
  <si>
    <t>100%  anual de IPS vigiladas y con seguimiento al cumplimiento  de las guias de atención en Salud Oral .</t>
  </si>
  <si>
    <t>100% anual de las IPS con el Subsistema de información programa Salud oral</t>
  </si>
  <si>
    <t>40000 menores de 18 años y mayopres de 18 años  con Estrategia IEC de salud oral</t>
  </si>
  <si>
    <t>LOGRAR QUE EL 60% DE LOS MAYORES DE 18 AÑOS MANTENGAN SUS DIENTES PERMANENNTES A TRAVES DE PROGRAMAS DE PREVENCION Y PROMOCION</t>
  </si>
  <si>
    <t>60% ANUAL DE PERMANENCIA  DE DIENTES EN  MAYORES DE 18 AÑOS</t>
  </si>
  <si>
    <t>4*100.000 hab.</t>
  </si>
  <si>
    <t>4* 100.000  anual</t>
  </si>
  <si>
    <t>100%  anual de IPS vigiladas, seguimiento,  en el cumplimiento a la notificación obligatoria, BAI , etc. Eventos relacionados con las SUICIDIO E INTENCIONAL SUICIDIO Y VIOLENCIAS</t>
  </si>
  <si>
    <t xml:space="preserve">100% anual de COVE, (SIVIGILA) </t>
  </si>
  <si>
    <t>Subsistema de información Eventos relacionados con los suicidio - intencional suicidio y violencias</t>
  </si>
  <si>
    <t>90% de seguimiento (  respuesta inmediata), a los intentos de suicidio notificados.</t>
  </si>
  <si>
    <t xml:space="preserve">4 IPS con  modelo  "VIVO"  implementado.
</t>
  </si>
  <si>
    <t>240  PERSONAS CAPACITADAS EN PRIMEROS AUXILIOS EMOCIONALES</t>
  </si>
  <si>
    <t xml:space="preserve"> N° </t>
  </si>
  <si>
    <t>30 PERSONAS CAPACITADAS EN ATENCION DE LA CONDUCTA SUICIDA</t>
  </si>
  <si>
    <t>33*100.000 hab.</t>
  </si>
  <si>
    <t xml:space="preserve">33.04 * 100.000 hab anual </t>
  </si>
  <si>
    <t>480  NUMERO DE GRUPOS INTERVENIDOS</t>
  </si>
  <si>
    <t>1264 DOCENTES CAPACITADOS</t>
  </si>
  <si>
    <t xml:space="preserve">No. </t>
  </si>
  <si>
    <t>600 MUJERES EN SITUACION DE DESPLAZAMENTO CAPACITADAS</t>
  </si>
  <si>
    <t xml:space="preserve"> 1 PLAN MUNICIPAL DE REDUCCION DEL CONSUMO DE SUSTANCIAS PSICOATIVAS Y SU IMPACTO EN EL INDIVIDUO, LA FAMILIA Y LA SOCIEDAD ACTUALIZADO</t>
  </si>
  <si>
    <t>100%  anual de IPS vigiladas, seguimiento  en el cumplimiento  de los protocolos de atención de la resolución 412,  100% visitas de campo de   violencias asignadas según criterio de riesgo. Seguimiento a la referencia y contrareferencia, Vigilancia adherencia al protocolo de vigilancia</t>
  </si>
  <si>
    <t>4 Estrategias de mitigación de daños y riesgos asociados al consumo de SPA implementadas</t>
  </si>
  <si>
    <t xml:space="preserve">Levantamiento linea de base    -  situación de morbilidad de enfermedades  mentales.  </t>
  </si>
  <si>
    <t>Linea creada y en funcionamiento</t>
  </si>
  <si>
    <t>UNA LINEA AMIGA de orientación  implementada</t>
  </si>
  <si>
    <t>N</t>
  </si>
  <si>
    <t>Promover la Conformación y fortalecimiento de una organización social de trabajadores del reciclaje</t>
  </si>
  <si>
    <t>Organizacion conformada</t>
  </si>
  <si>
    <t>Realizar la caracterizacion y sensibilizacion de actores para la conformacion de organización social</t>
  </si>
  <si>
    <t>Estudio de caracterizacion realizado</t>
  </si>
  <si>
    <t>Realizar el acompañamiento para el proceso organizativo y de fortalecimiento social a los trabajadores del reciclaje</t>
  </si>
  <si>
    <t>Organización conformada</t>
  </si>
  <si>
    <t>48 Seguimientos a los operadores prestadores del servicio</t>
  </si>
  <si>
    <t>Informes de seguimiento realizados a los operadores</t>
  </si>
  <si>
    <t xml:space="preserve">Reallizar 48 labores de seguimiento a lo establecido en el PGIR respecto a la efectiva labor de los operadores que prestan el servicio. </t>
  </si>
  <si>
    <t>No. De Seguimientos realizados</t>
  </si>
  <si>
    <t>48 Seguimientos al Parque Industrial de Residuos Sólidos  “PIRS” la Miel.</t>
  </si>
  <si>
    <t>Nº. De Seguimientos realizados</t>
  </si>
  <si>
    <t>Realizar 48 seguimientos al "PIRS" la Miel</t>
  </si>
  <si>
    <t>No. De seguimientos realizados</t>
  </si>
  <si>
    <t>Garantizar la  cobertura del 100  % en el casco urbano y 10%  en el area rural de la prestación del servicio de recolección de residuos solidos</t>
  </si>
  <si>
    <t>Porcentaje de cobertura</t>
  </si>
  <si>
    <t>Cobertura del 100% casco urbano y 10% area rural</t>
  </si>
  <si>
    <t>100%ur y 10 %rural</t>
  </si>
  <si>
    <t>Aprovechamiento y optimizacion del uso del suelo con 5 unidades de negocio</t>
  </si>
  <si>
    <t>No. De unidades de negocio</t>
  </si>
  <si>
    <t>Laboratorios microempresariales</t>
  </si>
  <si>
    <t>Capacitar a 300 personas  de la poblacion registrada en el programa de laboratorios microempresariales en emprendimiento y gestion empresarial.</t>
  </si>
  <si>
    <t>crear un (1) comité de justicia transicional</t>
  </si>
  <si>
    <t>creación del comité</t>
  </si>
  <si>
    <t>16 SESIONES</t>
  </si>
  <si>
    <t xml:space="preserve">N° DE SESIONES </t>
  </si>
  <si>
    <t>Apoyar una (1) iniciativa de memoria histórica (museos de la memoria, centros de memoria locales, actos conmemorativos a favor de las víctimas).</t>
  </si>
  <si>
    <t>N° DE INICIATIVAS APOYADAS.</t>
  </si>
  <si>
    <t>20 parques infantiles construidos</t>
  </si>
  <si>
    <t>100 predios legalizados</t>
  </si>
  <si>
    <t>2000 miembros de la Cominidad Educativa formados</t>
  </si>
  <si>
    <t>3000 miembros de la Comunidad educatica formados en derechos Humanos</t>
  </si>
  <si>
    <t>1 investigación realizada en acoso escolar</t>
  </si>
  <si>
    <t>100 muebles adquiridos de diferentes tipos</t>
  </si>
  <si>
    <t>37 computadores  adquiridos</t>
  </si>
  <si>
    <t>4 procesos certificados o recertificados</t>
  </si>
  <si>
    <t>60 funcionarios capacitados</t>
  </si>
  <si>
    <t>4 asistencias técnicas en procesos contratadas</t>
  </si>
  <si>
    <t>1 mantenimiento de la página web</t>
  </si>
  <si>
    <t>2220 formados en Tics</t>
  </si>
  <si>
    <t>2 redes de aprendijades en Tics creadas</t>
  </si>
  <si>
    <t>61 proyectos de aula creados</t>
  </si>
  <si>
    <t>5 programas educativos aplicados</t>
  </si>
  <si>
    <t>Sedes Educativas con conectividad</t>
  </si>
  <si>
    <t>200 sedes con conectividad</t>
  </si>
  <si>
    <t>Adquisición de 2000 equipos de cómputo</t>
  </si>
  <si>
    <t>2000  equipos adquiridos</t>
  </si>
  <si>
    <t>61 Instituciones educativas con soporte lógico</t>
  </si>
  <si>
    <t xml:space="preserve">1 inventario de infraestructura realizado </t>
  </si>
  <si>
    <t>2500 docentes formados en tecnología</t>
  </si>
  <si>
    <t>30 aualas interactivas creadas</t>
  </si>
  <si>
    <t>2000 licencias adquiridas</t>
  </si>
  <si>
    <t>No de centros de capacitacion virtual implementados/No de centros poryectados</t>
  </si>
  <si>
    <t>24,000,000</t>
  </si>
  <si>
    <t>22,475,000</t>
  </si>
  <si>
    <t>Incrementar un  30%  el uso de visitas al portal de los ciudadanos</t>
  </si>
  <si>
    <t>% de visitas incrementadas</t>
  </si>
  <si>
    <t>398.964 visitas</t>
  </si>
  <si>
    <t>aumento en un  30 % las  visitas  al portal  de la alcaldia municipal</t>
  </si>
  <si>
    <t>No. De visitas  incrementadas</t>
  </si>
  <si>
    <t>30,000,000</t>
  </si>
  <si>
    <t>Disminución del 20% de uso de papel para el envío de documentos de apoyo informativo.</t>
  </si>
  <si>
    <t>Consumo de papel de la admón. año actual / consumo de papel de la admón. año anterior*100</t>
  </si>
  <si>
    <t>Establecer una política para disminución en el uso de papel</t>
  </si>
  <si>
    <t>Política ejecutada/politica esperada</t>
  </si>
  <si>
    <t>Ampliación de la banda ancha de 4 a 10 megas</t>
  </si>
  <si>
    <t>Megas ampliadas de banda ancha</t>
  </si>
  <si>
    <t xml:space="preserve">Ampliación del ancho de banda para datos e internet de la administración Municipal. </t>
  </si>
  <si>
    <t xml:space="preserve">Contrato de ampliación de ancho de banda. </t>
  </si>
  <si>
    <t>690,453,989</t>
  </si>
  <si>
    <t>169,638,864</t>
  </si>
  <si>
    <t>171,606,675</t>
  </si>
  <si>
    <t>173,597,350</t>
  </si>
  <si>
    <t>175,611,100</t>
  </si>
  <si>
    <t>Renovación de equipo computacional y ups en 200 equipos</t>
  </si>
  <si>
    <t>número de equipos adquiridos/número de equipos proyectados</t>
  </si>
  <si>
    <t>Renovacion,,mantenimiento, dotacion de parque computacional hardware, software ,ups en 200 equipos</t>
  </si>
  <si>
    <t>Parque computacional renovado.</t>
  </si>
  <si>
    <t>1603,814,771</t>
  </si>
  <si>
    <t>Aumentar en un 50 %  los equipos de conexión inalámbrica</t>
  </si>
  <si>
    <t>Nº equipos de conexión  inalámbrica adquiridos/Nº equipos de conexión inalámbrica existentes  * 100</t>
  </si>
  <si>
    <t>Adquisión de equipos que permitan mejorar la conectividad a redes inalambricas de la administración</t>
  </si>
  <si>
    <t>Nº. De equipos adquiridos</t>
  </si>
  <si>
    <t>7</t>
  </si>
  <si>
    <t>3,388,440</t>
  </si>
  <si>
    <t>elaboración y ejecucion de un proyecto para las contingencias  yminimizar los riesgos que puede afectar la plataforma tecnologica de la administración</t>
  </si>
  <si>
    <t xml:space="preserve">Proyecto formulado/ plan programado*100 </t>
  </si>
  <si>
    <t>150,000,000</t>
  </si>
  <si>
    <t>Desarrollar 4 aplicaciones de software específico para la administración municipal</t>
  </si>
  <si>
    <t>Nº de software desarrollados / Nº de software programados</t>
  </si>
  <si>
    <t>elaboracion de 4 aplicaciones de software</t>
  </si>
  <si>
    <t>No de aplicaciones desarrolladas</t>
  </si>
  <si>
    <t>“Ibagué Digital” 5 Bibliotecas Públicas corregimentales</t>
  </si>
  <si>
    <t>Nº de Bibliotecas Públicas corregimentales incluidas</t>
  </si>
  <si>
    <t xml:space="preserve"> 5 Bibliotecas publicas corregimentales con conectividad</t>
  </si>
  <si>
    <t>No de bibliotecas publicas corregimentales  con conectividad</t>
  </si>
  <si>
    <t>12,000,000</t>
  </si>
  <si>
    <t>4,000,000</t>
  </si>
  <si>
    <t>MI COMUNA,  MI CORREGIMIENTO, NUESTRO PLAN</t>
  </si>
  <si>
    <t>Conformación de 13 Consejos Comunales de Planeación</t>
  </si>
  <si>
    <t>N° de Consejos Comunales conformados</t>
  </si>
  <si>
    <t>6 ( Comuna: 1, 2, 4, 5, 7, 9)</t>
  </si>
  <si>
    <t>Elaborar y fortalecer 13 Planes de Desarrollo por comuna y 17 por corregimiento.</t>
  </si>
  <si>
    <t>Nº de planes formulados</t>
  </si>
  <si>
    <t xml:space="preserve">8 Planes de Desarrollo Comunales.
(Comuna 4, 5, 6, 7, 8, 9, 12 y 13)
</t>
  </si>
  <si>
    <t>apoyar en la formulacion de 30 planes de desarrollo por comunas y corregimientos</t>
  </si>
  <si>
    <t>Planes de desarrollo por comunas y corregimientos elaborados</t>
  </si>
  <si>
    <t>conformar 17 consejos corregimentales</t>
  </si>
  <si>
    <t>Consejos corregimentales conformados</t>
  </si>
  <si>
    <t>Realizar 1 rendición de cuentas a la ciudadanía por año.</t>
  </si>
  <si>
    <t>Nº. De rendición de cuentas realizadas/programadas</t>
  </si>
  <si>
    <t>N.D</t>
  </si>
  <si>
    <t>Renovacion, dotacion de parque computacional hardware, software, UPS en 200 equipos</t>
  </si>
  <si>
    <t>Nº de equipos adquiridos</t>
  </si>
  <si>
    <t>Realizar el 100% mantenimiento del parque computacional  hardware, software, y pago de arrendamiento software</t>
  </si>
  <si>
    <t>% de mantenimiento y pagos de arendamientos realizados</t>
  </si>
  <si>
    <t>Manejo integral a  400 Ha de zonas  de interes ambiental  mediante la implementación de un programa de pago por servicios ambientales</t>
  </si>
  <si>
    <t>No, de  ha con manejo integral en el programa de pago por servicios ambientales</t>
  </si>
  <si>
    <t>compra de 400 HA  en zonas de interés ambiental</t>
  </si>
  <si>
    <t>No. De HA</t>
  </si>
  <si>
    <t>Mantenimiento de 400 HA</t>
  </si>
  <si>
    <t xml:space="preserve">No. De HA con mantenimiento </t>
  </si>
  <si>
    <t>Formulacion de 5 planes de manejo integral de predios adquiridos</t>
  </si>
  <si>
    <t>No. De planes formulados</t>
  </si>
  <si>
    <t>Formulacion e Implementacion de 5 proyectos pilotos de restauracion ecologica en predios adquiridos</t>
  </si>
  <si>
    <t>Proyectos pilotos implementados</t>
  </si>
  <si>
    <t>Vigilancia y control de los predios  adquiridas por el muncipio</t>
  </si>
  <si>
    <t>No de HA en vigilancia y control</t>
  </si>
  <si>
    <t>Formular el Plan decenal  Agroforestal  y del Medio Ambiente</t>
  </si>
  <si>
    <t xml:space="preserve">Plan formulado </t>
  </si>
  <si>
    <t>Un Plan formulado</t>
  </si>
  <si>
    <t>Plan formulado</t>
  </si>
  <si>
    <t xml:space="preserve">90.000 personas beneficiadas con el programa de comunicación y educacion ambiental para la zona urbana y rural </t>
  </si>
  <si>
    <t>Nº de personas capacitadas  en temas ambientales</t>
  </si>
  <si>
    <t>No. Talleres realizados</t>
  </si>
  <si>
    <t>Formular y ejecutar  5 proyectos con el fin de Promover la Investigacion e Innovación tecnológica en la  conservación ambiental  mediante la formulación de 5 proyectos</t>
  </si>
  <si>
    <t>No. De proyectos de Investigacion e Innovacion Tecnologica formulados y ejecutados</t>
  </si>
  <si>
    <t>Formular 5 proyectos de Investigacion e Innovacion Tecnologica para la conservacion ambiental</t>
  </si>
  <si>
    <t>No, de Proyectos formulados</t>
  </si>
  <si>
    <t xml:space="preserve">Implementación II fase del Observatorio Ambiental Municipal         </t>
  </si>
  <si>
    <t>Fase implementada</t>
  </si>
  <si>
    <t>Recuperacion del 50% (6000 m2)  del espacio publico ocupado ilegalmente en sitios criticos del area urbana</t>
  </si>
  <si>
    <t>Realización de 300 operativos de control de uso de espacio público en el Municipio.</t>
  </si>
  <si>
    <t>Opetativos realizados</t>
  </si>
  <si>
    <t>Fortalecer la Dirección de Espacio Público</t>
  </si>
  <si>
    <t>Dirección Fortalecida</t>
  </si>
  <si>
    <t>Realizar 300 operativos de Control Urbano</t>
  </si>
  <si>
    <t>Operativo realizados</t>
  </si>
  <si>
    <t>Realización de 8 campañas de promoción del cuido y protección del espacio público</t>
  </si>
  <si>
    <t>Campañas realizadas</t>
  </si>
  <si>
    <t>Desarrollo de un proceso para adquisición de equipos para la realización del control del espacio público y control urbano</t>
  </si>
  <si>
    <t>Procesos desarrollados</t>
  </si>
  <si>
    <t>Nº de parques infantiles mejorados</t>
  </si>
  <si>
    <t>No. De parques infantiles mejorados</t>
  </si>
  <si>
    <t>Construir e instalar 600 figuras navideñas</t>
  </si>
  <si>
    <t>No. Figuras navideñas  construidas e instaladas</t>
  </si>
  <si>
    <t>Restaurar 300 figuras navideñas</t>
  </si>
  <si>
    <t>No. Figuras navideñas  restauradas</t>
  </si>
  <si>
    <t>Comercializar el alumbrado navideño en 3 municipios al año</t>
  </si>
  <si>
    <t>No. Municipios  atendidos</t>
  </si>
  <si>
    <t xml:space="preserve"> Siembra de 7,000 especies ornamentales (ocobos, gualandayes y otros)  para el embellecimiento de zonas verdes, como separadores, triangulos y parques</t>
  </si>
  <si>
    <t>Nº de especies ornamentales sembradas</t>
  </si>
  <si>
    <t xml:space="preserve">Siembra de 7000 especies ornamentales </t>
  </si>
  <si>
    <t>Realizar 15,850 actividades de mantenimiento de zonas verdes</t>
  </si>
  <si>
    <t>Actividades realizadas</t>
  </si>
  <si>
    <t>Realizar 7.500 Rocerias</t>
  </si>
  <si>
    <t>Nº de Rocerias realizadas</t>
  </si>
  <si>
    <t>Realizar 5.800 Podas</t>
  </si>
  <si>
    <t>Nº de Podas realizadas</t>
  </si>
  <si>
    <t>Realizar 2.550 Talas</t>
  </si>
  <si>
    <t>Nº de Talas realizadas</t>
  </si>
  <si>
    <t>Diseño, adopcion e implementacion del plan maestro de espacio publico y control urbano de ibague</t>
  </si>
  <si>
    <t>Plan adoptado</t>
  </si>
  <si>
    <t>Formulacion e Implementacion de la politica publica del medio ambiente para la ciudad de Ibague con amplio enfasis en recurso hidrico</t>
  </si>
  <si>
    <t>Politica formulada e implementada</t>
  </si>
  <si>
    <t>Reforestacion con la siembra de 400.000 plantulas</t>
  </si>
  <si>
    <t>Nº de plantulas sembradas</t>
  </si>
  <si>
    <t xml:space="preserve">Revisión y ajuste del POT vigente, adoptado mediante Acuerdo 0116 de 2000 </t>
  </si>
  <si>
    <t>Acto Administrativo</t>
  </si>
  <si>
    <t>Expediente actualizado</t>
  </si>
  <si>
    <t>Documento Actualizado</t>
  </si>
  <si>
    <t>Realizar la socializacion del POT en un número equivalente a 60 talleres, con la comunidad e instancias de aprobación</t>
  </si>
  <si>
    <t>ALCANZAR UNA COBERTURA DEL 100% DE LA AFILIACION AL REGIMEN SUBSIDIADEN EL 2015</t>
  </si>
  <si>
    <t>NUMERO DE AFILIADOS AL REGIMEN SUBSIDIADO(FUENTE MINISTERIO DE LA PROTECION SOCIAL)</t>
  </si>
  <si>
    <t>ALCANZAR EL 100% ANUAL DE CUBRIMIENTO DE POBLACION INFORMADA / SENSIBILIZADA</t>
  </si>
  <si>
    <t>Porcentaje</t>
  </si>
  <si>
    <t>Dirección de Aseguramiento</t>
  </si>
  <si>
    <t>ALCANZAR  EL 100%  ANUAL DE AFILIACIONES DE ELEGIBLES DE LA POBLACION SISBEN Y LISTADO CENSAL</t>
  </si>
  <si>
    <t>ALCANZAR 40213 EN EL CUATRENIO 2012 AL2015 DE AFILIACIONES AL REGIMEN SUBSIDIADO CON  COMPROMISO PRESUPUESTAL MEDIANTE INSTRUMENTO JURIDICO</t>
  </si>
  <si>
    <t>N°</t>
  </si>
  <si>
    <t xml:space="preserve"> ALCANZAR EL 100% ANUAL EN ACCIONES DE CONTROL Y VIGILANCIA A LOS PROCESOS DEL REGIMEN SUBSIDIADO </t>
  </si>
  <si>
    <t>PRESTACION DE SERVICIOS</t>
  </si>
  <si>
    <t xml:space="preserve">REALIZACION DE JORNADAS SOCIALES DE SALUD ORIENTADAS AL MEJORAMIENTO DE  LA CALIDAD EN PRESTACION DE SEVICIOS A LA  POBLACION VULNERABLE </t>
  </si>
  <si>
    <t xml:space="preserve">NUMERO DE JORNADAS </t>
  </si>
  <si>
    <t xml:space="preserve">20 VISITAS ANUALES  DE VIGILANCIA Y  CONTROL  A LAS IPS LA PRESTACION DEL SERVICIO  DE URGENCIAS DE LA PLATAFORMA DE REFERENCIA Y CONTRAREFERENCIA </t>
  </si>
  <si>
    <t xml:space="preserve">12 VISITAS ANUALES DE VIGILANCIA Y CONTROL RELACIONADA CON LA CALIDAD EN LA PRESTACIÓN DE LOS SERVICIOS DE SALUD DE LA RED DE URGENCIAS Y A LOS SERVICIOS DE PRIMER NIVEL  DE  I.P.S PUBLICAS Y PRIVADAS DEL MUNICIPIO DE IBAGUE </t>
  </si>
  <si>
    <t>NUMERO</t>
  </si>
  <si>
    <t xml:space="preserve">Establecer 250 agentes comunitarios en salud                            </t>
  </si>
  <si>
    <t>10 muertes por cada 1000 menores de 5 años</t>
  </si>
  <si>
    <t>9 muertes por cada 1000 menores de 5 años</t>
  </si>
  <si>
    <t>8 muertes por cada 1000 menores de 5 años</t>
  </si>
  <si>
    <t>7muertes por cada 1000 menores de 5 años</t>
  </si>
  <si>
    <t xml:space="preserve">40  Instituciones educativas focalizadas Capacitadas en AIEPI (INMUNOPREVENIBLES)           </t>
  </si>
  <si>
    <t>97% PAI 2011</t>
  </si>
  <si>
    <t xml:space="preserve">95% anual </t>
  </si>
  <si>
    <t>86% PAI 2011</t>
  </si>
  <si>
    <t xml:space="preserve"> 100% de las jornadas anuales de vacunación desarrolladas contra el Polio en niños, niñas menores de un año </t>
  </si>
  <si>
    <t xml:space="preserve"> 100% de las jornadas anuales de vacunación desarrolladas contra  DPT, (Difteria, tétanos, Tosferina) en niños, niñas menores de un año </t>
  </si>
  <si>
    <t>7 jornadas de intensificación en vacunación implementadas con las tres dosis de hepatitis B en niños y niñas enores de un año</t>
  </si>
  <si>
    <t>82% PAI 2011</t>
  </si>
  <si>
    <t>7 jornadas de intensificación en vacunación implementadas con las des dosis de  Rotavirus en niños y niñas menores de un año</t>
  </si>
  <si>
    <t>48% PAI 2011</t>
  </si>
  <si>
    <t>12 evaluaciones de cobertura en vacunación  de  inmunización con influenza en niños y niñas menores de un año en el municipio</t>
  </si>
  <si>
    <t>58% PAI 2011</t>
  </si>
  <si>
    <t>12 evaluaciones de cobertura en vacunación  de  inmunización con las tres dosis  de Neumococo  en niños y niñas menores de un año en el municipio</t>
  </si>
  <si>
    <t>92% PAI 2011</t>
  </si>
  <si>
    <t>12 evaluaciones de cobertura   de  inmunización con triple Viral en niños y niñas menores de un año en el municipio</t>
  </si>
  <si>
    <t>38 x 100,000 n.v</t>
  </si>
  <si>
    <t xml:space="preserve">60 % anual de la poblacion sensibilizada  con IEC hacia una maternidad segura </t>
  </si>
  <si>
    <t xml:space="preserve"> 4 estudios de investigacion en factores relacionados con la salud sexual y reproductiva.</t>
  </si>
  <si>
    <t>100%  anual de IPS vigiladas, seguimiento,  en el cumplimiento a la notificación obligatoria, BAI , etc. Eventos relacionados con la SSR (Mortalidad materna, morbilidad materna extrema, Sífilis Gestacional, Hepatitis B, VIH/SIDA)  (SIVIGILA)</t>
  </si>
  <si>
    <t>100% anual de Muertes maternas, Morbilidad materna extrema  notificadas con investigación de campo, unidad e analisis, COVE, Planes de mejoramiento/seguimiento) (SIVIGILA)</t>
  </si>
  <si>
    <t>Subsistema de información SSR (programa y SIVIGILA)  , actualizado sistematicamente, depurado, consolidación, análisis, indicadores, divulgación.</t>
  </si>
  <si>
    <t>92% anual</t>
  </si>
  <si>
    <t>100%  anual de IPS vigiladas y con seguimiento al cumplimiento  de las guias de atención prenatal</t>
  </si>
  <si>
    <t>Cobertura</t>
  </si>
  <si>
    <t>Porcentaje de atención institucional de parto promedio 2005-2009</t>
  </si>
  <si>
    <t>100%  anual de IPS vigiladas y con seguimiento al cumplimiento  de las guias de atención al parto.</t>
  </si>
  <si>
    <t>No existe</t>
  </si>
  <si>
    <t>100%  anual de IPS vigiladas y con seguimiento al cumplimiento  de las guias de nutrición, educación y micronutrientes a la gestante</t>
  </si>
  <si>
    <t xml:space="preserve">100% anual de las IPS en el Subsistema de información con inclusión de variable y registro sistemático.  </t>
  </si>
  <si>
    <t>Levantamiento linea de base</t>
  </si>
  <si>
    <t xml:space="preserve">98,94% anual </t>
  </si>
  <si>
    <t xml:space="preserve">100%  anual  de la poblacion gestante programada sensibilizada  con IEC hacia el parto seguro.                                                         </t>
  </si>
  <si>
    <t>60 eventos anuales de capacitación para el fortalecimiento de las redes de apoyo  comunitario (Parteras, lideres , etc)</t>
  </si>
  <si>
    <t>75% anual</t>
  </si>
  <si>
    <t>100% de vigilancia y seguimiento a las guia de planificación a IPS/EPS</t>
  </si>
  <si>
    <t>11,18 x100,000 mujeres</t>
  </si>
  <si>
    <t xml:space="preserve">12% anual </t>
  </si>
  <si>
    <t xml:space="preserve">100% DE CUBRIMIENTO EN POBLACION entre14 a 49 SENSIBILIZADA   CON DIFERENTES ESTRATEGIAS DE IEC para promoción de toma de citología cervico uterina                                                                                    </t>
  </si>
  <si>
    <t xml:space="preserve"> 100%  EN LA VIGILANCIA   DE LAS IPS QUE TOMAN CITOLOGIA.                                                                                             </t>
  </si>
  <si>
    <t xml:space="preserve">1% anual </t>
  </si>
  <si>
    <t xml:space="preserve">94% DE CUBRIMIENTO EN POBLACION  entre 10 y más años SENSIBILIZADA   A TRAVES E LA ESTRATEGIA IEC para la prevención de VIH/SIDA                                                          </t>
  </si>
  <si>
    <t xml:space="preserve">100% anual de las EPS/EPSs en el Subsistema de información con inclusión de variable y registro sistemático.  </t>
  </si>
  <si>
    <t>100% de vigilancia y seguimiento a las guia de atenciòn en control prenatal con relacion a la toma de la prueba diagnostico de  VIH.</t>
  </si>
  <si>
    <t xml:space="preserve">promedio 2005-2011 </t>
  </si>
  <si>
    <t xml:space="preserve">2%  anual </t>
  </si>
  <si>
    <t>80%  anual de gestantes captadas durante el  primer trimestre de gestación   al control prenatal.</t>
  </si>
  <si>
    <t xml:space="preserve"> 100%  anual de  seguimiento a las gestantes captadas para   tratamiento en VIH +</t>
  </si>
  <si>
    <t>no sera superior al 15% anual</t>
  </si>
  <si>
    <t>No usuarios-turistas atendidos / No. De usuarios -turistas totales</t>
  </si>
  <si>
    <t>MEJORAMIENTO DE DOS INFRAESTRUCTURAS TURISTICA DE LA CIUDAD DE IBAGUE</t>
  </si>
  <si>
    <t xml:space="preserve"> No.atractivos mejoradoS</t>
  </si>
  <si>
    <t>Diseño de 4 campañaS de medios para la promoción de Ibague como destino Turistico</t>
  </si>
  <si>
    <t>Nº DE CAMPAÑAS REALIZADAS</t>
  </si>
  <si>
    <t>21.000 turistas beneficiados CON LA PROMOCION DE ACTIVIDADES TURISTICAS DE LA CIUDAD</t>
  </si>
  <si>
    <t>Nº DE TURISTAS BENEFICIADOS</t>
  </si>
  <si>
    <t>Elaboración de un  estudio para determinar la línea base de los prestadores de turismos en Ibagué</t>
  </si>
  <si>
    <t xml:space="preserve">Estudio realizado </t>
  </si>
  <si>
    <t>Formular el proyecto de la Zona Franca "Ciudad de la salud, la ciencia y la vida"</t>
  </si>
  <si>
    <t>No. De Proyectos formulados</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</si>
</sst>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_ * #,##0_ ;_ * \-#,##0_ ;_ * &quot;-&quot;??_ ;_ @_ "/>
    <numFmt numFmtId="195" formatCode="_(* #,##0_);_(* \(#,##0\);_(* &quot;-&quot;??_);_(@_)"/>
    <numFmt numFmtId="196" formatCode="0.0%"/>
    <numFmt numFmtId="197" formatCode="#,##0.0"/>
    <numFmt numFmtId="198" formatCode="0.0"/>
    <numFmt numFmtId="199" formatCode="#,##0;[Red]#,##0"/>
    <numFmt numFmtId="200" formatCode="0;[Red]0"/>
    <numFmt numFmtId="201" formatCode="0.000"/>
    <numFmt numFmtId="202" formatCode="&quot;$&quot;\ #,##0.00"/>
    <numFmt numFmtId="203" formatCode="0.000%"/>
  </numFmts>
  <fonts count="79">
    <font>
      <sz val="12"/>
      <color theme="1"/>
      <name val="Calibri"/>
      <family val="2"/>
    </font>
    <font>
      <sz val="11"/>
      <color indexed="8"/>
      <name val="Calibri"/>
      <family val="2"/>
    </font>
    <font>
      <b/>
      <sz val="26"/>
      <name val="Arial"/>
      <family val="2"/>
    </font>
    <font>
      <b/>
      <sz val="14"/>
      <name val="Arial"/>
      <family val="2"/>
    </font>
    <font>
      <b/>
      <sz val="12"/>
      <name val="Arial"/>
      <family val="2"/>
    </font>
    <font>
      <sz val="10"/>
      <name val="Arial"/>
      <family val="0"/>
    </font>
    <font>
      <sz val="18"/>
      <name val="Arial"/>
      <family val="0"/>
    </font>
    <font>
      <sz val="20"/>
      <name val="Tahoma"/>
      <family val="2"/>
    </font>
    <font>
      <sz val="16"/>
      <name val="Arial"/>
      <family val="0"/>
    </font>
    <font>
      <b/>
      <sz val="22"/>
      <name val="Arial"/>
      <family val="0"/>
    </font>
    <font>
      <b/>
      <sz val="24"/>
      <name val="Arial"/>
      <family val="0"/>
    </font>
    <font>
      <b/>
      <sz val="20"/>
      <name val="Tahoma"/>
      <family val="0"/>
    </font>
    <font>
      <b/>
      <sz val="16"/>
      <name val="Tahoma"/>
      <family val="0"/>
    </font>
    <font>
      <sz val="12"/>
      <color indexed="8"/>
      <name val="Calibri"/>
      <family val="2"/>
    </font>
    <font>
      <sz val="8"/>
      <name val="Calibri"/>
      <family val="2"/>
    </font>
    <font>
      <u val="single"/>
      <sz val="12"/>
      <color indexed="36"/>
      <name val="Calibri"/>
      <family val="2"/>
    </font>
    <font>
      <u val="single"/>
      <sz val="18"/>
      <color indexed="12"/>
      <name val="Calibri"/>
      <family val="2"/>
    </font>
    <font>
      <sz val="12"/>
      <name val="Arial"/>
      <family val="2"/>
    </font>
    <font>
      <b/>
      <sz val="10"/>
      <name val="Arial"/>
      <family val="2"/>
    </font>
    <font>
      <sz val="10"/>
      <color indexed="12"/>
      <name val="Arial"/>
      <family val="2"/>
    </font>
    <font>
      <sz val="10"/>
      <color indexed="8"/>
      <name val="Arial"/>
      <family val="0"/>
    </font>
    <font>
      <sz val="10"/>
      <color indexed="30"/>
      <name val="Arial"/>
      <family val="2"/>
    </font>
    <font>
      <b/>
      <sz val="9"/>
      <name val="Tahoma"/>
      <family val="0"/>
    </font>
    <font>
      <sz val="9"/>
      <name val="Tahoma"/>
      <family val="0"/>
    </font>
    <font>
      <sz val="10"/>
      <color indexed="10"/>
      <name val="Arial"/>
      <family val="0"/>
    </font>
    <font>
      <sz val="11"/>
      <name val="Arial"/>
      <family val="0"/>
    </font>
    <font>
      <b/>
      <sz val="8"/>
      <name val="Tahoma"/>
      <family val="2"/>
    </font>
    <font>
      <sz val="8"/>
      <name val="Tahoma"/>
      <family val="2"/>
    </font>
    <font>
      <sz val="8"/>
      <color indexed="10"/>
      <name val="Arial"/>
      <family val="2"/>
    </font>
    <font>
      <sz val="9"/>
      <name val="Arial"/>
      <family val="2"/>
    </font>
    <font>
      <b/>
      <sz val="9"/>
      <name val="Arial"/>
      <family val="2"/>
    </font>
    <font>
      <b/>
      <sz val="11"/>
      <name val="Arial"/>
      <family val="2"/>
    </font>
    <font>
      <sz val="11"/>
      <color indexed="8"/>
      <name val="Arial"/>
      <family val="2"/>
    </font>
    <font>
      <sz val="10"/>
      <color indexed="8"/>
      <name val="Calibri"/>
      <family val="2"/>
    </font>
    <font>
      <b/>
      <sz val="10"/>
      <color indexed="8"/>
      <name val="Arial"/>
      <family val="0"/>
    </font>
    <font>
      <sz val="14"/>
      <name val="Arial"/>
      <family val="0"/>
    </font>
    <font>
      <sz val="12"/>
      <color indexed="8"/>
      <name val="Arial"/>
      <family val="0"/>
    </font>
    <font>
      <sz val="12"/>
      <name val="Calibri"/>
      <family val="0"/>
    </font>
    <font>
      <sz val="10"/>
      <color indexed="9"/>
      <name val="Arial"/>
      <family val="0"/>
    </font>
    <font>
      <sz val="10"/>
      <color indexed="9"/>
      <name val="Calibri"/>
      <family val="0"/>
    </font>
    <font>
      <b/>
      <sz val="12"/>
      <color indexed="8"/>
      <name val="Arial"/>
      <family val="0"/>
    </font>
    <font>
      <b/>
      <sz val="14"/>
      <color indexed="8"/>
      <name val="Arial"/>
      <family val="0"/>
    </font>
    <font>
      <sz val="14"/>
      <color indexed="8"/>
      <name val="Arial"/>
      <family val="2"/>
    </font>
    <font>
      <b/>
      <sz val="12"/>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2"/>
      <color indexed="39"/>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34"/>
        <bgColor indexed="64"/>
      </patternFill>
    </fill>
    <fill>
      <patternFill patternType="solid">
        <fgColor indexed="9"/>
        <bgColor indexed="64"/>
      </patternFill>
    </fill>
    <fill>
      <patternFill patternType="solid">
        <fgColor indexed="13"/>
        <bgColor indexed="64"/>
      </patternFill>
    </fill>
    <fill>
      <patternFill patternType="solid">
        <fgColor indexed="49"/>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style="medium"/>
      <right style="thin"/>
      <top>
        <color indexed="63"/>
      </top>
      <bottom>
        <color indexed="63"/>
      </botto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92">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52" fillId="30" borderId="0" applyNumberFormat="0" applyBorder="0" applyAlignment="0" applyProtection="0"/>
    <xf numFmtId="43" fontId="13" fillId="0" borderId="0" applyFont="0" applyFill="0" applyBorder="0" applyAlignment="0" applyProtection="0"/>
    <xf numFmtId="41" fontId="13" fillId="0" borderId="0" applyFont="0" applyFill="0" applyBorder="0" applyAlignment="0" applyProtection="0"/>
    <xf numFmtId="171" fontId="5" fillId="0" borderId="0" applyFont="0" applyFill="0" applyBorder="0" applyAlignment="0" applyProtection="0"/>
    <xf numFmtId="17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71"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3" fillId="32" borderId="5" applyNumberFormat="0" applyFont="0" applyAlignment="0" applyProtection="0"/>
    <xf numFmtId="9" fontId="13" fillId="0" borderId="0" applyFont="0" applyFill="0" applyBorder="0" applyAlignment="0" applyProtection="0"/>
    <xf numFmtId="9" fontId="5" fillId="0" borderId="0" applyFont="0" applyFill="0" applyBorder="0" applyAlignment="0" applyProtection="0"/>
    <xf numFmtId="0" fontId="72" fillId="21"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68" fillId="0" borderId="8" applyNumberFormat="0" applyFill="0" applyAlignment="0" applyProtection="0"/>
    <xf numFmtId="0" fontId="77" fillId="0" borderId="9" applyNumberFormat="0" applyFill="0" applyAlignment="0" applyProtection="0"/>
  </cellStyleXfs>
  <cellXfs count="911">
    <xf numFmtId="0" fontId="0" fillId="0" borderId="0" xfId="0" applyFont="1" applyAlignment="1">
      <alignment/>
    </xf>
    <xf numFmtId="0" fontId="7" fillId="33" borderId="10" xfId="0" applyFont="1" applyFill="1" applyBorder="1" applyAlignment="1">
      <alignment horizontal="center" vertical="center"/>
    </xf>
    <xf numFmtId="1"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 fontId="5" fillId="0" borderId="10" xfId="53"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49" fontId="5" fillId="0" borderId="10" xfId="66" applyNumberFormat="1" applyFont="1" applyFill="1" applyBorder="1" applyAlignment="1">
      <alignment horizontal="center" vertical="center" wrapText="1"/>
      <protection/>
    </xf>
    <xf numFmtId="10" fontId="5" fillId="0" borderId="10" xfId="66" applyNumberFormat="1" applyFont="1" applyFill="1" applyBorder="1" applyAlignment="1">
      <alignment horizontal="center" vertical="center" wrapText="1"/>
      <protection/>
    </xf>
    <xf numFmtId="196" fontId="5" fillId="0" borderId="10" xfId="0" applyNumberFormat="1" applyFont="1" applyFill="1" applyBorder="1" applyAlignment="1">
      <alignment horizontal="center" vertical="center" wrapText="1"/>
    </xf>
    <xf numFmtId="9" fontId="5" fillId="0" borderId="10" xfId="83" applyFont="1" applyFill="1" applyBorder="1" applyAlignment="1">
      <alignment horizontal="center" vertical="center" wrapText="1"/>
    </xf>
    <xf numFmtId="1" fontId="5" fillId="0" borderId="10" xfId="66" applyNumberFormat="1" applyFont="1" applyFill="1" applyBorder="1" applyAlignment="1">
      <alignment horizontal="center" vertical="center" wrapText="1"/>
      <protection/>
    </xf>
    <xf numFmtId="3" fontId="5" fillId="34"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10" fontId="5" fillId="0" borderId="10" xfId="53" applyNumberFormat="1" applyFont="1" applyFill="1" applyBorder="1" applyAlignment="1">
      <alignment horizontal="center" vertical="center" wrapText="1"/>
    </xf>
    <xf numFmtId="0" fontId="5" fillId="0" borderId="10" xfId="53" applyNumberFormat="1" applyFont="1" applyFill="1" applyBorder="1" applyAlignment="1">
      <alignment horizontal="center" vertical="center" wrapText="1"/>
    </xf>
    <xf numFmtId="195" fontId="20" fillId="35" borderId="10" xfId="55" applyNumberFormat="1" applyFont="1" applyFill="1" applyBorder="1" applyAlignment="1">
      <alignment horizontal="center" vertical="center" wrapText="1"/>
    </xf>
    <xf numFmtId="6" fontId="20" fillId="0" borderId="10" xfId="71" applyNumberFormat="1" applyFont="1" applyBorder="1" applyAlignment="1">
      <alignment horizontal="center" vertical="center" wrapText="1"/>
      <protection/>
    </xf>
    <xf numFmtId="0" fontId="20" fillId="31" borderId="10" xfId="0" applyFont="1" applyFill="1" applyBorder="1" applyAlignment="1">
      <alignment horizontal="center" vertical="center" wrapText="1"/>
    </xf>
    <xf numFmtId="49" fontId="5" fillId="31"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36"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9" fontId="5" fillId="0" borderId="10" xfId="53" applyNumberFormat="1" applyFont="1" applyFill="1" applyBorder="1" applyAlignment="1">
      <alignment horizontal="center" vertical="center" wrapText="1"/>
    </xf>
    <xf numFmtId="3" fontId="5" fillId="0" borderId="10" xfId="53" applyNumberFormat="1" applyFont="1" applyFill="1" applyBorder="1" applyAlignment="1">
      <alignment horizontal="center" vertical="center" wrapText="1"/>
    </xf>
    <xf numFmtId="0" fontId="5" fillId="0" borderId="10" xfId="0" applyFont="1" applyBorder="1" applyAlignment="1">
      <alignment horizontal="center" vertical="center" wrapText="1"/>
    </xf>
    <xf numFmtId="3"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196"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5" fillId="0" borderId="14" xfId="0" applyFont="1" applyFill="1" applyBorder="1" applyAlignment="1">
      <alignment horizontal="center" vertical="center" wrapText="1"/>
    </xf>
    <xf numFmtId="49" fontId="5" fillId="0" borderId="14" xfId="66" applyNumberFormat="1" applyFont="1" applyFill="1" applyBorder="1" applyAlignment="1">
      <alignment horizontal="center" vertical="center" wrapText="1"/>
      <protection/>
    </xf>
    <xf numFmtId="10" fontId="5" fillId="0" borderId="14" xfId="66" applyNumberFormat="1" applyFont="1" applyFill="1" applyBorder="1" applyAlignment="1">
      <alignment horizontal="center" vertical="center" wrapText="1"/>
      <protection/>
    </xf>
    <xf numFmtId="196" fontId="5" fillId="0" borderId="14" xfId="0" applyNumberFormat="1" applyFont="1" applyFill="1" applyBorder="1" applyAlignment="1">
      <alignment horizontal="center" vertical="center" wrapText="1"/>
    </xf>
    <xf numFmtId="1" fontId="5" fillId="0" borderId="14" xfId="0" applyNumberFormat="1" applyFont="1" applyFill="1" applyBorder="1" applyAlignment="1">
      <alignment horizontal="center" vertical="center" wrapText="1"/>
    </xf>
    <xf numFmtId="1" fontId="5" fillId="0" borderId="14" xfId="66" applyNumberFormat="1"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49" fontId="5" fillId="0" borderId="15" xfId="66" applyNumberFormat="1" applyFont="1" applyFill="1" applyBorder="1" applyAlignment="1">
      <alignment horizontal="center" vertical="center" wrapText="1"/>
      <protection/>
    </xf>
    <xf numFmtId="1" fontId="5" fillId="0" borderId="15" xfId="0" applyNumberFormat="1" applyFont="1" applyFill="1" applyBorder="1" applyAlignment="1">
      <alignment horizontal="center" vertical="center" wrapText="1"/>
    </xf>
    <xf numFmtId="1" fontId="5" fillId="0" borderId="15" xfId="66" applyNumberFormat="1" applyFont="1" applyFill="1" applyBorder="1" applyAlignment="1">
      <alignment horizontal="center" vertical="center" wrapText="1"/>
      <protection/>
    </xf>
    <xf numFmtId="10" fontId="5" fillId="0" borderId="14" xfId="53" applyNumberFormat="1" applyFont="1" applyFill="1" applyBorder="1" applyAlignment="1">
      <alignment horizontal="center" vertical="center" wrapText="1"/>
    </xf>
    <xf numFmtId="10" fontId="5"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20" fillId="0" borderId="17" xfId="0" applyFont="1" applyBorder="1" applyAlignment="1">
      <alignment horizontal="center" vertical="center" wrapText="1"/>
    </xf>
    <xf numFmtId="2" fontId="5" fillId="0" borderId="15" xfId="53" applyNumberFormat="1"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0" fontId="20" fillId="0" borderId="18" xfId="0" applyFont="1" applyBorder="1" applyAlignment="1">
      <alignment horizontal="center" vertical="center" wrapText="1"/>
    </xf>
    <xf numFmtId="0" fontId="5" fillId="34" borderId="14"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34" borderId="14" xfId="0" applyFont="1" applyFill="1" applyBorder="1" applyAlignment="1">
      <alignment horizontal="center" vertical="center" wrapText="1"/>
    </xf>
    <xf numFmtId="49" fontId="5" fillId="34" borderId="14" xfId="0" applyNumberFormat="1" applyFont="1" applyFill="1" applyBorder="1" applyAlignment="1">
      <alignment horizontal="center" vertical="center" wrapText="1"/>
    </xf>
    <xf numFmtId="3" fontId="5" fillId="0" borderId="15" xfId="53" applyNumberFormat="1" applyFont="1" applyFill="1" applyBorder="1" applyAlignment="1">
      <alignment horizontal="center" vertical="center" wrapText="1"/>
    </xf>
    <xf numFmtId="0" fontId="5" fillId="0" borderId="14" xfId="53" applyNumberFormat="1" applyFont="1" applyFill="1" applyBorder="1" applyAlignment="1">
      <alignment horizontal="center" vertical="center" wrapText="1"/>
    </xf>
    <xf numFmtId="0" fontId="20" fillId="36" borderId="14" xfId="0"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0" fontId="20" fillId="0" borderId="15" xfId="0" applyFont="1" applyBorder="1" applyAlignment="1">
      <alignment horizontal="center" vertical="center" wrapText="1"/>
    </xf>
    <xf numFmtId="0" fontId="20" fillId="36" borderId="15"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5" fillId="0" borderId="15" xfId="53" applyNumberFormat="1" applyFont="1" applyFill="1" applyBorder="1" applyAlignment="1">
      <alignment horizontal="center" vertical="center" wrapText="1"/>
    </xf>
    <xf numFmtId="6" fontId="20" fillId="0" borderId="15" xfId="71" applyNumberFormat="1" applyFont="1" applyBorder="1" applyAlignment="1">
      <alignment horizontal="center" vertical="center" wrapText="1"/>
      <protection/>
    </xf>
    <xf numFmtId="0" fontId="18" fillId="0" borderId="15" xfId="0" applyFont="1" applyFill="1" applyBorder="1" applyAlignment="1">
      <alignment horizontal="center" vertical="center" wrapText="1"/>
    </xf>
    <xf numFmtId="194" fontId="18" fillId="0" borderId="15" xfId="53" applyNumberFormat="1" applyFont="1" applyFill="1" applyBorder="1" applyAlignment="1">
      <alignment horizontal="center" vertical="center" wrapText="1"/>
    </xf>
    <xf numFmtId="1" fontId="18" fillId="0" borderId="15" xfId="0" applyNumberFormat="1" applyFont="1" applyFill="1" applyBorder="1" applyAlignment="1">
      <alignment horizontal="center" vertical="center" wrapText="1"/>
    </xf>
    <xf numFmtId="196" fontId="5" fillId="0" borderId="10" xfId="83" applyNumberFormat="1" applyFont="1" applyFill="1" applyBorder="1" applyAlignment="1">
      <alignment horizontal="center" vertical="center" wrapText="1"/>
    </xf>
    <xf numFmtId="0" fontId="5" fillId="0" borderId="10" xfId="0" applyFont="1" applyFill="1" applyBorder="1" applyAlignment="1">
      <alignment horizontal="center" vertical="center"/>
    </xf>
    <xf numFmtId="194" fontId="5" fillId="0" borderId="10" xfId="49" applyNumberFormat="1" applyFont="1" applyFill="1" applyBorder="1" applyAlignment="1">
      <alignment horizontal="center" vertical="center" wrapText="1"/>
    </xf>
    <xf numFmtId="0" fontId="20" fillId="0" borderId="0" xfId="0" applyFont="1" applyFill="1" applyAlignment="1">
      <alignment horizontal="center" vertical="center"/>
    </xf>
    <xf numFmtId="0" fontId="20" fillId="0" borderId="10" xfId="0" applyFont="1" applyFill="1" applyBorder="1" applyAlignment="1">
      <alignment horizontal="center" vertical="center"/>
    </xf>
    <xf numFmtId="196" fontId="5" fillId="0" borderId="14" xfId="83" applyNumberFormat="1" applyFont="1" applyFill="1" applyBorder="1" applyAlignment="1">
      <alignment horizontal="center" vertical="center" wrapText="1"/>
    </xf>
    <xf numFmtId="196" fontId="5" fillId="0" borderId="16" xfId="83" applyNumberFormat="1" applyFont="1" applyFill="1" applyBorder="1" applyAlignment="1">
      <alignment horizontal="center" vertical="center" wrapText="1"/>
    </xf>
    <xf numFmtId="196" fontId="5" fillId="0" borderId="17" xfId="83" applyNumberFormat="1" applyFont="1" applyFill="1" applyBorder="1" applyAlignment="1">
      <alignment horizontal="center" vertical="center" wrapText="1"/>
    </xf>
    <xf numFmtId="196" fontId="5" fillId="0" borderId="15" xfId="83" applyNumberFormat="1" applyFont="1" applyFill="1" applyBorder="1" applyAlignment="1">
      <alignment horizontal="center" vertical="center" wrapText="1"/>
    </xf>
    <xf numFmtId="196" fontId="5" fillId="0" borderId="18" xfId="83" applyNumberFormat="1" applyFont="1" applyFill="1" applyBorder="1" applyAlignment="1">
      <alignment horizontal="center" vertical="center" wrapText="1"/>
    </xf>
    <xf numFmtId="194" fontId="5" fillId="0" borderId="14" xfId="49" applyNumberFormat="1" applyFont="1" applyFill="1" applyBorder="1" applyAlignment="1">
      <alignment horizontal="center" vertical="center" wrapText="1"/>
    </xf>
    <xf numFmtId="9" fontId="5" fillId="0" borderId="19" xfId="0" applyNumberFormat="1" applyFont="1" applyFill="1" applyBorder="1" applyAlignment="1">
      <alignment vertical="center" wrapText="1"/>
    </xf>
    <xf numFmtId="196" fontId="5" fillId="0" borderId="10" xfId="66" applyNumberFormat="1" applyFont="1" applyFill="1" applyBorder="1" applyAlignment="1">
      <alignment horizontal="center" vertical="center" wrapText="1"/>
      <protection/>
    </xf>
    <xf numFmtId="0" fontId="20" fillId="0" borderId="10" xfId="0" applyFont="1" applyFill="1" applyBorder="1" applyAlignment="1">
      <alignment horizontal="center" vertical="center" wrapText="1"/>
    </xf>
    <xf numFmtId="194" fontId="20" fillId="0" borderId="10" xfId="49" applyNumberFormat="1" applyFont="1" applyFill="1" applyBorder="1" applyAlignment="1">
      <alignment horizontal="center" vertical="center" wrapText="1"/>
    </xf>
    <xf numFmtId="3" fontId="5" fillId="0" borderId="10" xfId="66" applyNumberFormat="1" applyFont="1" applyFill="1" applyBorder="1" applyAlignment="1">
      <alignment horizontal="center" vertical="center" wrapText="1"/>
      <protection/>
    </xf>
    <xf numFmtId="0" fontId="5" fillId="0" borderId="10" xfId="0" applyFont="1" applyFill="1" applyBorder="1" applyAlignment="1">
      <alignment vertical="center" wrapText="1"/>
    </xf>
    <xf numFmtId="0" fontId="5" fillId="0" borderId="10" xfId="66" applyFont="1" applyFill="1" applyBorder="1" applyAlignment="1">
      <alignment horizontal="center" vertical="center" wrapText="1"/>
      <protection/>
    </xf>
    <xf numFmtId="3" fontId="5" fillId="0" borderId="10" xfId="84" applyNumberFormat="1" applyFont="1" applyFill="1" applyBorder="1" applyAlignment="1">
      <alignment horizontal="center" vertical="center" wrapText="1"/>
    </xf>
    <xf numFmtId="1" fontId="5" fillId="0" borderId="10" xfId="84" applyNumberFormat="1" applyFont="1" applyFill="1" applyBorder="1" applyAlignment="1">
      <alignment horizontal="center" vertical="center" wrapText="1"/>
    </xf>
    <xf numFmtId="9" fontId="5" fillId="0" borderId="10" xfId="84" applyFont="1" applyFill="1" applyBorder="1" applyAlignment="1">
      <alignment horizontal="center" vertical="center" wrapText="1"/>
    </xf>
    <xf numFmtId="0" fontId="5" fillId="0" borderId="10" xfId="84"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2" fontId="5" fillId="0" borderId="10" xfId="66" applyNumberFormat="1" applyFont="1" applyFill="1" applyBorder="1" applyAlignment="1">
      <alignment horizontal="center" vertical="center" wrapText="1"/>
      <protection/>
    </xf>
    <xf numFmtId="2" fontId="5" fillId="0" borderId="10" xfId="84" applyNumberFormat="1" applyFont="1" applyFill="1" applyBorder="1" applyAlignment="1">
      <alignment horizontal="center" vertical="center" wrapText="1"/>
    </xf>
    <xf numFmtId="0" fontId="5" fillId="0" borderId="10" xfId="71" applyFont="1" applyFill="1" applyBorder="1" applyAlignment="1">
      <alignment horizontal="center" vertical="center" wrapText="1"/>
      <protection/>
    </xf>
    <xf numFmtId="2" fontId="5" fillId="0" borderId="10"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194" fontId="18" fillId="0" borderId="10" xfId="53" applyNumberFormat="1" applyFont="1" applyFill="1" applyBorder="1" applyAlignment="1">
      <alignment horizontal="center" vertical="center" wrapText="1"/>
    </xf>
    <xf numFmtId="1" fontId="18" fillId="0" borderId="10" xfId="0" applyNumberFormat="1" applyFont="1" applyFill="1" applyBorder="1" applyAlignment="1">
      <alignment horizontal="center" vertical="center" wrapText="1"/>
    </xf>
    <xf numFmtId="179" fontId="5" fillId="0" borderId="10" xfId="54" applyNumberFormat="1" applyFont="1" applyFill="1" applyBorder="1" applyAlignment="1">
      <alignment horizontal="center" vertical="center" wrapText="1"/>
    </xf>
    <xf numFmtId="0" fontId="5" fillId="0" borderId="10" xfId="66" applyNumberFormat="1" applyFont="1" applyFill="1" applyBorder="1" applyAlignment="1">
      <alignment horizontal="center" vertical="center" wrapText="1"/>
      <protection/>
    </xf>
    <xf numFmtId="0" fontId="5" fillId="0" borderId="20" xfId="0" applyFont="1" applyFill="1" applyBorder="1" applyAlignment="1">
      <alignment horizontal="center" vertical="center" wrapText="1"/>
    </xf>
    <xf numFmtId="0" fontId="5" fillId="0" borderId="20" xfId="0" applyFont="1" applyFill="1" applyBorder="1" applyAlignment="1">
      <alignment horizontal="center" vertical="center"/>
    </xf>
    <xf numFmtId="0" fontId="20"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vertical="center" wrapText="1"/>
    </xf>
    <xf numFmtId="197" fontId="5" fillId="0" borderId="10" xfId="0" applyNumberFormat="1" applyFont="1" applyFill="1" applyBorder="1" applyAlignment="1">
      <alignment vertical="center"/>
    </xf>
    <xf numFmtId="1" fontId="5" fillId="0" borderId="20" xfId="0" applyNumberFormat="1" applyFont="1" applyFill="1" applyBorder="1" applyAlignment="1">
      <alignment horizontal="center" vertical="center" wrapText="1"/>
    </xf>
    <xf numFmtId="1" fontId="5" fillId="0" borderId="19" xfId="0"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3" fontId="5" fillId="0" borderId="20" xfId="0" applyNumberFormat="1" applyFont="1" applyFill="1" applyBorder="1" applyAlignment="1">
      <alignment vertical="center" wrapText="1"/>
    </xf>
    <xf numFmtId="3" fontId="5" fillId="0" borderId="10" xfId="0" applyNumberFormat="1" applyFont="1" applyFill="1" applyBorder="1" applyAlignment="1">
      <alignment vertical="center"/>
    </xf>
    <xf numFmtId="3" fontId="5" fillId="0" borderId="20" xfId="0" applyNumberFormat="1" applyFont="1" applyFill="1" applyBorder="1" applyAlignment="1">
      <alignment vertical="center"/>
    </xf>
    <xf numFmtId="197" fontId="5" fillId="0" borderId="10" xfId="0" applyNumberFormat="1" applyFont="1" applyFill="1" applyBorder="1" applyAlignment="1">
      <alignment vertical="center" wrapText="1"/>
    </xf>
    <xf numFmtId="0" fontId="20" fillId="0" borderId="2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0" xfId="0" applyFont="1" applyFill="1" applyAlignment="1">
      <alignment horizontal="center" vertical="center" wrapText="1"/>
    </xf>
    <xf numFmtId="0" fontId="5" fillId="0" borderId="19" xfId="0" applyFont="1" applyFill="1" applyBorder="1" applyAlignment="1">
      <alignment horizontal="center" vertical="center" wrapText="1"/>
    </xf>
    <xf numFmtId="0" fontId="33" fillId="0" borderId="10" xfId="0" applyFont="1" applyFill="1" applyBorder="1" applyAlignment="1">
      <alignment horizontal="center" vertical="center" wrapText="1"/>
    </xf>
    <xf numFmtId="9" fontId="5" fillId="0" borderId="10" xfId="0" applyNumberFormat="1" applyFont="1" applyFill="1" applyBorder="1" applyAlignment="1">
      <alignment horizontal="center" vertical="center"/>
    </xf>
    <xf numFmtId="3" fontId="17" fillId="0" borderId="10" xfId="0" applyNumberFormat="1" applyFont="1" applyFill="1" applyBorder="1" applyAlignment="1">
      <alignment vertical="center" wrapText="1"/>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20" fillId="34" borderId="10" xfId="0" applyFont="1" applyFill="1" applyBorder="1" applyAlignment="1">
      <alignment horizontal="center" vertical="center" wrapText="1"/>
    </xf>
    <xf numFmtId="3" fontId="5" fillId="0" borderId="20" xfId="0" applyNumberFormat="1" applyFont="1" applyFill="1" applyBorder="1" applyAlignment="1">
      <alignment horizontal="center" vertical="center"/>
    </xf>
    <xf numFmtId="0" fontId="36" fillId="34" borderId="23" xfId="0" applyFont="1" applyFill="1" applyBorder="1" applyAlignment="1">
      <alignment horizontal="center" vertical="center"/>
    </xf>
    <xf numFmtId="194" fontId="5" fillId="34" borderId="10" xfId="49" applyNumberFormat="1" applyFont="1" applyFill="1" applyBorder="1" applyAlignment="1">
      <alignment horizontal="center" vertical="center"/>
    </xf>
    <xf numFmtId="0" fontId="20" fillId="34" borderId="20" xfId="0" applyFont="1" applyFill="1" applyBorder="1" applyAlignment="1">
      <alignment horizontal="center" vertical="center" wrapText="1"/>
    </xf>
    <xf numFmtId="3" fontId="5" fillId="0" borderId="10" xfId="0" applyNumberFormat="1" applyFont="1" applyFill="1" applyBorder="1" applyAlignment="1">
      <alignment horizontal="center" vertical="center"/>
    </xf>
    <xf numFmtId="0" fontId="20" fillId="0" borderId="20" xfId="0" applyFont="1" applyFill="1" applyBorder="1" applyAlignment="1">
      <alignment horizontal="center" vertical="center" wrapText="1"/>
    </xf>
    <xf numFmtId="0" fontId="0" fillId="0" borderId="10" xfId="0" applyBorder="1" applyAlignment="1">
      <alignment/>
    </xf>
    <xf numFmtId="3" fontId="5" fillId="35" borderId="24" xfId="0" applyNumberFormat="1" applyFont="1" applyFill="1" applyBorder="1" applyAlignment="1">
      <alignment horizontal="center" vertical="center" wrapText="1"/>
    </xf>
    <xf numFmtId="3" fontId="5" fillId="35" borderId="24" xfId="0" applyNumberFormat="1" applyFont="1" applyFill="1" applyBorder="1" applyAlignment="1">
      <alignment vertical="center" wrapText="1"/>
    </xf>
    <xf numFmtId="3" fontId="5" fillId="35" borderId="10" xfId="0" applyNumberFormat="1" applyFont="1" applyFill="1" applyBorder="1" applyAlignment="1">
      <alignment vertical="center" wrapText="1"/>
    </xf>
    <xf numFmtId="3" fontId="5" fillId="35" borderId="10" xfId="0" applyNumberFormat="1"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0" fillId="0" borderId="10" xfId="0" applyFont="1" applyFill="1" applyBorder="1" applyAlignment="1">
      <alignment/>
    </xf>
    <xf numFmtId="3" fontId="5" fillId="34" borderId="10"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0" fillId="0" borderId="10" xfId="0" applyBorder="1" applyAlignment="1">
      <alignment horizontal="center" vertical="center"/>
    </xf>
    <xf numFmtId="9" fontId="5" fillId="0" borderId="20" xfId="0" applyNumberFormat="1" applyFont="1" applyFill="1" applyBorder="1" applyAlignment="1">
      <alignment horizontal="center" vertical="center" wrapText="1"/>
    </xf>
    <xf numFmtId="0" fontId="33" fillId="0" borderId="25" xfId="0" applyFont="1" applyFill="1" applyBorder="1" applyAlignment="1">
      <alignment horizontal="center" vertical="center" wrapText="1"/>
    </xf>
    <xf numFmtId="0" fontId="5" fillId="0" borderId="25" xfId="0" applyFont="1" applyFill="1" applyBorder="1" applyAlignment="1">
      <alignment horizontal="center" vertical="center" wrapText="1"/>
    </xf>
    <xf numFmtId="9" fontId="5" fillId="0" borderId="10" xfId="66" applyNumberFormat="1" applyFont="1" applyFill="1" applyBorder="1" applyAlignment="1">
      <alignment horizontal="center" vertical="center" wrapText="1"/>
      <protection/>
    </xf>
    <xf numFmtId="3" fontId="5" fillId="0" borderId="19" xfId="0" applyNumberFormat="1" applyFont="1" applyFill="1" applyBorder="1" applyAlignment="1">
      <alignment horizontal="center" vertical="center" wrapText="1"/>
    </xf>
    <xf numFmtId="0" fontId="5" fillId="35" borderId="10" xfId="0" applyFont="1" applyFill="1" applyBorder="1" applyAlignment="1">
      <alignment vertical="center"/>
    </xf>
    <xf numFmtId="3" fontId="5" fillId="35" borderId="10" xfId="0" applyNumberFormat="1" applyFont="1" applyFill="1" applyBorder="1" applyAlignment="1">
      <alignment horizontal="center" vertical="center"/>
    </xf>
    <xf numFmtId="3" fontId="5" fillId="35" borderId="20" xfId="0" applyNumberFormat="1" applyFont="1" applyFill="1" applyBorder="1" applyAlignment="1">
      <alignment horizontal="center" vertical="center"/>
    </xf>
    <xf numFmtId="0" fontId="0" fillId="0" borderId="20" xfId="0" applyBorder="1" applyAlignment="1">
      <alignment/>
    </xf>
    <xf numFmtId="0" fontId="0" fillId="0" borderId="19" xfId="0" applyBorder="1" applyAlignment="1">
      <alignment/>
    </xf>
    <xf numFmtId="0" fontId="5" fillId="35" borderId="10" xfId="0" applyFont="1" applyFill="1" applyBorder="1" applyAlignment="1">
      <alignment horizontal="center" vertical="center"/>
    </xf>
    <xf numFmtId="0" fontId="5" fillId="35" borderId="20" xfId="0" applyFont="1" applyFill="1" applyBorder="1" applyAlignment="1">
      <alignment horizontal="center" vertical="center"/>
    </xf>
    <xf numFmtId="0" fontId="20" fillId="35" borderId="20" xfId="0" applyFont="1" applyFill="1" applyBorder="1" applyAlignment="1">
      <alignment horizontal="center" vertical="center" wrapText="1"/>
    </xf>
    <xf numFmtId="0" fontId="5" fillId="35" borderId="20" xfId="0" applyFont="1" applyFill="1" applyBorder="1" applyAlignment="1">
      <alignment vertical="center"/>
    </xf>
    <xf numFmtId="0" fontId="0" fillId="34" borderId="19" xfId="0" applyFill="1" applyBorder="1" applyAlignment="1">
      <alignment/>
    </xf>
    <xf numFmtId="0" fontId="0" fillId="34" borderId="10" xfId="0" applyFill="1" applyBorder="1" applyAlignment="1">
      <alignment/>
    </xf>
    <xf numFmtId="0" fontId="25" fillId="0" borderId="10" xfId="0" applyFont="1" applyFill="1" applyBorder="1" applyAlignment="1">
      <alignment horizontal="center" vertical="center" wrapText="1"/>
    </xf>
    <xf numFmtId="0" fontId="33" fillId="0" borderId="10" xfId="0" applyFont="1" applyBorder="1" applyAlignment="1">
      <alignment horizontal="center" vertical="center"/>
    </xf>
    <xf numFmtId="3" fontId="5"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xf>
    <xf numFmtId="0" fontId="33" fillId="0" borderId="10" xfId="0" applyFont="1" applyFill="1" applyBorder="1" applyAlignment="1">
      <alignment horizontal="center" vertical="center"/>
    </xf>
    <xf numFmtId="0" fontId="20" fillId="0" borderId="20" xfId="0" applyFont="1" applyFill="1" applyBorder="1" applyAlignment="1">
      <alignment horizontal="center" vertical="center"/>
    </xf>
    <xf numFmtId="3" fontId="5" fillId="0" borderId="10" xfId="0" applyNumberFormat="1" applyFont="1" applyBorder="1" applyAlignment="1">
      <alignment horizontal="center" vertical="center"/>
    </xf>
    <xf numFmtId="3" fontId="5" fillId="0" borderId="24" xfId="0" applyNumberFormat="1" applyFont="1" applyBorder="1" applyAlignment="1">
      <alignment horizontal="center" vertical="center"/>
    </xf>
    <xf numFmtId="3" fontId="18" fillId="34" borderId="10" xfId="0" applyNumberFormat="1" applyFont="1" applyFill="1" applyBorder="1" applyAlignment="1">
      <alignment horizontal="center" vertical="center"/>
    </xf>
    <xf numFmtId="0" fontId="20" fillId="0" borderId="10" xfId="0" applyFont="1" applyBorder="1" applyAlignment="1">
      <alignment horizontal="center" vertical="center"/>
    </xf>
    <xf numFmtId="0" fontId="20" fillId="34" borderId="10" xfId="0" applyFont="1" applyFill="1" applyBorder="1" applyAlignment="1">
      <alignment horizontal="center" vertical="center"/>
    </xf>
    <xf numFmtId="3" fontId="33" fillId="0" borderId="10" xfId="0" applyNumberFormat="1" applyFont="1" applyFill="1" applyBorder="1" applyAlignment="1">
      <alignment horizontal="center" vertical="center"/>
    </xf>
    <xf numFmtId="3" fontId="33" fillId="0" borderId="0" xfId="0" applyNumberFormat="1" applyFont="1" applyFill="1" applyBorder="1" applyAlignment="1">
      <alignment horizontal="center" vertical="center"/>
    </xf>
    <xf numFmtId="197" fontId="5" fillId="0" borderId="10" xfId="0" applyNumberFormat="1" applyFont="1" applyFill="1" applyBorder="1" applyAlignment="1">
      <alignment horizontal="center" vertical="center" wrapText="1"/>
    </xf>
    <xf numFmtId="0" fontId="33" fillId="0" borderId="20" xfId="0" applyFont="1" applyFill="1" applyBorder="1" applyAlignment="1">
      <alignment horizontal="center" vertical="center"/>
    </xf>
    <xf numFmtId="0" fontId="33" fillId="34" borderId="10" xfId="0" applyFont="1" applyFill="1" applyBorder="1" applyAlignment="1">
      <alignment horizontal="center" vertical="center"/>
    </xf>
    <xf numFmtId="0" fontId="5" fillId="34" borderId="20" xfId="0" applyFont="1" applyFill="1" applyBorder="1" applyAlignment="1">
      <alignment horizontal="center" vertical="center"/>
    </xf>
    <xf numFmtId="3" fontId="5" fillId="34" borderId="20" xfId="0" applyNumberFormat="1" applyFont="1" applyFill="1" applyBorder="1" applyAlignment="1">
      <alignment horizontal="center" vertical="center"/>
    </xf>
    <xf numFmtId="3" fontId="20"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5" xfId="0" applyFont="1" applyFill="1" applyBorder="1" applyAlignment="1">
      <alignment horizontal="center" vertical="center" wrapText="1"/>
    </xf>
    <xf numFmtId="0" fontId="37" fillId="0" borderId="10" xfId="0" applyFont="1" applyFill="1" applyBorder="1" applyAlignment="1">
      <alignment horizontal="center" vertical="center"/>
    </xf>
    <xf numFmtId="3" fontId="37" fillId="0" borderId="10" xfId="0" applyNumberFormat="1" applyFont="1" applyFill="1" applyBorder="1" applyAlignment="1">
      <alignment horizontal="center" vertical="center"/>
    </xf>
    <xf numFmtId="0" fontId="25" fillId="0" borderId="19"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3" fillId="0" borderId="0" xfId="0" applyFont="1" applyAlignment="1">
      <alignment horizontal="center" vertical="center"/>
    </xf>
    <xf numFmtId="1" fontId="5" fillId="0" borderId="23" xfId="0" applyNumberFormat="1" applyFont="1" applyFill="1" applyBorder="1" applyAlignment="1">
      <alignment horizontal="center" vertical="center" wrapText="1"/>
    </xf>
    <xf numFmtId="0" fontId="5" fillId="0" borderId="10" xfId="0" applyFont="1" applyFill="1" applyBorder="1" applyAlignment="1">
      <alignment wrapText="1"/>
    </xf>
    <xf numFmtId="0" fontId="5" fillId="0" borderId="10" xfId="0" applyFont="1" applyFill="1" applyBorder="1" applyAlignment="1">
      <alignment horizontal="center" vertical="top" wrapText="1"/>
    </xf>
    <xf numFmtId="197" fontId="5" fillId="0" borderId="10" xfId="66" applyNumberFormat="1" applyFont="1" applyFill="1" applyBorder="1" applyAlignment="1">
      <alignment horizontal="center" vertical="center" wrapText="1"/>
      <protection/>
    </xf>
    <xf numFmtId="194" fontId="5" fillId="0" borderId="10" xfId="49" applyNumberFormat="1" applyFont="1" applyFill="1" applyBorder="1" applyAlignment="1">
      <alignment horizontal="center" vertical="center"/>
    </xf>
    <xf numFmtId="0" fontId="5" fillId="0" borderId="20" xfId="0" applyFont="1" applyBorder="1" applyAlignment="1">
      <alignment horizontal="center" vertical="center" wrapText="1"/>
    </xf>
    <xf numFmtId="0" fontId="5" fillId="35" borderId="10" xfId="0" applyFont="1" applyFill="1" applyBorder="1" applyAlignment="1">
      <alignment horizontal="center" vertical="center" wrapText="1"/>
    </xf>
    <xf numFmtId="43" fontId="5" fillId="0" borderId="10" xfId="49" applyFont="1" applyFill="1" applyBorder="1" applyAlignment="1">
      <alignment horizontal="center" vertical="center" wrapText="1"/>
    </xf>
    <xf numFmtId="43" fontId="5" fillId="0" borderId="10" xfId="49" applyFont="1" applyFill="1" applyBorder="1" applyAlignment="1">
      <alignment horizontal="center" vertical="center"/>
    </xf>
    <xf numFmtId="43" fontId="5" fillId="35" borderId="10" xfId="49" applyFont="1" applyFill="1" applyBorder="1" applyAlignment="1">
      <alignment horizontal="center" vertical="center" wrapText="1"/>
    </xf>
    <xf numFmtId="0" fontId="5" fillId="0" borderId="10" xfId="0" applyNumberFormat="1" applyFont="1" applyFill="1" applyBorder="1" applyAlignment="1">
      <alignment horizontal="center" vertical="center"/>
    </xf>
    <xf numFmtId="9" fontId="5" fillId="0" borderId="10" xfId="84" applyFont="1" applyFill="1" applyBorder="1" applyAlignment="1">
      <alignment horizontal="center" vertical="center"/>
    </xf>
    <xf numFmtId="0" fontId="5" fillId="0" borderId="0" xfId="0" applyFont="1" applyFill="1" applyAlignment="1">
      <alignment horizontal="center" vertical="center" wrapText="1"/>
    </xf>
    <xf numFmtId="0" fontId="5" fillId="0" borderId="23" xfId="0" applyFont="1" applyBorder="1" applyAlignment="1">
      <alignment horizontal="center" vertical="center" wrapText="1"/>
    </xf>
    <xf numFmtId="0" fontId="5" fillId="35" borderId="10" xfId="0" applyNumberFormat="1" applyFont="1" applyFill="1" applyBorder="1" applyAlignment="1">
      <alignment horizontal="center" vertical="center"/>
    </xf>
    <xf numFmtId="0" fontId="5" fillId="0" borderId="0" xfId="0" applyFont="1" applyAlignment="1">
      <alignment horizontal="center" vertical="center" wrapText="1"/>
    </xf>
    <xf numFmtId="0" fontId="5" fillId="35" borderId="10"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xf>
    <xf numFmtId="0" fontId="5" fillId="0" borderId="10" xfId="84"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9" fontId="5" fillId="0" borderId="19" xfId="84" applyFont="1" applyFill="1" applyBorder="1" applyAlignment="1">
      <alignment horizontal="center" vertical="center"/>
    </xf>
    <xf numFmtId="1" fontId="5" fillId="35" borderId="10" xfId="0" applyNumberFormat="1"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3" xfId="0"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3" fontId="18" fillId="34" borderId="14" xfId="0" applyNumberFormat="1" applyFont="1" applyFill="1" applyBorder="1" applyAlignment="1">
      <alignment horizontal="center" vertical="center" wrapText="1"/>
    </xf>
    <xf numFmtId="9" fontId="5" fillId="34"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center" vertical="center" wrapText="1"/>
    </xf>
    <xf numFmtId="10" fontId="5" fillId="34" borderId="10" xfId="0" applyNumberFormat="1" applyFont="1" applyFill="1" applyBorder="1" applyAlignment="1">
      <alignment horizontal="center" vertical="center" wrapText="1"/>
    </xf>
    <xf numFmtId="0" fontId="5" fillId="0" borderId="14" xfId="73" applyFont="1" applyFill="1" applyBorder="1" applyAlignment="1">
      <alignment horizontal="center" vertical="center" wrapText="1"/>
      <protection/>
    </xf>
    <xf numFmtId="0" fontId="5" fillId="0" borderId="10" xfId="73" applyFont="1" applyFill="1" applyBorder="1" applyAlignment="1">
      <alignment horizontal="center" vertical="center" wrapText="1"/>
      <protection/>
    </xf>
    <xf numFmtId="0" fontId="5" fillId="0" borderId="19" xfId="73" applyFont="1" applyFill="1" applyBorder="1" applyAlignment="1">
      <alignment horizontal="center" vertical="center" wrapText="1"/>
      <protection/>
    </xf>
    <xf numFmtId="9" fontId="5" fillId="0" borderId="10" xfId="73"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0" xfId="73" applyNumberFormat="1" applyFont="1" applyFill="1" applyBorder="1" applyAlignment="1">
      <alignment horizontal="center" vertical="center" wrapText="1"/>
      <protection/>
    </xf>
    <xf numFmtId="3" fontId="5" fillId="0" borderId="25" xfId="0" applyNumberFormat="1" applyFont="1" applyFill="1" applyBorder="1" applyAlignment="1">
      <alignment horizontal="center" vertical="center" wrapText="1"/>
    </xf>
    <xf numFmtId="9" fontId="5" fillId="0" borderId="19" xfId="84" applyFont="1" applyFill="1" applyBorder="1" applyAlignment="1">
      <alignment horizontal="center" vertical="center" wrapText="1"/>
    </xf>
    <xf numFmtId="3" fontId="25" fillId="37" borderId="10" xfId="0" applyNumberFormat="1" applyFont="1" applyFill="1" applyBorder="1" applyAlignment="1">
      <alignment horizontal="center" vertical="center" wrapText="1"/>
    </xf>
    <xf numFmtId="3" fontId="25" fillId="37" borderId="10" xfId="0" applyNumberFormat="1" applyFont="1" applyFill="1" applyBorder="1" applyAlignment="1">
      <alignment vertical="center" wrapText="1"/>
    </xf>
    <xf numFmtId="1" fontId="33" fillId="0" borderId="10" xfId="0" applyNumberFormat="1" applyFont="1" applyFill="1" applyBorder="1" applyAlignment="1">
      <alignment horizontal="center" vertical="center" wrapText="1"/>
    </xf>
    <xf numFmtId="3" fontId="21" fillId="0" borderId="19" xfId="0" applyNumberFormat="1" applyFont="1" applyFill="1" applyBorder="1" applyAlignment="1">
      <alignment horizontal="center" vertical="center" wrapText="1"/>
    </xf>
    <xf numFmtId="196" fontId="5" fillId="0" borderId="19" xfId="83" applyNumberFormat="1" applyFont="1" applyFill="1" applyBorder="1" applyAlignment="1">
      <alignment horizontal="center" vertical="center" wrapText="1"/>
    </xf>
    <xf numFmtId="1" fontId="5" fillId="34" borderId="19" xfId="0" applyNumberFormat="1" applyFont="1" applyFill="1" applyBorder="1" applyAlignment="1">
      <alignment horizontal="center" vertical="center" wrapText="1"/>
    </xf>
    <xf numFmtId="1" fontId="5" fillId="34" borderId="10" xfId="0" applyNumberFormat="1" applyFont="1" applyFill="1" applyBorder="1" applyAlignment="1">
      <alignment horizontal="center" vertical="center" wrapText="1"/>
    </xf>
    <xf numFmtId="9" fontId="18" fillId="34" borderId="10" xfId="84"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9" fontId="29" fillId="0" borderId="10" xfId="84" applyFont="1" applyFill="1" applyBorder="1" applyAlignment="1">
      <alignment horizontal="center" vertical="center" wrapText="1"/>
    </xf>
    <xf numFmtId="3" fontId="29" fillId="0" borderId="25"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9" fontId="29" fillId="0" borderId="10" xfId="84" applyNumberFormat="1" applyFont="1" applyFill="1" applyBorder="1" applyAlignment="1">
      <alignment horizontal="center" vertical="center" wrapText="1"/>
    </xf>
    <xf numFmtId="3" fontId="29" fillId="0" borderId="25" xfId="0" applyNumberFormat="1" applyFont="1" applyFill="1" applyBorder="1" applyAlignment="1">
      <alignment vertical="center" wrapText="1"/>
    </xf>
    <xf numFmtId="197" fontId="29" fillId="0" borderId="10" xfId="0" applyNumberFormat="1" applyFont="1" applyFill="1" applyBorder="1" applyAlignment="1">
      <alignment horizontal="center" vertical="center" wrapText="1"/>
    </xf>
    <xf numFmtId="9" fontId="30" fillId="34" borderId="10" xfId="84" applyNumberFormat="1" applyFont="1" applyFill="1" applyBorder="1" applyAlignment="1">
      <alignment horizontal="center" vertical="center" wrapText="1"/>
    </xf>
    <xf numFmtId="3" fontId="30" fillId="34" borderId="10" xfId="0" applyNumberFormat="1" applyFont="1" applyFill="1" applyBorder="1" applyAlignment="1">
      <alignment horizontal="center" vertical="center" wrapText="1"/>
    </xf>
    <xf numFmtId="0" fontId="25" fillId="37" borderId="10" xfId="0" applyFont="1" applyFill="1" applyBorder="1" applyAlignment="1">
      <alignment vertical="center" wrapText="1"/>
    </xf>
    <xf numFmtId="1" fontId="25" fillId="37" borderId="10" xfId="0" applyNumberFormat="1" applyFont="1" applyFill="1" applyBorder="1" applyAlignment="1">
      <alignment horizontal="center" vertical="center" wrapText="1"/>
    </xf>
    <xf numFmtId="3" fontId="31" fillId="37" borderId="10" xfId="0" applyNumberFormat="1" applyFont="1" applyFill="1" applyBorder="1" applyAlignment="1">
      <alignment horizontal="center" vertical="center" wrapText="1"/>
    </xf>
    <xf numFmtId="0" fontId="25" fillId="0" borderId="10" xfId="0" applyFont="1" applyFill="1" applyBorder="1" applyAlignment="1">
      <alignment vertical="center" wrapText="1"/>
    </xf>
    <xf numFmtId="197" fontId="25" fillId="0" borderId="10" xfId="0" applyNumberFormat="1" applyFont="1" applyFill="1" applyBorder="1" applyAlignment="1">
      <alignment horizontal="center" vertical="center" wrapText="1"/>
    </xf>
    <xf numFmtId="3" fontId="25" fillId="0" borderId="10" xfId="0" applyNumberFormat="1" applyFont="1" applyFill="1" applyBorder="1" applyAlignment="1">
      <alignment horizontal="center" vertical="center" wrapText="1"/>
    </xf>
    <xf numFmtId="9" fontId="25" fillId="0" borderId="10" xfId="0" applyNumberFormat="1"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3" fontId="31" fillId="0" borderId="10" xfId="0" applyNumberFormat="1" applyFont="1" applyFill="1" applyBorder="1" applyAlignment="1">
      <alignment horizontal="center" vertical="center" wrapText="1"/>
    </xf>
    <xf numFmtId="199" fontId="5" fillId="0" borderId="20" xfId="0" applyNumberFormat="1" applyFont="1" applyFill="1" applyBorder="1" applyAlignment="1">
      <alignment horizontal="center" vertical="center" wrapText="1"/>
    </xf>
    <xf numFmtId="9" fontId="5" fillId="0" borderId="19" xfId="0" applyNumberFormat="1" applyFont="1" applyFill="1" applyBorder="1" applyAlignment="1">
      <alignment horizontal="center" vertical="center" wrapText="1"/>
    </xf>
    <xf numFmtId="199" fontId="5" fillId="0" borderId="10" xfId="0" applyNumberFormat="1" applyFont="1" applyFill="1" applyBorder="1" applyAlignment="1">
      <alignment horizontal="center" vertical="center" wrapText="1"/>
    </xf>
    <xf numFmtId="0" fontId="25" fillId="37" borderId="10" xfId="66" applyFont="1" applyFill="1" applyBorder="1" applyAlignment="1">
      <alignment horizontal="center" vertical="center" wrapText="1"/>
      <protection/>
    </xf>
    <xf numFmtId="200" fontId="5" fillId="0" borderId="10" xfId="0" applyNumberFormat="1" applyFont="1" applyFill="1" applyBorder="1" applyAlignment="1">
      <alignment horizontal="center" vertical="center" wrapText="1"/>
    </xf>
    <xf numFmtId="0" fontId="25" fillId="0" borderId="10" xfId="61" applyFont="1" applyFill="1" applyBorder="1" applyAlignment="1">
      <alignment horizontal="center" vertical="center" wrapText="1"/>
      <protection/>
    </xf>
    <xf numFmtId="5" fontId="25" fillId="0" borderId="10" xfId="0" applyNumberFormat="1" applyFont="1" applyFill="1" applyBorder="1" applyAlignment="1">
      <alignment horizontal="center" vertical="center" wrapText="1"/>
    </xf>
    <xf numFmtId="5" fontId="25" fillId="0" borderId="20" xfId="51" applyNumberFormat="1" applyFont="1" applyFill="1" applyBorder="1" applyAlignment="1">
      <alignment horizontal="center" vertical="center" wrapText="1"/>
    </xf>
    <xf numFmtId="0" fontId="32" fillId="0" borderId="10" xfId="61" applyFont="1" applyFill="1" applyBorder="1" applyAlignment="1">
      <alignment horizontal="center" vertical="center" wrapText="1"/>
      <protection/>
    </xf>
    <xf numFmtId="0" fontId="25" fillId="0" borderId="10" xfId="61" applyNumberFormat="1" applyFont="1" applyFill="1" applyBorder="1" applyAlignment="1">
      <alignment horizontal="center" vertical="center" wrapText="1"/>
      <protection/>
    </xf>
    <xf numFmtId="0" fontId="25" fillId="0" borderId="20" xfId="61" applyFont="1" applyFill="1" applyBorder="1" applyAlignment="1">
      <alignment horizontal="center" vertical="center" wrapText="1"/>
      <protection/>
    </xf>
    <xf numFmtId="1" fontId="32" fillId="0" borderId="10" xfId="84" applyNumberFormat="1" applyFont="1" applyFill="1" applyBorder="1" applyAlignment="1">
      <alignment horizontal="center" vertical="center" wrapText="1"/>
    </xf>
    <xf numFmtId="0" fontId="25" fillId="34" borderId="10" xfId="81" applyFont="1" applyFill="1" applyBorder="1" applyAlignment="1">
      <alignment horizontal="center" vertical="center" wrapText="1"/>
      <protection/>
    </xf>
    <xf numFmtId="0" fontId="25" fillId="34" borderId="20" xfId="61" applyFont="1" applyFill="1" applyBorder="1" applyAlignment="1">
      <alignment horizontal="center" vertical="center" wrapText="1"/>
      <protection/>
    </xf>
    <xf numFmtId="199" fontId="25" fillId="0" borderId="10" xfId="62" applyNumberFormat="1" applyFont="1" applyFill="1" applyBorder="1" applyAlignment="1">
      <alignment horizontal="center" vertical="center" wrapText="1"/>
      <protection/>
    </xf>
    <xf numFmtId="0" fontId="25" fillId="0" borderId="10" xfId="65" applyFont="1" applyFill="1" applyBorder="1" applyAlignment="1">
      <alignment horizontal="center" vertical="center" wrapText="1"/>
      <protection/>
    </xf>
    <xf numFmtId="5" fontId="25" fillId="0" borderId="10" xfId="51" applyNumberFormat="1" applyFont="1" applyFill="1" applyBorder="1" applyAlignment="1">
      <alignment horizontal="center" vertical="center" wrapText="1"/>
    </xf>
    <xf numFmtId="196" fontId="25" fillId="37" borderId="23" xfId="66" applyNumberFormat="1" applyFont="1" applyFill="1" applyBorder="1" applyAlignment="1">
      <alignment vertical="center" wrapText="1"/>
      <protection/>
    </xf>
    <xf numFmtId="0" fontId="25" fillId="37" borderId="19" xfId="66" applyFont="1" applyFill="1" applyBorder="1" applyAlignment="1">
      <alignment horizontal="center" vertical="center" wrapText="1"/>
      <protection/>
    </xf>
    <xf numFmtId="196" fontId="25" fillId="37" borderId="19" xfId="66" applyNumberFormat="1" applyFont="1" applyFill="1" applyBorder="1" applyAlignment="1">
      <alignment vertical="center" wrapText="1"/>
      <protection/>
    </xf>
    <xf numFmtId="3" fontId="25" fillId="37" borderId="10" xfId="66" applyNumberFormat="1" applyFont="1" applyFill="1" applyBorder="1" applyAlignment="1">
      <alignment horizontal="center" vertical="center" wrapText="1"/>
      <protection/>
    </xf>
    <xf numFmtId="0" fontId="25" fillId="0" borderId="20" xfId="0" applyFont="1" applyFill="1" applyBorder="1" applyAlignment="1">
      <alignment vertical="center" wrapText="1"/>
    </xf>
    <xf numFmtId="3" fontId="25" fillId="0" borderId="20" xfId="0" applyNumberFormat="1" applyFont="1" applyFill="1" applyBorder="1" applyAlignment="1">
      <alignment vertical="center" wrapText="1"/>
    </xf>
    <xf numFmtId="3" fontId="25" fillId="0" borderId="10" xfId="0" applyNumberFormat="1" applyFont="1" applyFill="1" applyBorder="1" applyAlignment="1">
      <alignment vertical="center" wrapText="1"/>
    </xf>
    <xf numFmtId="3" fontId="19" fillId="33" borderId="10" xfId="0" applyNumberFormat="1" applyFont="1" applyFill="1" applyBorder="1" applyAlignment="1">
      <alignment horizontal="center" vertical="center" wrapText="1"/>
    </xf>
    <xf numFmtId="1" fontId="5" fillId="33" borderId="10" xfId="0" applyNumberFormat="1"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20" fillId="0" borderId="2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3" xfId="0" applyFont="1" applyFill="1" applyBorder="1" applyAlignment="1">
      <alignment horizontal="center" vertical="center" wrapText="1"/>
    </xf>
    <xf numFmtId="0" fontId="5" fillId="0" borderId="23" xfId="53"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3" fontId="5" fillId="0" borderId="22" xfId="0" applyNumberFormat="1" applyFont="1" applyFill="1" applyBorder="1" applyAlignment="1">
      <alignment horizontal="center" vertical="center" wrapText="1"/>
    </xf>
    <xf numFmtId="3" fontId="5" fillId="37" borderId="14" xfId="0" applyNumberFormat="1" applyFont="1" applyFill="1" applyBorder="1" applyAlignment="1">
      <alignment horizontal="center" vertical="center" wrapText="1"/>
    </xf>
    <xf numFmtId="41" fontId="20" fillId="0" borderId="0" xfId="50" applyFont="1" applyAlignment="1">
      <alignment horizontal="center" vertical="center" wrapText="1"/>
    </xf>
    <xf numFmtId="4" fontId="20" fillId="37" borderId="10" xfId="0" applyNumberFormat="1" applyFont="1" applyFill="1" applyBorder="1" applyAlignment="1">
      <alignment horizontal="center" vertical="center" wrapText="1"/>
    </xf>
    <xf numFmtId="4" fontId="5" fillId="37" borderId="14" xfId="0" applyNumberFormat="1" applyFont="1" applyFill="1" applyBorder="1" applyAlignment="1">
      <alignment horizontal="center" vertical="center" wrapText="1"/>
    </xf>
    <xf numFmtId="41" fontId="5" fillId="0" borderId="10" xfId="50" applyFont="1" applyFill="1" applyBorder="1" applyAlignment="1">
      <alignment horizontal="center" vertical="center" wrapText="1"/>
    </xf>
    <xf numFmtId="41" fontId="5" fillId="0" borderId="10" xfId="50" applyFont="1" applyFill="1" applyBorder="1" applyAlignment="1" applyProtection="1">
      <alignment horizontal="center" vertical="center" wrapText="1"/>
      <protection locked="0"/>
    </xf>
    <xf numFmtId="41" fontId="20" fillId="0" borderId="0" xfId="0" applyNumberFormat="1" applyFont="1" applyAlignment="1">
      <alignment horizontal="center" vertical="center" wrapText="1"/>
    </xf>
    <xf numFmtId="0" fontId="20" fillId="0" borderId="0" xfId="0" applyFont="1" applyFill="1" applyAlignment="1">
      <alignment horizontal="center" vertical="center" wrapText="1"/>
    </xf>
    <xf numFmtId="41" fontId="38" fillId="0" borderId="0" xfId="0" applyNumberFormat="1" applyFont="1" applyAlignment="1">
      <alignment horizontal="center" vertical="center" wrapText="1"/>
    </xf>
    <xf numFmtId="49" fontId="5" fillId="35" borderId="10" xfId="0" applyNumberFormat="1" applyFont="1" applyFill="1" applyBorder="1" applyAlignment="1">
      <alignment horizontal="center" vertical="center" wrapText="1"/>
    </xf>
    <xf numFmtId="9" fontId="5" fillId="35" borderId="10" xfId="0" applyNumberFormat="1" applyFont="1" applyFill="1" applyBorder="1" applyAlignment="1">
      <alignment horizontal="center" vertical="center" wrapText="1"/>
    </xf>
    <xf numFmtId="0" fontId="0" fillId="35" borderId="0" xfId="0" applyFill="1" applyAlignment="1">
      <alignment/>
    </xf>
    <xf numFmtId="0" fontId="0" fillId="0" borderId="0" xfId="0" applyBorder="1" applyAlignment="1">
      <alignment/>
    </xf>
    <xf numFmtId="0" fontId="33" fillId="0" borderId="0" xfId="0" applyFont="1" applyAlignment="1">
      <alignment horizontal="center" vertical="center"/>
    </xf>
    <xf numFmtId="3" fontId="5" fillId="0" borderId="10" xfId="50" applyNumberFormat="1" applyFont="1" applyFill="1" applyBorder="1" applyAlignment="1">
      <alignment horizontal="center" vertical="center" wrapText="1"/>
    </xf>
    <xf numFmtId="0" fontId="5" fillId="0" borderId="10" xfId="50" applyNumberFormat="1" applyFont="1" applyFill="1" applyBorder="1" applyAlignment="1">
      <alignment horizontal="center" vertical="center" wrapText="1"/>
    </xf>
    <xf numFmtId="0" fontId="33" fillId="0" borderId="10" xfId="0" applyFont="1" applyBorder="1" applyAlignment="1">
      <alignment horizontal="center" vertical="center"/>
    </xf>
    <xf numFmtId="3" fontId="5" fillId="0" borderId="10" xfId="84" applyNumberFormat="1" applyFont="1" applyFill="1" applyBorder="1" applyAlignment="1">
      <alignment horizontal="center" vertical="center"/>
    </xf>
    <xf numFmtId="3" fontId="33" fillId="0" borderId="0" xfId="0" applyNumberFormat="1" applyFont="1" applyAlignment="1">
      <alignment horizontal="center" vertical="center"/>
    </xf>
    <xf numFmtId="3" fontId="39" fillId="0" borderId="0" xfId="0" applyNumberFormat="1" applyFont="1" applyAlignment="1">
      <alignment horizontal="center" vertical="center"/>
    </xf>
    <xf numFmtId="41" fontId="13" fillId="0" borderId="0" xfId="50" applyFont="1" applyAlignment="1">
      <alignment/>
    </xf>
    <xf numFmtId="41" fontId="0" fillId="0" borderId="0" xfId="0" applyNumberFormat="1" applyAlignment="1">
      <alignment/>
    </xf>
    <xf numFmtId="9" fontId="5" fillId="0" borderId="10" xfId="50" applyNumberFormat="1" applyFont="1" applyFill="1" applyBorder="1" applyAlignment="1">
      <alignment horizontal="center" vertical="center" wrapText="1"/>
    </xf>
    <xf numFmtId="0" fontId="0" fillId="37" borderId="0" xfId="0" applyFill="1" applyAlignment="1">
      <alignment/>
    </xf>
    <xf numFmtId="41" fontId="0" fillId="37" borderId="0" xfId="0" applyNumberFormat="1" applyFill="1" applyAlignment="1">
      <alignment/>
    </xf>
    <xf numFmtId="43" fontId="13" fillId="0" borderId="0" xfId="49" applyFont="1" applyAlignment="1">
      <alignment/>
    </xf>
    <xf numFmtId="171" fontId="0" fillId="0" borderId="0" xfId="0" applyNumberFormat="1" applyAlignment="1">
      <alignment/>
    </xf>
    <xf numFmtId="43" fontId="0" fillId="0" borderId="0" xfId="0" applyNumberFormat="1" applyAlignment="1">
      <alignment/>
    </xf>
    <xf numFmtId="4" fontId="5" fillId="0" borderId="10" xfId="0" applyNumberFormat="1" applyFont="1" applyFill="1" applyBorder="1" applyAlignment="1">
      <alignment horizontal="center" vertical="center" wrapText="1"/>
    </xf>
    <xf numFmtId="3" fontId="0" fillId="0" borderId="0" xfId="0" applyNumberFormat="1" applyAlignment="1">
      <alignment/>
    </xf>
    <xf numFmtId="1" fontId="20"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xf>
    <xf numFmtId="9" fontId="33" fillId="0" borderId="10" xfId="0" applyNumberFormat="1" applyFont="1" applyFill="1" applyBorder="1" applyAlignment="1">
      <alignment horizontal="center" vertical="center"/>
    </xf>
    <xf numFmtId="9" fontId="33" fillId="0" borderId="10" xfId="83" applyFont="1" applyFill="1" applyBorder="1" applyAlignment="1">
      <alignment horizontal="center" vertical="center"/>
    </xf>
    <xf numFmtId="1" fontId="5" fillId="0" borderId="10" xfId="0" applyNumberFormat="1" applyFont="1" applyFill="1" applyBorder="1" applyAlignment="1">
      <alignment horizontal="center" vertical="center"/>
    </xf>
    <xf numFmtId="0" fontId="0" fillId="0" borderId="0" xfId="0" applyAlignment="1">
      <alignment horizontal="center"/>
    </xf>
    <xf numFmtId="41" fontId="0" fillId="28" borderId="0" xfId="0" applyNumberFormat="1" applyFill="1" applyAlignment="1">
      <alignment/>
    </xf>
    <xf numFmtId="10" fontId="5" fillId="0" borderId="10" xfId="84" applyNumberFormat="1" applyFont="1" applyFill="1" applyBorder="1" applyAlignment="1">
      <alignment horizontal="center" vertical="center" wrapText="1"/>
    </xf>
    <xf numFmtId="9" fontId="5" fillId="0" borderId="10" xfId="84"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3" fontId="2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3" fontId="5" fillId="0" borderId="10" xfId="0" applyNumberFormat="1" applyFont="1" applyFill="1" applyBorder="1" applyAlignment="1">
      <alignment horizontal="center" vertical="center"/>
    </xf>
    <xf numFmtId="0" fontId="0" fillId="0" borderId="0" xfId="0" applyAlignment="1">
      <alignment horizontal="center" vertical="center"/>
    </xf>
    <xf numFmtId="10" fontId="5" fillId="0" borderId="10" xfId="83" applyNumberFormat="1" applyFont="1" applyFill="1" applyBorder="1" applyAlignment="1">
      <alignment horizontal="center" vertical="center" wrapText="1"/>
    </xf>
    <xf numFmtId="41" fontId="33" fillId="0" borderId="0" xfId="0" applyNumberFormat="1" applyFont="1" applyAlignment="1">
      <alignment horizontal="center" vertical="center"/>
    </xf>
    <xf numFmtId="10" fontId="33" fillId="0" borderId="0" xfId="0" applyNumberFormat="1" applyFont="1" applyAlignment="1">
      <alignment horizontal="center" vertical="center"/>
    </xf>
    <xf numFmtId="0" fontId="33" fillId="0" borderId="0" xfId="0" applyFont="1" applyFill="1" applyAlignment="1">
      <alignment horizontal="center" vertical="center"/>
    </xf>
    <xf numFmtId="3" fontId="39" fillId="0" borderId="0" xfId="0" applyNumberFormat="1" applyFont="1" applyFill="1" applyAlignment="1">
      <alignment horizontal="center" vertical="center"/>
    </xf>
    <xf numFmtId="0" fontId="3" fillId="38" borderId="10" xfId="0" applyFont="1" applyFill="1" applyBorder="1" applyAlignment="1">
      <alignment horizontal="center" vertical="center" wrapText="1"/>
    </xf>
    <xf numFmtId="9" fontId="5" fillId="0" borderId="10" xfId="0" applyNumberFormat="1" applyFont="1" applyBorder="1" applyAlignment="1">
      <alignment horizontal="center" vertical="center" wrapText="1"/>
    </xf>
    <xf numFmtId="3" fontId="5" fillId="35" borderId="10" xfId="55" applyNumberFormat="1" applyFont="1" applyFill="1" applyBorder="1" applyAlignment="1">
      <alignment horizontal="center" vertical="center" wrapText="1"/>
    </xf>
    <xf numFmtId="2" fontId="5" fillId="0" borderId="0" xfId="0" applyNumberFormat="1" applyFont="1" applyAlignment="1">
      <alignment horizontal="center" vertical="center" wrapText="1"/>
    </xf>
    <xf numFmtId="41" fontId="5" fillId="0" borderId="0" xfId="50" applyFont="1" applyAlignment="1">
      <alignment horizontal="center" vertical="center" wrapText="1"/>
    </xf>
    <xf numFmtId="0" fontId="18" fillId="0" borderId="0" xfId="0" applyFont="1" applyFill="1" applyAlignment="1">
      <alignment horizontal="center" vertical="center" wrapText="1"/>
    </xf>
    <xf numFmtId="41" fontId="18" fillId="0" borderId="0" xfId="50" applyFont="1" applyFill="1" applyAlignment="1">
      <alignment horizontal="center" vertical="center" wrapText="1"/>
    </xf>
    <xf numFmtId="41" fontId="5" fillId="0" borderId="0" xfId="0" applyNumberFormat="1" applyFont="1" applyAlignment="1">
      <alignment horizontal="center" vertical="center" wrapText="1"/>
    </xf>
    <xf numFmtId="194" fontId="3" fillId="38" borderId="10" xfId="53" applyNumberFormat="1" applyFont="1" applyFill="1" applyBorder="1" applyAlignment="1">
      <alignment horizontal="center" vertical="center" wrapText="1"/>
    </xf>
    <xf numFmtId="1" fontId="3" fillId="38" borderId="10" xfId="0" applyNumberFormat="1" applyFont="1" applyFill="1" applyBorder="1" applyAlignment="1">
      <alignment horizontal="center" vertical="center" wrapText="1"/>
    </xf>
    <xf numFmtId="3" fontId="4" fillId="38" borderId="10" xfId="0" applyNumberFormat="1" applyFont="1" applyFill="1" applyBorder="1" applyAlignment="1">
      <alignment horizontal="center" vertical="center" wrapText="1"/>
    </xf>
    <xf numFmtId="0" fontId="5" fillId="38" borderId="10" xfId="0" applyFont="1" applyFill="1" applyBorder="1" applyAlignment="1">
      <alignment horizontal="center" vertical="center" wrapText="1"/>
    </xf>
    <xf numFmtId="1" fontId="5" fillId="0" borderId="10" xfId="83" applyNumberFormat="1" applyFont="1" applyFill="1" applyBorder="1" applyAlignment="1">
      <alignment horizontal="center" vertical="center" wrapText="1"/>
    </xf>
    <xf numFmtId="3" fontId="5" fillId="0" borderId="10" xfId="83" applyNumberFormat="1" applyFont="1" applyFill="1" applyBorder="1" applyAlignment="1">
      <alignment horizontal="center" vertical="center" wrapText="1"/>
    </xf>
    <xf numFmtId="3" fontId="5" fillId="0" borderId="10" xfId="49" applyNumberFormat="1" applyFont="1" applyFill="1" applyBorder="1" applyAlignment="1">
      <alignment horizontal="center" vertical="center" wrapText="1"/>
    </xf>
    <xf numFmtId="0" fontId="5" fillId="0" borderId="10" xfId="83" applyNumberFormat="1" applyFont="1" applyFill="1" applyBorder="1" applyAlignment="1">
      <alignment horizontal="center" vertical="center" wrapText="1"/>
    </xf>
    <xf numFmtId="3" fontId="5" fillId="0" borderId="10" xfId="0" applyNumberFormat="1" applyFont="1" applyFill="1" applyBorder="1" applyAlignment="1" applyProtection="1">
      <alignment horizontal="center" vertical="center" wrapText="1"/>
      <protection locked="0"/>
    </xf>
    <xf numFmtId="0" fontId="34" fillId="0" borderId="10" xfId="0" applyFont="1" applyFill="1" applyBorder="1" applyAlignment="1">
      <alignment horizontal="center" vertical="center" wrapText="1"/>
    </xf>
    <xf numFmtId="41" fontId="20" fillId="0" borderId="10" xfId="50" applyFont="1" applyFill="1" applyBorder="1" applyAlignment="1">
      <alignment horizontal="center" vertical="center" wrapText="1"/>
    </xf>
    <xf numFmtId="9" fontId="20" fillId="0" borderId="10" xfId="83"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3" fontId="20" fillId="0" borderId="0" xfId="0" applyNumberFormat="1" applyFont="1" applyAlignment="1">
      <alignment horizontal="center" vertical="center" wrapText="1"/>
    </xf>
    <xf numFmtId="0" fontId="20" fillId="38" borderId="10" xfId="0" applyFont="1" applyFill="1" applyBorder="1" applyAlignment="1">
      <alignment horizontal="center" vertical="center" wrapText="1"/>
    </xf>
    <xf numFmtId="0" fontId="3" fillId="38" borderId="20" xfId="0" applyFont="1" applyFill="1" applyBorder="1" applyAlignment="1">
      <alignment horizontal="center" vertical="center" wrapText="1"/>
    </xf>
    <xf numFmtId="194" fontId="3" fillId="38" borderId="20" xfId="53" applyNumberFormat="1" applyFont="1" applyFill="1" applyBorder="1" applyAlignment="1">
      <alignment horizontal="center" vertical="center" wrapText="1"/>
    </xf>
    <xf numFmtId="1" fontId="3" fillId="38" borderId="2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197" fontId="5" fillId="0" borderId="10" xfId="0" applyNumberFormat="1" applyFont="1" applyFill="1" applyBorder="1" applyAlignment="1">
      <alignment horizontal="center" vertical="center" wrapText="1"/>
    </xf>
    <xf numFmtId="197" fontId="5" fillId="0" borderId="10" xfId="0" applyNumberFormat="1" applyFont="1" applyFill="1" applyBorder="1" applyAlignment="1">
      <alignment horizontal="center" vertical="center"/>
    </xf>
    <xf numFmtId="197" fontId="20" fillId="0" borderId="10"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wrapText="1"/>
    </xf>
    <xf numFmtId="4" fontId="20" fillId="0" borderId="10" xfId="0" applyNumberFormat="1" applyFont="1" applyFill="1" applyBorder="1" applyAlignment="1">
      <alignment horizontal="center" vertical="center"/>
    </xf>
    <xf numFmtId="3" fontId="13" fillId="0" borderId="0" xfId="83" applyNumberFormat="1" applyFont="1" applyAlignment="1">
      <alignment/>
    </xf>
    <xf numFmtId="0" fontId="20" fillId="38" borderId="10" xfId="0"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41" fontId="5" fillId="0" borderId="10" xfId="50" applyFont="1" applyFill="1" applyBorder="1" applyAlignment="1">
      <alignment horizontal="center" vertical="center"/>
    </xf>
    <xf numFmtId="0" fontId="20" fillId="38" borderId="10" xfId="0" applyFont="1" applyFill="1" applyBorder="1" applyAlignment="1">
      <alignment horizontal="center" vertical="center" wrapText="1"/>
    </xf>
    <xf numFmtId="0" fontId="17" fillId="0" borderId="10" xfId="0" applyFont="1" applyBorder="1" applyAlignment="1">
      <alignment horizontal="center" vertical="top" wrapText="1"/>
    </xf>
    <xf numFmtId="0" fontId="17" fillId="0" borderId="10" xfId="0" applyFont="1" applyFill="1" applyBorder="1" applyAlignment="1">
      <alignment horizontal="center" vertical="center" wrapText="1"/>
    </xf>
    <xf numFmtId="10" fontId="17" fillId="0" borderId="10" xfId="83" applyNumberFormat="1" applyFont="1" applyFill="1" applyBorder="1" applyAlignment="1">
      <alignment horizontal="center" vertical="center" wrapText="1"/>
    </xf>
    <xf numFmtId="10" fontId="17"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194" fontId="35" fillId="0" borderId="10" xfId="49" applyNumberFormat="1" applyFont="1" applyFill="1" applyBorder="1" applyAlignment="1">
      <alignment horizontal="center" vertical="center" wrapText="1"/>
    </xf>
    <xf numFmtId="0" fontId="36" fillId="0" borderId="10" xfId="0" applyFont="1" applyFill="1" applyBorder="1" applyAlignment="1">
      <alignment vertical="center" wrapText="1"/>
    </xf>
    <xf numFmtId="0" fontId="36" fillId="0" borderId="10" xfId="0" applyFont="1" applyFill="1" applyBorder="1" applyAlignment="1">
      <alignment horizontal="center" vertical="center" wrapText="1"/>
    </xf>
    <xf numFmtId="0" fontId="5" fillId="0" borderId="10" xfId="0" applyFont="1" applyFill="1" applyBorder="1" applyAlignment="1">
      <alignment/>
    </xf>
    <xf numFmtId="0" fontId="40" fillId="0" borderId="10" xfId="0" applyFont="1" applyFill="1" applyBorder="1" applyAlignment="1">
      <alignment vertical="center" wrapText="1"/>
    </xf>
    <xf numFmtId="0" fontId="35" fillId="0" borderId="10" xfId="0" applyFont="1" applyFill="1" applyBorder="1" applyAlignment="1">
      <alignment horizontal="right" vertical="center" wrapText="1"/>
    </xf>
    <xf numFmtId="3" fontId="35" fillId="0" borderId="10" xfId="0" applyNumberFormat="1" applyFont="1" applyFill="1" applyBorder="1" applyAlignment="1">
      <alignment horizontal="right" vertical="center" wrapText="1"/>
    </xf>
    <xf numFmtId="194" fontId="17" fillId="0" borderId="10" xfId="49" applyNumberFormat="1" applyFont="1" applyFill="1" applyBorder="1" applyAlignment="1">
      <alignment horizontal="right" vertical="center" wrapText="1"/>
    </xf>
    <xf numFmtId="1" fontId="17" fillId="0" borderId="10" xfId="49" applyNumberFormat="1" applyFont="1" applyFill="1" applyBorder="1" applyAlignment="1">
      <alignment horizontal="right" vertical="center" wrapText="1"/>
    </xf>
    <xf numFmtId="0" fontId="35" fillId="0" borderId="10" xfId="0" applyFont="1" applyFill="1" applyBorder="1" applyAlignment="1">
      <alignment horizontal="right" vertical="center"/>
    </xf>
    <xf numFmtId="1" fontId="35" fillId="0" borderId="10" xfId="0" applyNumberFormat="1" applyFont="1" applyFill="1" applyBorder="1" applyAlignment="1">
      <alignment horizontal="right" vertical="center" wrapText="1"/>
    </xf>
    <xf numFmtId="194" fontId="35" fillId="0" borderId="10" xfId="49" applyNumberFormat="1" applyFont="1" applyFill="1" applyBorder="1" applyAlignment="1">
      <alignment horizontal="right" vertical="center" wrapText="1"/>
    </xf>
    <xf numFmtId="1" fontId="35" fillId="0" borderId="10" xfId="83" applyNumberFormat="1" applyFont="1" applyFill="1" applyBorder="1" applyAlignment="1">
      <alignment horizontal="right" vertical="center" wrapText="1"/>
    </xf>
    <xf numFmtId="1" fontId="35" fillId="0" borderId="10" xfId="0" applyNumberFormat="1" applyFont="1" applyFill="1" applyBorder="1" applyAlignment="1">
      <alignment horizontal="right" vertical="center" wrapText="1"/>
    </xf>
    <xf numFmtId="0" fontId="42" fillId="0" borderId="10" xfId="0" applyFont="1" applyFill="1" applyBorder="1" applyAlignment="1">
      <alignment horizontal="right" vertical="center" wrapText="1"/>
    </xf>
    <xf numFmtId="0" fontId="35" fillId="0" borderId="10" xfId="0" applyFont="1" applyFill="1" applyBorder="1" applyAlignment="1">
      <alignment horizontal="right"/>
    </xf>
    <xf numFmtId="3" fontId="17" fillId="0" borderId="10" xfId="49" applyNumberFormat="1" applyFont="1" applyFill="1" applyBorder="1" applyAlignment="1">
      <alignment horizontal="right" vertical="center" wrapText="1"/>
    </xf>
    <xf numFmtId="0" fontId="17" fillId="35" borderId="10" xfId="0" applyFont="1" applyFill="1" applyBorder="1" applyAlignment="1">
      <alignment horizontal="center" vertical="center" wrapText="1"/>
    </xf>
    <xf numFmtId="0" fontId="17" fillId="35" borderId="10" xfId="73" applyFont="1" applyFill="1" applyBorder="1" applyAlignment="1">
      <alignment horizontal="center" vertical="center" wrapText="1"/>
      <protection/>
    </xf>
    <xf numFmtId="0" fontId="17" fillId="35" borderId="10" xfId="66" applyFont="1" applyFill="1" applyBorder="1" applyAlignment="1">
      <alignment horizontal="center" vertical="center" wrapText="1"/>
      <protection/>
    </xf>
    <xf numFmtId="1" fontId="17" fillId="35" borderId="10" xfId="70" applyNumberFormat="1" applyFont="1" applyFill="1" applyBorder="1" applyAlignment="1">
      <alignment horizontal="right" vertical="center" wrapText="1"/>
      <protection/>
    </xf>
    <xf numFmtId="3" fontId="17" fillId="35" borderId="10" xfId="70" applyNumberFormat="1" applyFont="1" applyFill="1" applyBorder="1" applyAlignment="1">
      <alignment horizontal="right" vertical="center" wrapText="1"/>
      <protection/>
    </xf>
    <xf numFmtId="3" fontId="4" fillId="35" borderId="10" xfId="70" applyNumberFormat="1" applyFont="1" applyFill="1" applyBorder="1" applyAlignment="1">
      <alignment horizontal="right" vertical="center" wrapText="1"/>
      <protection/>
    </xf>
    <xf numFmtId="9" fontId="17" fillId="35" borderId="10" xfId="73" applyNumberFormat="1" applyFont="1" applyFill="1" applyBorder="1" applyAlignment="1">
      <alignment horizontal="center" vertical="center" wrapText="1"/>
      <protection/>
    </xf>
    <xf numFmtId="9" fontId="17" fillId="35" borderId="10" xfId="70" applyNumberFormat="1" applyFont="1" applyFill="1" applyBorder="1" applyAlignment="1">
      <alignment horizontal="right" vertical="center" wrapText="1"/>
      <protection/>
    </xf>
    <xf numFmtId="49" fontId="17" fillId="35" borderId="10" xfId="73" applyNumberFormat="1" applyFont="1" applyFill="1" applyBorder="1" applyAlignment="1">
      <alignment horizontal="center" vertical="center" wrapText="1"/>
      <protection/>
    </xf>
    <xf numFmtId="1" fontId="17" fillId="35" borderId="10" xfId="74" applyNumberFormat="1" applyFont="1" applyFill="1" applyBorder="1" applyAlignment="1">
      <alignment horizontal="right" vertical="center" wrapText="1"/>
      <protection/>
    </xf>
    <xf numFmtId="9" fontId="17" fillId="35" borderId="10" xfId="74" applyNumberFormat="1" applyFont="1" applyFill="1" applyBorder="1" applyAlignment="1">
      <alignment horizontal="right" vertical="center" wrapText="1"/>
      <protection/>
    </xf>
    <xf numFmtId="3" fontId="4" fillId="35" borderId="10" xfId="74" applyNumberFormat="1" applyFont="1" applyFill="1" applyBorder="1" applyAlignment="1">
      <alignment horizontal="right" vertical="center" wrapText="1"/>
      <protection/>
    </xf>
    <xf numFmtId="3" fontId="17" fillId="35" borderId="10" xfId="74" applyNumberFormat="1" applyFont="1" applyFill="1" applyBorder="1" applyAlignment="1">
      <alignment horizontal="right" vertical="center" wrapText="1"/>
      <protection/>
    </xf>
    <xf numFmtId="3" fontId="17" fillId="35" borderId="10" xfId="0" applyNumberFormat="1" applyFont="1" applyFill="1" applyBorder="1" applyAlignment="1">
      <alignment horizontal="center" vertical="center" wrapText="1"/>
    </xf>
    <xf numFmtId="3" fontId="17" fillId="35" borderId="10" xfId="0" applyNumberFormat="1" applyFont="1" applyFill="1" applyBorder="1" applyAlignment="1">
      <alignment horizontal="right" vertical="center" wrapText="1"/>
    </xf>
    <xf numFmtId="9" fontId="17" fillId="35"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17" fillId="0" borderId="10" xfId="0" applyNumberFormat="1" applyFont="1" applyFill="1" applyBorder="1" applyAlignment="1">
      <alignment horizontal="right" vertical="center" wrapText="1"/>
    </xf>
    <xf numFmtId="197" fontId="17" fillId="35" borderId="10" xfId="0" applyNumberFormat="1" applyFont="1" applyFill="1" applyBorder="1" applyAlignment="1">
      <alignment horizontal="center" vertical="center" wrapText="1"/>
    </xf>
    <xf numFmtId="9" fontId="17" fillId="35" borderId="10" xfId="84" applyFont="1" applyFill="1" applyBorder="1" applyAlignment="1">
      <alignment horizontal="center" vertical="center" wrapText="1"/>
    </xf>
    <xf numFmtId="9" fontId="17" fillId="35" borderId="10" xfId="84" applyFont="1" applyFill="1" applyBorder="1" applyAlignment="1">
      <alignment horizontal="right" vertical="center" wrapText="1"/>
    </xf>
    <xf numFmtId="3" fontId="4" fillId="35" borderId="10" xfId="0" applyNumberFormat="1" applyFont="1" applyFill="1" applyBorder="1" applyAlignment="1">
      <alignment horizontal="right" vertical="center" wrapText="1"/>
    </xf>
    <xf numFmtId="3" fontId="17" fillId="0" borderId="10" xfId="75" applyNumberFormat="1" applyFont="1" applyFill="1" applyBorder="1" applyAlignment="1">
      <alignment horizontal="center" vertical="center" wrapText="1"/>
      <protection/>
    </xf>
    <xf numFmtId="0" fontId="17" fillId="0" borderId="10" xfId="75" applyFont="1" applyFill="1" applyBorder="1" applyAlignment="1">
      <alignment horizontal="center" vertical="center" wrapText="1"/>
      <protection/>
    </xf>
    <xf numFmtId="0" fontId="17" fillId="0" borderId="10" xfId="75" applyFont="1" applyFill="1" applyBorder="1" applyAlignment="1">
      <alignment horizontal="right" vertical="center"/>
      <protection/>
    </xf>
    <xf numFmtId="9" fontId="17" fillId="0" borderId="10" xfId="75" applyNumberFormat="1" applyFont="1" applyFill="1" applyBorder="1" applyAlignment="1">
      <alignment horizontal="right" vertical="center" wrapText="1"/>
      <protection/>
    </xf>
    <xf numFmtId="3" fontId="17" fillId="0" borderId="10" xfId="75" applyNumberFormat="1" applyFont="1" applyFill="1" applyBorder="1" applyAlignment="1">
      <alignment horizontal="right" vertical="center" wrapText="1"/>
      <protection/>
    </xf>
    <xf numFmtId="3" fontId="4" fillId="0" borderId="10" xfId="75" applyNumberFormat="1" applyFont="1" applyFill="1" applyBorder="1" applyAlignment="1">
      <alignment horizontal="right" vertical="center" wrapText="1"/>
      <protection/>
    </xf>
    <xf numFmtId="3" fontId="17" fillId="0" borderId="10" xfId="59" applyNumberFormat="1" applyFont="1" applyFill="1" applyBorder="1" applyAlignment="1">
      <alignment horizontal="right" vertical="center"/>
    </xf>
    <xf numFmtId="3" fontId="17" fillId="0" borderId="10" xfId="0" applyNumberFormat="1" applyFont="1" applyFill="1" applyBorder="1" applyAlignment="1">
      <alignment horizontal="center" vertical="center" wrapText="1"/>
    </xf>
    <xf numFmtId="1" fontId="17" fillId="0" borderId="10" xfId="75" applyNumberFormat="1" applyFont="1" applyFill="1" applyBorder="1" applyAlignment="1">
      <alignment horizontal="right" vertical="center" wrapText="1"/>
      <protection/>
    </xf>
    <xf numFmtId="3" fontId="17" fillId="0" borderId="10" xfId="58" applyNumberFormat="1" applyFont="1" applyFill="1" applyBorder="1" applyAlignment="1">
      <alignment horizontal="right" vertical="center"/>
    </xf>
    <xf numFmtId="9" fontId="17" fillId="0" borderId="10" xfId="66" applyNumberFormat="1" applyFont="1" applyFill="1" applyBorder="1" applyAlignment="1">
      <alignment horizontal="center" vertical="center" wrapText="1"/>
      <protection/>
    </xf>
    <xf numFmtId="0" fontId="17" fillId="0" borderId="10" xfId="66" applyFont="1" applyFill="1" applyBorder="1" applyAlignment="1">
      <alignment horizontal="center" vertical="center" wrapText="1"/>
      <protection/>
    </xf>
    <xf numFmtId="3" fontId="4" fillId="0" borderId="10" xfId="52" applyNumberFormat="1" applyFont="1" applyFill="1" applyBorder="1" applyAlignment="1">
      <alignment horizontal="right" vertical="center" wrapText="1"/>
    </xf>
    <xf numFmtId="196" fontId="17" fillId="0" borderId="10" xfId="0" applyNumberFormat="1" applyFont="1" applyFill="1" applyBorder="1" applyAlignment="1">
      <alignment horizontal="center" vertical="center" wrapText="1"/>
    </xf>
    <xf numFmtId="1" fontId="17" fillId="0" borderId="10" xfId="75" applyNumberFormat="1" applyFont="1" applyFill="1" applyBorder="1" applyAlignment="1">
      <alignment horizontal="right" vertical="center"/>
      <protection/>
    </xf>
    <xf numFmtId="196" fontId="17" fillId="0" borderId="10" xfId="75" applyNumberFormat="1" applyFont="1" applyFill="1" applyBorder="1" applyAlignment="1">
      <alignment horizontal="center" vertical="center" wrapText="1"/>
      <protection/>
    </xf>
    <xf numFmtId="9" fontId="17" fillId="35" borderId="10" xfId="77" applyNumberFormat="1" applyFont="1" applyFill="1" applyBorder="1" applyAlignment="1">
      <alignment horizontal="center" vertical="center" wrapText="1"/>
      <protection/>
    </xf>
    <xf numFmtId="0" fontId="17" fillId="35" borderId="10" xfId="77" applyFont="1" applyFill="1" applyBorder="1" applyAlignment="1">
      <alignment horizontal="center" vertical="center" wrapText="1"/>
      <protection/>
    </xf>
    <xf numFmtId="3" fontId="17" fillId="35" borderId="10" xfId="77" applyNumberFormat="1" applyFont="1" applyFill="1" applyBorder="1" applyAlignment="1">
      <alignment horizontal="right" vertical="center" wrapText="1"/>
      <protection/>
    </xf>
    <xf numFmtId="9" fontId="17" fillId="35" borderId="10" xfId="84" applyNumberFormat="1" applyFont="1" applyFill="1" applyBorder="1" applyAlignment="1">
      <alignment horizontal="right" vertical="center" wrapText="1"/>
    </xf>
    <xf numFmtId="3" fontId="4" fillId="0" borderId="10" xfId="77" applyNumberFormat="1" applyFont="1" applyFill="1" applyBorder="1" applyAlignment="1">
      <alignment horizontal="right" vertical="center" wrapText="1"/>
      <protection/>
    </xf>
    <xf numFmtId="3" fontId="17" fillId="0" borderId="10" xfId="77" applyNumberFormat="1" applyFont="1" applyFill="1" applyBorder="1" applyAlignment="1">
      <alignment horizontal="right" vertical="center" wrapText="1"/>
      <protection/>
    </xf>
    <xf numFmtId="3" fontId="17" fillId="35" borderId="10" xfId="77" applyNumberFormat="1" applyFont="1" applyFill="1" applyBorder="1" applyAlignment="1">
      <alignment horizontal="center" vertical="center" wrapText="1"/>
      <protection/>
    </xf>
    <xf numFmtId="9" fontId="17" fillId="35" borderId="10" xfId="77" applyNumberFormat="1" applyFont="1" applyFill="1" applyBorder="1" applyAlignment="1">
      <alignment horizontal="right" vertical="center" wrapText="1"/>
      <protection/>
    </xf>
    <xf numFmtId="3" fontId="17" fillId="0" borderId="10" xfId="77" applyNumberFormat="1" applyFont="1" applyFill="1" applyBorder="1" applyAlignment="1">
      <alignment horizontal="center" vertical="center" wrapText="1"/>
      <protection/>
    </xf>
    <xf numFmtId="0" fontId="17" fillId="0" borderId="10" xfId="77" applyFont="1" applyFill="1" applyBorder="1" applyAlignment="1">
      <alignment horizontal="center" vertical="center" wrapText="1"/>
      <protection/>
    </xf>
    <xf numFmtId="9" fontId="17" fillId="0" borderId="10" xfId="77" applyNumberFormat="1" applyFont="1" applyFill="1" applyBorder="1" applyAlignment="1">
      <alignment horizontal="right" vertical="center" wrapText="1"/>
      <protection/>
    </xf>
    <xf numFmtId="9" fontId="17" fillId="35" borderId="10" xfId="78" applyNumberFormat="1" applyFont="1" applyFill="1" applyBorder="1" applyAlignment="1">
      <alignment horizontal="right" vertical="center" wrapText="1"/>
      <protection/>
    </xf>
    <xf numFmtId="3" fontId="17" fillId="35" borderId="10" xfId="78" applyNumberFormat="1" applyFont="1" applyFill="1" applyBorder="1" applyAlignment="1">
      <alignment horizontal="right" vertical="center" wrapText="1"/>
      <protection/>
    </xf>
    <xf numFmtId="3" fontId="4" fillId="35" borderId="10" xfId="78" applyNumberFormat="1" applyFont="1" applyFill="1" applyBorder="1" applyAlignment="1">
      <alignment horizontal="right" vertical="center" wrapText="1"/>
      <protection/>
    </xf>
    <xf numFmtId="3" fontId="17" fillId="35" borderId="10" xfId="79" applyNumberFormat="1" applyFont="1" applyFill="1" applyBorder="1" applyAlignment="1">
      <alignment horizontal="center" vertical="center" wrapText="1"/>
      <protection/>
    </xf>
    <xf numFmtId="0" fontId="17" fillId="35" borderId="10" xfId="79" applyFont="1" applyFill="1" applyBorder="1" applyAlignment="1">
      <alignment horizontal="center" vertical="center" wrapText="1"/>
      <protection/>
    </xf>
    <xf numFmtId="3" fontId="17" fillId="35" borderId="10" xfId="79" applyNumberFormat="1" applyFont="1" applyFill="1" applyBorder="1" applyAlignment="1">
      <alignment horizontal="right" vertical="center" wrapText="1"/>
      <protection/>
    </xf>
    <xf numFmtId="9" fontId="17" fillId="35" borderId="10" xfId="79" applyNumberFormat="1" applyFont="1" applyFill="1" applyBorder="1" applyAlignment="1">
      <alignment horizontal="right" vertical="center" wrapText="1"/>
      <protection/>
    </xf>
    <xf numFmtId="3" fontId="4" fillId="35" borderId="10" xfId="79" applyNumberFormat="1" applyFont="1" applyFill="1" applyBorder="1" applyAlignment="1">
      <alignment horizontal="right" vertical="center" wrapText="1"/>
      <protection/>
    </xf>
    <xf numFmtId="49" fontId="17" fillId="35" borderId="10" xfId="79" applyNumberFormat="1" applyFont="1" applyFill="1" applyBorder="1" applyAlignment="1">
      <alignment horizontal="center" vertical="center" wrapText="1"/>
      <protection/>
    </xf>
    <xf numFmtId="1" fontId="17" fillId="35" borderId="10" xfId="79" applyNumberFormat="1" applyFont="1" applyFill="1" applyBorder="1" applyAlignment="1">
      <alignment horizontal="right" vertical="center" wrapText="1"/>
      <protection/>
    </xf>
    <xf numFmtId="199" fontId="17" fillId="35" borderId="10" xfId="0" applyNumberFormat="1" applyFont="1" applyFill="1" applyBorder="1" applyAlignment="1">
      <alignment horizontal="center" vertical="center" wrapText="1"/>
    </xf>
    <xf numFmtId="9" fontId="17" fillId="35" borderId="10" xfId="66" applyNumberFormat="1" applyFont="1" applyFill="1" applyBorder="1" applyAlignment="1">
      <alignment horizontal="center" vertical="center" wrapText="1"/>
      <protection/>
    </xf>
    <xf numFmtId="1" fontId="17" fillId="35" borderId="10" xfId="0" applyNumberFormat="1" applyFont="1" applyFill="1" applyBorder="1" applyAlignment="1">
      <alignment horizontal="right" vertical="center" wrapText="1"/>
    </xf>
    <xf numFmtId="0" fontId="17" fillId="35" borderId="10" xfId="80" applyFont="1" applyFill="1" applyBorder="1" applyAlignment="1">
      <alignment horizontal="center" vertical="center" wrapText="1"/>
      <protection/>
    </xf>
    <xf numFmtId="3" fontId="17" fillId="35" borderId="10" xfId="80" applyNumberFormat="1" applyFont="1" applyFill="1" applyBorder="1" applyAlignment="1">
      <alignment horizontal="center" vertical="center" wrapText="1"/>
      <protection/>
    </xf>
    <xf numFmtId="3" fontId="17" fillId="35" borderId="10" xfId="80" applyNumberFormat="1" applyFont="1" applyFill="1" applyBorder="1" applyAlignment="1">
      <alignment horizontal="right" vertical="center" wrapText="1"/>
      <protection/>
    </xf>
    <xf numFmtId="9" fontId="17" fillId="35" borderId="10" xfId="80" applyNumberFormat="1" applyFont="1" applyFill="1" applyBorder="1" applyAlignment="1">
      <alignment horizontal="right" vertical="center" wrapText="1"/>
      <protection/>
    </xf>
    <xf numFmtId="1" fontId="17" fillId="35" borderId="10" xfId="80" applyNumberFormat="1" applyFont="1" applyFill="1" applyBorder="1" applyAlignment="1">
      <alignment horizontal="right" vertical="center" wrapText="1"/>
      <protection/>
    </xf>
    <xf numFmtId="9" fontId="17" fillId="35" borderId="10" xfId="80" applyNumberFormat="1" applyFont="1" applyFill="1" applyBorder="1" applyAlignment="1">
      <alignment horizontal="center" vertical="center" wrapText="1"/>
      <protection/>
    </xf>
    <xf numFmtId="49" fontId="17" fillId="35" borderId="10" xfId="80" applyNumberFormat="1" applyFont="1" applyFill="1" applyBorder="1" applyAlignment="1">
      <alignment horizontal="center" vertical="center" wrapText="1"/>
      <protection/>
    </xf>
    <xf numFmtId="200" fontId="17" fillId="35" borderId="10" xfId="80" applyNumberFormat="1" applyFont="1" applyFill="1" applyBorder="1" applyAlignment="1">
      <alignment horizontal="right" vertical="center" wrapText="1"/>
      <protection/>
    </xf>
    <xf numFmtId="200" fontId="17" fillId="35" borderId="10" xfId="80" applyNumberFormat="1" applyFont="1" applyFill="1" applyBorder="1" applyAlignment="1">
      <alignment horizontal="center" vertical="center" wrapText="1"/>
      <protection/>
    </xf>
    <xf numFmtId="197" fontId="17" fillId="0" borderId="10" xfId="0" applyNumberFormat="1" applyFont="1" applyFill="1" applyBorder="1" applyAlignment="1">
      <alignment horizontal="center" vertical="center" wrapText="1"/>
    </xf>
    <xf numFmtId="199" fontId="17" fillId="35" borderId="10" xfId="63" applyNumberFormat="1" applyFont="1" applyFill="1" applyBorder="1" applyAlignment="1">
      <alignment horizontal="center" vertical="center" wrapText="1"/>
      <protection/>
    </xf>
    <xf numFmtId="49" fontId="17" fillId="35" borderId="10" xfId="63" applyNumberFormat="1" applyFont="1" applyFill="1" applyBorder="1" applyAlignment="1">
      <alignment horizontal="center" vertical="center" wrapText="1"/>
      <protection/>
    </xf>
    <xf numFmtId="1" fontId="17" fillId="35" borderId="10" xfId="63" applyNumberFormat="1" applyFont="1" applyFill="1" applyBorder="1" applyAlignment="1">
      <alignment horizontal="right" vertical="center" wrapText="1"/>
      <protection/>
    </xf>
    <xf numFmtId="3" fontId="4" fillId="35" borderId="10" xfId="63" applyNumberFormat="1" applyFont="1" applyFill="1" applyBorder="1" applyAlignment="1">
      <alignment horizontal="right" vertical="center" wrapText="1"/>
      <protection/>
    </xf>
    <xf numFmtId="3" fontId="17" fillId="35" borderId="10" xfId="63" applyNumberFormat="1" applyFont="1" applyFill="1" applyBorder="1" applyAlignment="1">
      <alignment horizontal="right" vertical="center" wrapText="1"/>
      <protection/>
    </xf>
    <xf numFmtId="0" fontId="17" fillId="35" borderId="10" xfId="63" applyFont="1" applyFill="1" applyBorder="1" applyAlignment="1">
      <alignment horizontal="center" vertical="center" wrapText="1"/>
      <protection/>
    </xf>
    <xf numFmtId="9" fontId="17" fillId="35" borderId="10" xfId="63" applyNumberFormat="1" applyFont="1" applyFill="1" applyBorder="1" applyAlignment="1">
      <alignment horizontal="right" vertical="center" wrapText="1"/>
      <protection/>
    </xf>
    <xf numFmtId="200" fontId="17" fillId="35" borderId="10" xfId="63" applyNumberFormat="1" applyFont="1" applyFill="1" applyBorder="1" applyAlignment="1">
      <alignment horizontal="center" vertical="center" wrapText="1"/>
      <protection/>
    </xf>
    <xf numFmtId="200" fontId="17" fillId="35" borderId="10" xfId="63" applyNumberFormat="1" applyFont="1" applyFill="1" applyBorder="1" applyAlignment="1">
      <alignment horizontal="right" vertical="center" wrapText="1"/>
      <protection/>
    </xf>
    <xf numFmtId="3" fontId="17" fillId="35" borderId="10" xfId="63" applyNumberFormat="1" applyFont="1" applyFill="1" applyBorder="1" applyAlignment="1">
      <alignment horizontal="center" vertical="center" wrapText="1"/>
      <protection/>
    </xf>
    <xf numFmtId="199" fontId="17" fillId="35" borderId="10" xfId="63" applyNumberFormat="1" applyFont="1" applyFill="1" applyBorder="1" applyAlignment="1">
      <alignment horizontal="right" vertical="center" wrapText="1"/>
      <protection/>
    </xf>
    <xf numFmtId="49" fontId="17" fillId="35" borderId="10" xfId="0" applyNumberFormat="1" applyFont="1" applyFill="1" applyBorder="1" applyAlignment="1">
      <alignment horizontal="center" vertical="center" wrapText="1"/>
    </xf>
    <xf numFmtId="3" fontId="17" fillId="35" borderId="10" xfId="64" applyNumberFormat="1" applyFont="1" applyFill="1" applyBorder="1" applyAlignment="1">
      <alignment horizontal="center" vertical="center" wrapText="1"/>
      <protection/>
    </xf>
    <xf numFmtId="199" fontId="17" fillId="35" borderId="10" xfId="64" applyNumberFormat="1" applyFont="1" applyFill="1" applyBorder="1" applyAlignment="1">
      <alignment horizontal="center" vertical="center" wrapText="1"/>
      <protection/>
    </xf>
    <xf numFmtId="49" fontId="17" fillId="35" borderId="10" xfId="64" applyNumberFormat="1" applyFont="1" applyFill="1" applyBorder="1" applyAlignment="1">
      <alignment horizontal="center" vertical="center" wrapText="1"/>
      <protection/>
    </xf>
    <xf numFmtId="1" fontId="17" fillId="35" borderId="10" xfId="64" applyNumberFormat="1" applyFont="1" applyFill="1" applyBorder="1" applyAlignment="1">
      <alignment horizontal="right" vertical="center" wrapText="1"/>
      <protection/>
    </xf>
    <xf numFmtId="3" fontId="4" fillId="35" borderId="10" xfId="64" applyNumberFormat="1" applyFont="1" applyFill="1" applyBorder="1" applyAlignment="1">
      <alignment horizontal="right" vertical="center" wrapText="1"/>
      <protection/>
    </xf>
    <xf numFmtId="3" fontId="17" fillId="35" borderId="10" xfId="64" applyNumberFormat="1" applyFont="1" applyFill="1" applyBorder="1" applyAlignment="1">
      <alignment horizontal="right" vertical="center" wrapText="1"/>
      <protection/>
    </xf>
    <xf numFmtId="199" fontId="17" fillId="35" borderId="10" xfId="64" applyNumberFormat="1" applyFont="1" applyFill="1" applyBorder="1" applyAlignment="1">
      <alignment horizontal="right" vertical="center" wrapText="1"/>
      <protection/>
    </xf>
    <xf numFmtId="0" fontId="17" fillId="35" borderId="10" xfId="0" applyFont="1" applyFill="1" applyBorder="1" applyAlignment="1">
      <alignment horizontal="right" vertical="center" wrapText="1"/>
    </xf>
    <xf numFmtId="9" fontId="17" fillId="35" borderId="10" xfId="0" applyNumberFormat="1" applyFont="1" applyFill="1" applyBorder="1" applyAlignment="1">
      <alignment horizontal="center" vertical="center" wrapText="1"/>
    </xf>
    <xf numFmtId="1" fontId="17" fillId="35" borderId="10" xfId="66" applyNumberFormat="1" applyFont="1" applyFill="1" applyBorder="1" applyAlignment="1">
      <alignment horizontal="center" vertical="center" wrapText="1"/>
      <protection/>
    </xf>
    <xf numFmtId="0" fontId="4" fillId="0" borderId="10" xfId="71" applyFont="1" applyFill="1" applyBorder="1" applyAlignment="1">
      <alignment horizontal="center" vertical="center" wrapText="1"/>
      <protection/>
    </xf>
    <xf numFmtId="0" fontId="17" fillId="0" borderId="10" xfId="71" applyFont="1" applyFill="1" applyBorder="1" applyAlignment="1">
      <alignment horizontal="center" vertical="center" wrapText="1"/>
      <protection/>
    </xf>
    <xf numFmtId="3" fontId="17" fillId="0" borderId="10" xfId="71" applyNumberFormat="1" applyFont="1" applyFill="1" applyBorder="1" applyAlignment="1">
      <alignment horizontal="center" vertical="center" wrapText="1"/>
      <protection/>
    </xf>
    <xf numFmtId="0" fontId="17" fillId="0" borderId="10" xfId="61" applyFont="1" applyFill="1" applyBorder="1" applyAlignment="1">
      <alignment horizontal="center" vertical="center" wrapText="1"/>
      <protection/>
    </xf>
    <xf numFmtId="0" fontId="17" fillId="0" borderId="10" xfId="0" applyFont="1" applyFill="1" applyBorder="1" applyAlignment="1">
      <alignment horizontal="right" vertical="center" wrapText="1"/>
    </xf>
    <xf numFmtId="5" fontId="17" fillId="0" borderId="10" xfId="0" applyNumberFormat="1" applyFont="1" applyFill="1" applyBorder="1" applyAlignment="1">
      <alignment horizontal="right" vertical="center" wrapText="1"/>
    </xf>
    <xf numFmtId="5" fontId="4" fillId="0" borderId="10" xfId="51" applyNumberFormat="1" applyFont="1" applyFill="1" applyBorder="1" applyAlignment="1">
      <alignment horizontal="right" vertical="center" wrapText="1"/>
    </xf>
    <xf numFmtId="0" fontId="17" fillId="0" borderId="10" xfId="61" applyNumberFormat="1" applyFont="1" applyFill="1" applyBorder="1" applyAlignment="1">
      <alignment horizontal="center" vertical="center" wrapText="1"/>
      <protection/>
    </xf>
    <xf numFmtId="9" fontId="17" fillId="0" borderId="10" xfId="0" applyNumberFormat="1" applyFont="1" applyFill="1" applyBorder="1" applyAlignment="1">
      <alignment horizontal="right" vertical="center" wrapText="1"/>
    </xf>
    <xf numFmtId="0" fontId="17" fillId="0" borderId="10" xfId="81" applyFont="1" applyFill="1" applyBorder="1" applyAlignment="1">
      <alignment horizontal="center" vertical="center" wrapText="1"/>
      <protection/>
    </xf>
    <xf numFmtId="1" fontId="17" fillId="0" borderId="10" xfId="83" applyNumberFormat="1" applyFont="1" applyFill="1" applyBorder="1" applyAlignment="1">
      <alignment horizontal="right" vertical="center" wrapText="1"/>
    </xf>
    <xf numFmtId="199" fontId="17" fillId="0" borderId="10" xfId="62" applyNumberFormat="1" applyFont="1" applyFill="1" applyBorder="1" applyAlignment="1">
      <alignment horizontal="center" vertical="center" wrapText="1"/>
      <protection/>
    </xf>
    <xf numFmtId="0" fontId="17" fillId="0" borderId="10" xfId="65" applyFont="1" applyFill="1" applyBorder="1" applyAlignment="1">
      <alignment horizontal="center" vertical="center" wrapText="1"/>
      <protection/>
    </xf>
    <xf numFmtId="9" fontId="17" fillId="0" borderId="10" xfId="71" applyNumberFormat="1" applyFont="1" applyFill="1" applyBorder="1" applyAlignment="1">
      <alignment horizontal="center" vertical="center" wrapText="1"/>
      <protection/>
    </xf>
    <xf numFmtId="1" fontId="17" fillId="35" borderId="10" xfId="0" applyNumberFormat="1" applyFont="1" applyFill="1" applyBorder="1" applyAlignment="1">
      <alignment horizontal="center" vertical="center" wrapText="1"/>
    </xf>
    <xf numFmtId="3" fontId="17" fillId="35" borderId="10" xfId="66" applyNumberFormat="1" applyFont="1" applyFill="1" applyBorder="1" applyAlignment="1">
      <alignment horizontal="center" vertical="center" wrapText="1"/>
      <protection/>
    </xf>
    <xf numFmtId="199" fontId="17" fillId="0" borderId="10" xfId="65" applyNumberFormat="1" applyFont="1" applyFill="1" applyBorder="1" applyAlignment="1">
      <alignment horizontal="center" vertical="center" wrapText="1"/>
      <protection/>
    </xf>
    <xf numFmtId="5" fontId="17" fillId="0" borderId="10" xfId="51" applyNumberFormat="1" applyFont="1" applyFill="1" applyBorder="1" applyAlignment="1">
      <alignment horizontal="right" vertical="center" wrapText="1"/>
    </xf>
    <xf numFmtId="0" fontId="17" fillId="0" borderId="10" xfId="72" applyFont="1" applyFill="1" applyBorder="1" applyAlignment="1">
      <alignment horizontal="center" vertical="center" wrapText="1"/>
      <protection/>
    </xf>
    <xf numFmtId="1" fontId="17" fillId="0" borderId="10" xfId="0" applyNumberFormat="1" applyFont="1" applyFill="1" applyBorder="1" applyAlignment="1">
      <alignment horizontal="right" vertical="center" wrapText="1"/>
    </xf>
    <xf numFmtId="3" fontId="17" fillId="35" borderId="10" xfId="75" applyNumberFormat="1" applyFont="1" applyFill="1" applyBorder="1" applyAlignment="1">
      <alignment horizontal="center" vertical="center" wrapText="1"/>
      <protection/>
    </xf>
    <xf numFmtId="0" fontId="17" fillId="35" borderId="10" xfId="75" applyFont="1" applyFill="1" applyBorder="1" applyAlignment="1">
      <alignment horizontal="center" vertical="center" wrapText="1"/>
      <protection/>
    </xf>
    <xf numFmtId="9" fontId="17" fillId="35" borderId="10" xfId="75" applyNumberFormat="1" applyFont="1" applyFill="1" applyBorder="1" applyAlignment="1">
      <alignment horizontal="center" vertical="center" wrapText="1"/>
      <protection/>
    </xf>
    <xf numFmtId="3" fontId="4" fillId="35" borderId="10" xfId="75" applyNumberFormat="1" applyFont="1" applyFill="1" applyBorder="1" applyAlignment="1">
      <alignment horizontal="center" vertical="center" wrapText="1"/>
      <protection/>
    </xf>
    <xf numFmtId="3" fontId="17" fillId="35" borderId="10" xfId="59" applyNumberFormat="1" applyFont="1" applyFill="1" applyBorder="1" applyAlignment="1">
      <alignment horizontal="center" vertical="center"/>
    </xf>
    <xf numFmtId="1" fontId="17" fillId="35" borderId="10" xfId="75" applyNumberFormat="1" applyFont="1" applyFill="1" applyBorder="1" applyAlignment="1">
      <alignment horizontal="center" vertical="center" wrapText="1"/>
      <protection/>
    </xf>
    <xf numFmtId="199" fontId="17" fillId="35" borderId="10" xfId="79" applyNumberFormat="1" applyFont="1" applyFill="1" applyBorder="1" applyAlignment="1">
      <alignment horizontal="center" vertical="center" wrapText="1"/>
      <protection/>
    </xf>
    <xf numFmtId="0" fontId="4" fillId="0" borderId="10" xfId="0" applyFont="1" applyBorder="1" applyAlignment="1">
      <alignment horizontal="center" vertical="top" wrapText="1"/>
    </xf>
    <xf numFmtId="0" fontId="9"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1" fillId="33" borderId="10" xfId="0" applyFont="1" applyFill="1" applyBorder="1" applyAlignment="1">
      <alignment horizontal="center" vertical="center"/>
    </xf>
    <xf numFmtId="0" fontId="8" fillId="33" borderId="10" xfId="0" applyFont="1" applyFill="1" applyBorder="1" applyAlignment="1">
      <alignment horizontal="center"/>
    </xf>
    <xf numFmtId="0" fontId="16" fillId="33" borderId="10" xfId="46" applyFont="1" applyFill="1" applyBorder="1" applyAlignment="1">
      <alignment horizontal="center"/>
    </xf>
    <xf numFmtId="0" fontId="5" fillId="0" borderId="30" xfId="66" applyFont="1" applyFill="1" applyBorder="1" applyAlignment="1">
      <alignment horizontal="center" vertical="center" wrapText="1"/>
      <protection/>
    </xf>
    <xf numFmtId="0" fontId="5" fillId="0" borderId="22" xfId="66" applyFont="1" applyFill="1" applyBorder="1" applyAlignment="1">
      <alignment horizontal="center" vertical="center" wrapText="1"/>
      <protection/>
    </xf>
    <xf numFmtId="0" fontId="5" fillId="0" borderId="31" xfId="66" applyFont="1" applyFill="1" applyBorder="1" applyAlignment="1">
      <alignment horizontal="center" vertical="center" wrapText="1"/>
      <protection/>
    </xf>
    <xf numFmtId="0" fontId="20" fillId="0" borderId="10" xfId="0" applyFont="1" applyBorder="1" applyAlignment="1">
      <alignment horizontal="center" vertical="center" wrapText="1"/>
    </xf>
    <xf numFmtId="0" fontId="20" fillId="33" borderId="20"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20" fillId="0" borderId="3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31" xfId="0" applyFont="1" applyBorder="1" applyAlignment="1">
      <alignment horizontal="center" vertical="center" wrapText="1"/>
    </xf>
    <xf numFmtId="10" fontId="5" fillId="0" borderId="10" xfId="53" applyNumberFormat="1" applyFont="1" applyFill="1" applyBorder="1" applyAlignment="1">
      <alignment horizontal="center" vertical="center" wrapText="1"/>
    </xf>
    <xf numFmtId="10" fontId="5" fillId="0" borderId="15" xfId="53" applyNumberFormat="1"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5" fillId="0" borderId="10" xfId="53" applyNumberFormat="1" applyFont="1" applyFill="1" applyBorder="1" applyAlignment="1">
      <alignment horizontal="center" vertical="center" wrapText="1"/>
    </xf>
    <xf numFmtId="0" fontId="20" fillId="0" borderId="15"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32" xfId="66" applyFont="1" applyFill="1" applyBorder="1" applyAlignment="1">
      <alignment horizontal="center" vertical="center" wrapText="1"/>
      <protection/>
    </xf>
    <xf numFmtId="0" fontId="5" fillId="0" borderId="23" xfId="66" applyFont="1" applyFill="1" applyBorder="1" applyAlignment="1">
      <alignment horizontal="center" vertical="center" wrapText="1"/>
      <protection/>
    </xf>
    <xf numFmtId="0" fontId="5" fillId="0" borderId="33" xfId="66" applyFont="1" applyFill="1" applyBorder="1" applyAlignment="1">
      <alignment horizontal="center" vertical="center" wrapText="1"/>
      <protection/>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5" fillId="0" borderId="34" xfId="66" applyFont="1" applyFill="1" applyBorder="1" applyAlignment="1">
      <alignment horizontal="center" vertical="center" wrapText="1"/>
      <protection/>
    </xf>
    <xf numFmtId="0" fontId="5" fillId="0" borderId="35" xfId="66" applyFont="1" applyFill="1" applyBorder="1" applyAlignment="1">
      <alignment horizontal="center" vertical="center" wrapText="1"/>
      <protection/>
    </xf>
    <xf numFmtId="0" fontId="5" fillId="0" borderId="36" xfId="66" applyFont="1" applyFill="1" applyBorder="1" applyAlignment="1">
      <alignment horizontal="center" vertical="center" wrapText="1"/>
      <protection/>
    </xf>
    <xf numFmtId="3" fontId="5" fillId="0" borderId="16"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0" fillId="0" borderId="14" xfId="0" applyFont="1" applyBorder="1" applyAlignment="1">
      <alignment horizontal="center" vertical="center" wrapText="1"/>
    </xf>
    <xf numFmtId="0" fontId="5" fillId="33" borderId="10"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196" fontId="5" fillId="0" borderId="14" xfId="66" applyNumberFormat="1" applyFont="1" applyFill="1" applyBorder="1" applyAlignment="1">
      <alignment horizontal="center" vertical="center" wrapText="1"/>
      <protection/>
    </xf>
    <xf numFmtId="196" fontId="5" fillId="0" borderId="10" xfId="66" applyNumberFormat="1" applyFont="1" applyFill="1" applyBorder="1" applyAlignment="1">
      <alignment horizontal="center" vertical="center" wrapText="1"/>
      <protection/>
    </xf>
    <xf numFmtId="196" fontId="5" fillId="0" borderId="15" xfId="66" applyNumberFormat="1" applyFont="1" applyFill="1" applyBorder="1" applyAlignment="1">
      <alignment horizontal="center" vertical="center" wrapText="1"/>
      <protection/>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196" fontId="5" fillId="0" borderId="32" xfId="0" applyNumberFormat="1" applyFont="1" applyFill="1" applyBorder="1" applyAlignment="1">
      <alignment horizontal="center" vertical="center" wrapText="1"/>
    </xf>
    <xf numFmtId="196" fontId="5" fillId="0" borderId="23" xfId="0" applyNumberFormat="1" applyFont="1" applyFill="1" applyBorder="1" applyAlignment="1">
      <alignment horizontal="center" vertical="center" wrapText="1"/>
    </xf>
    <xf numFmtId="196" fontId="5" fillId="0" borderId="33" xfId="0" applyNumberFormat="1" applyFont="1" applyFill="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66" applyFont="1" applyFill="1" applyBorder="1" applyAlignment="1">
      <alignment horizontal="center" vertical="center" wrapText="1"/>
      <protection/>
    </xf>
    <xf numFmtId="0" fontId="18" fillId="0" borderId="10" xfId="0" applyFont="1" applyFill="1" applyBorder="1" applyAlignment="1">
      <alignment horizontal="center" vertical="center" wrapText="1"/>
    </xf>
    <xf numFmtId="2" fontId="5" fillId="0" borderId="10" xfId="0" applyNumberFormat="1" applyFont="1" applyBorder="1" applyAlignment="1">
      <alignment horizontal="center" vertical="center" wrapText="1"/>
    </xf>
    <xf numFmtId="9" fontId="5" fillId="0" borderId="10" xfId="53"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20" xfId="53" applyNumberFormat="1" applyFont="1" applyFill="1" applyBorder="1" applyAlignment="1">
      <alignment horizontal="center" vertical="center" wrapText="1"/>
    </xf>
    <xf numFmtId="0" fontId="5" fillId="0" borderId="19" xfId="53" applyNumberFormat="1" applyFont="1" applyFill="1" applyBorder="1" applyAlignment="1">
      <alignment horizontal="center" vertical="center" wrapText="1"/>
    </xf>
    <xf numFmtId="0" fontId="4" fillId="38" borderId="10" xfId="0"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18" fillId="0" borderId="10" xfId="66" applyFont="1" applyFill="1" applyBorder="1" applyAlignment="1">
      <alignment horizontal="center" vertical="center" wrapText="1"/>
      <protection/>
    </xf>
    <xf numFmtId="2" fontId="5" fillId="0" borderId="10" xfId="66" applyNumberFormat="1" applyFont="1" applyFill="1" applyBorder="1" applyAlignment="1">
      <alignment horizontal="center" vertical="center" wrapText="1"/>
      <protection/>
    </xf>
    <xf numFmtId="0" fontId="18" fillId="0" borderId="10" xfId="0" applyFont="1" applyBorder="1" applyAlignment="1">
      <alignment horizontal="center" vertical="center" wrapText="1"/>
    </xf>
    <xf numFmtId="0" fontId="5" fillId="0" borderId="19"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9" fontId="21" fillId="0" borderId="32" xfId="0" applyNumberFormat="1" applyFont="1" applyFill="1" applyBorder="1" applyAlignment="1">
      <alignment horizontal="center" vertical="center" wrapText="1"/>
    </xf>
    <xf numFmtId="9" fontId="21" fillId="0" borderId="23" xfId="0" applyNumberFormat="1" applyFont="1" applyFill="1" applyBorder="1" applyAlignment="1">
      <alignment horizontal="center" vertical="center" wrapText="1"/>
    </xf>
    <xf numFmtId="9" fontId="21" fillId="0" borderId="19"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3" xfId="0" applyFont="1" applyFill="1" applyBorder="1" applyAlignment="1">
      <alignment horizontal="center" vertical="center" wrapText="1"/>
    </xf>
    <xf numFmtId="197"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20" fillId="0" borderId="36" xfId="0" applyFont="1" applyFill="1" applyBorder="1" applyAlignment="1">
      <alignment horizontal="center" vertical="center"/>
    </xf>
    <xf numFmtId="0" fontId="18"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9" xfId="0" applyFont="1" applyFill="1" applyBorder="1" applyAlignment="1">
      <alignment horizontal="center" vertical="center" wrapText="1"/>
    </xf>
    <xf numFmtId="3" fontId="5" fillId="0" borderId="32" xfId="0" applyNumberFormat="1"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9" fontId="5" fillId="0" borderId="20" xfId="84" applyFont="1" applyFill="1" applyBorder="1" applyAlignment="1">
      <alignment horizontal="center" vertical="center" wrapText="1"/>
    </xf>
    <xf numFmtId="9" fontId="5" fillId="0" borderId="19" xfId="84"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9" fontId="18" fillId="34" borderId="20" xfId="84" applyFont="1" applyFill="1" applyBorder="1" applyAlignment="1">
      <alignment horizontal="center" vertical="center" wrapText="1"/>
    </xf>
    <xf numFmtId="9" fontId="18" fillId="34" borderId="19" xfId="84" applyFont="1" applyFill="1" applyBorder="1" applyAlignment="1">
      <alignment horizontal="center" vertical="center" wrapText="1"/>
    </xf>
    <xf numFmtId="1" fontId="33" fillId="0" borderId="10" xfId="0" applyNumberFormat="1" applyFont="1" applyFill="1" applyBorder="1" applyAlignment="1">
      <alignment horizontal="center" vertical="center" wrapText="1"/>
    </xf>
    <xf numFmtId="3" fontId="18" fillId="34" borderId="20" xfId="0" applyNumberFormat="1" applyFont="1" applyFill="1" applyBorder="1" applyAlignment="1">
      <alignment horizontal="center" vertical="center" wrapText="1"/>
    </xf>
    <xf numFmtId="3" fontId="18" fillId="34" borderId="19"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3" fontId="29" fillId="0" borderId="20" xfId="0" applyNumberFormat="1" applyFont="1" applyFill="1" applyBorder="1" applyAlignment="1">
      <alignment horizontal="center" vertical="center" wrapText="1"/>
    </xf>
    <xf numFmtId="3" fontId="29" fillId="0" borderId="19" xfId="0" applyNumberFormat="1" applyFont="1" applyFill="1" applyBorder="1" applyAlignment="1">
      <alignment horizontal="center" vertical="center" wrapText="1"/>
    </xf>
    <xf numFmtId="0" fontId="20" fillId="0" borderId="10" xfId="0" applyFont="1" applyFill="1" applyBorder="1" applyAlignment="1">
      <alignment horizontal="center" vertical="center"/>
    </xf>
    <xf numFmtId="3" fontId="18" fillId="34" borderId="23" xfId="0" applyNumberFormat="1" applyFont="1" applyFill="1" applyBorder="1" applyAlignment="1">
      <alignment horizontal="center" vertical="center" wrapText="1"/>
    </xf>
    <xf numFmtId="0" fontId="20" fillId="0" borderId="26" xfId="0" applyFont="1" applyFill="1" applyBorder="1" applyAlignment="1">
      <alignment horizontal="center" vertical="center"/>
    </xf>
    <xf numFmtId="0" fontId="20" fillId="0" borderId="38" xfId="0" applyFont="1" applyFill="1" applyBorder="1" applyAlignment="1">
      <alignment horizontal="center" vertical="center"/>
    </xf>
    <xf numFmtId="199" fontId="5" fillId="0" borderId="20" xfId="0" applyNumberFormat="1" applyFont="1" applyFill="1" applyBorder="1" applyAlignment="1">
      <alignment horizontal="center" vertical="center" wrapText="1"/>
    </xf>
    <xf numFmtId="199" fontId="5" fillId="0" borderId="19"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1" fontId="5" fillId="0" borderId="20" xfId="0" applyNumberFormat="1" applyFont="1" applyFill="1" applyBorder="1" applyAlignment="1">
      <alignment horizontal="center" vertical="center" wrapText="1"/>
    </xf>
    <xf numFmtId="1" fontId="5" fillId="0" borderId="19" xfId="0" applyNumberFormat="1" applyFont="1" applyFill="1" applyBorder="1" applyAlignment="1">
      <alignment horizontal="center" vertical="center" wrapText="1"/>
    </xf>
    <xf numFmtId="3" fontId="30" fillId="34" borderId="20" xfId="0" applyNumberFormat="1" applyFont="1" applyFill="1" applyBorder="1" applyAlignment="1">
      <alignment horizontal="center" vertical="center" wrapText="1"/>
    </xf>
    <xf numFmtId="3" fontId="30" fillId="34" borderId="19" xfId="0" applyNumberFormat="1" applyFont="1" applyFill="1" applyBorder="1" applyAlignment="1">
      <alignment horizontal="center" vertical="center" wrapText="1"/>
    </xf>
    <xf numFmtId="197" fontId="5" fillId="0" borderId="20" xfId="0" applyNumberFormat="1" applyFont="1" applyFill="1" applyBorder="1" applyAlignment="1">
      <alignment horizontal="center" vertical="center" wrapText="1"/>
    </xf>
    <xf numFmtId="197" fontId="5" fillId="0" borderId="23" xfId="0" applyNumberFormat="1" applyFont="1" applyFill="1" applyBorder="1" applyAlignment="1">
      <alignment horizontal="center" vertical="center" wrapText="1"/>
    </xf>
    <xf numFmtId="197" fontId="5" fillId="0" borderId="19" xfId="0" applyNumberFormat="1"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10" xfId="0"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0" fontId="25" fillId="0" borderId="20" xfId="73" applyFont="1" applyFill="1" applyBorder="1" applyAlignment="1">
      <alignment horizontal="center" vertical="center" wrapText="1"/>
      <protection/>
    </xf>
    <xf numFmtId="0" fontId="25" fillId="0" borderId="23" xfId="73" applyFont="1" applyFill="1" applyBorder="1" applyAlignment="1">
      <alignment horizontal="center" vertical="center" wrapText="1"/>
      <protection/>
    </xf>
    <xf numFmtId="0" fontId="25" fillId="0" borderId="19" xfId="73" applyFont="1" applyFill="1" applyBorder="1" applyAlignment="1">
      <alignment horizontal="center" vertical="center" wrapText="1"/>
      <protection/>
    </xf>
    <xf numFmtId="0" fontId="25" fillId="0" borderId="41" xfId="73" applyFont="1" applyFill="1" applyBorder="1" applyAlignment="1">
      <alignment horizontal="center" vertical="center" wrapText="1"/>
      <protection/>
    </xf>
    <xf numFmtId="0" fontId="25" fillId="0" borderId="37" xfId="73" applyFont="1" applyFill="1" applyBorder="1" applyAlignment="1">
      <alignment horizontal="center" vertical="center" wrapText="1"/>
      <protection/>
    </xf>
    <xf numFmtId="0" fontId="25" fillId="0" borderId="42" xfId="73" applyFont="1" applyFill="1" applyBorder="1" applyAlignment="1">
      <alignment horizontal="center" vertical="center" wrapText="1"/>
      <protection/>
    </xf>
    <xf numFmtId="0" fontId="32" fillId="0" borderId="20" xfId="73" applyFont="1" applyFill="1" applyBorder="1" applyAlignment="1">
      <alignment horizontal="center" vertical="center" wrapText="1"/>
      <protection/>
    </xf>
    <xf numFmtId="0" fontId="32" fillId="0" borderId="23" xfId="73" applyFont="1" applyFill="1" applyBorder="1" applyAlignment="1">
      <alignment horizontal="center" vertical="center" wrapText="1"/>
      <protection/>
    </xf>
    <xf numFmtId="0" fontId="32" fillId="0" borderId="19" xfId="73" applyFont="1" applyFill="1" applyBorder="1" applyAlignment="1">
      <alignment horizontal="center" vertical="center" wrapText="1"/>
      <protection/>
    </xf>
    <xf numFmtId="0" fontId="25" fillId="34" borderId="20" xfId="73" applyFont="1" applyFill="1" applyBorder="1" applyAlignment="1">
      <alignment horizontal="center" vertical="center" wrapText="1"/>
      <protection/>
    </xf>
    <xf numFmtId="0" fontId="25" fillId="34" borderId="19" xfId="73" applyFont="1" applyFill="1" applyBorder="1" applyAlignment="1">
      <alignment horizontal="center" vertical="center" wrapText="1"/>
      <protection/>
    </xf>
    <xf numFmtId="0" fontId="20" fillId="0" borderId="20"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19" xfId="0" applyFont="1" applyFill="1" applyBorder="1" applyAlignment="1">
      <alignment horizontal="center" vertical="center"/>
    </xf>
    <xf numFmtId="0" fontId="25" fillId="0" borderId="20"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34" borderId="20" xfId="0" applyFont="1" applyFill="1" applyBorder="1" applyAlignment="1">
      <alignment horizontal="center" vertical="center" wrapText="1"/>
    </xf>
    <xf numFmtId="0" fontId="25" fillId="34" borderId="23" xfId="0" applyFont="1" applyFill="1" applyBorder="1" applyAlignment="1">
      <alignment horizontal="center" vertical="center" wrapText="1"/>
    </xf>
    <xf numFmtId="0" fontId="25" fillId="34" borderId="19" xfId="0" applyFont="1" applyFill="1" applyBorder="1" applyAlignment="1">
      <alignment horizontal="center" vertical="center" wrapText="1"/>
    </xf>
    <xf numFmtId="3" fontId="25" fillId="0" borderId="20" xfId="73" applyNumberFormat="1" applyFont="1" applyFill="1" applyBorder="1" applyAlignment="1">
      <alignment horizontal="center" vertical="center" wrapText="1"/>
      <protection/>
    </xf>
    <xf numFmtId="3" fontId="25" fillId="0" borderId="23" xfId="73" applyNumberFormat="1" applyFont="1" applyFill="1" applyBorder="1" applyAlignment="1">
      <alignment horizontal="center" vertical="center" wrapText="1"/>
      <protection/>
    </xf>
    <xf numFmtId="3" fontId="25" fillId="0" borderId="19" xfId="73" applyNumberFormat="1" applyFont="1" applyFill="1" applyBorder="1" applyAlignment="1">
      <alignment horizontal="center" vertical="center" wrapText="1"/>
      <protection/>
    </xf>
    <xf numFmtId="0" fontId="31" fillId="37" borderId="10" xfId="0" applyFont="1" applyFill="1" applyBorder="1" applyAlignment="1">
      <alignment horizontal="center" vertical="center" wrapText="1"/>
    </xf>
    <xf numFmtId="0" fontId="32" fillId="34" borderId="20" xfId="0" applyFont="1" applyFill="1" applyBorder="1" applyAlignment="1">
      <alignment horizontal="center" vertical="center" wrapText="1"/>
    </xf>
    <xf numFmtId="0" fontId="32" fillId="34" borderId="19" xfId="0" applyFont="1" applyFill="1" applyBorder="1" applyAlignment="1">
      <alignment horizontal="center" vertical="center" wrapText="1"/>
    </xf>
    <xf numFmtId="3" fontId="25" fillId="34" borderId="20" xfId="73" applyNumberFormat="1" applyFont="1" applyFill="1" applyBorder="1" applyAlignment="1">
      <alignment horizontal="center" vertical="center" wrapText="1"/>
      <protection/>
    </xf>
    <xf numFmtId="3" fontId="25" fillId="34" borderId="19" xfId="73" applyNumberFormat="1" applyFont="1" applyFill="1" applyBorder="1" applyAlignment="1">
      <alignment horizontal="center" vertical="center" wrapText="1"/>
      <protection/>
    </xf>
    <xf numFmtId="0" fontId="25" fillId="34" borderId="23" xfId="73" applyFont="1" applyFill="1" applyBorder="1" applyAlignment="1">
      <alignment horizontal="center" vertical="center" wrapText="1"/>
      <protection/>
    </xf>
    <xf numFmtId="3" fontId="25" fillId="34" borderId="23" xfId="73" applyNumberFormat="1" applyFont="1" applyFill="1" applyBorder="1" applyAlignment="1">
      <alignment horizontal="center" vertical="center" wrapText="1"/>
      <protection/>
    </xf>
    <xf numFmtId="3" fontId="25" fillId="37" borderId="20" xfId="0" applyNumberFormat="1" applyFont="1" applyFill="1" applyBorder="1" applyAlignment="1">
      <alignment horizontal="center" vertical="center" wrapText="1"/>
    </xf>
    <xf numFmtId="3" fontId="25" fillId="37" borderId="19" xfId="0" applyNumberFormat="1" applyFont="1" applyFill="1" applyBorder="1" applyAlignment="1">
      <alignment horizontal="center" vertical="center" wrapText="1"/>
    </xf>
    <xf numFmtId="3" fontId="31" fillId="37" borderId="20" xfId="0" applyNumberFormat="1" applyFont="1" applyFill="1" applyBorder="1" applyAlignment="1">
      <alignment horizontal="center" vertical="center" wrapText="1"/>
    </xf>
    <xf numFmtId="3" fontId="31" fillId="37" borderId="19" xfId="0" applyNumberFormat="1" applyFont="1" applyFill="1" applyBorder="1" applyAlignment="1">
      <alignment horizontal="center" vertical="center" wrapText="1"/>
    </xf>
    <xf numFmtId="10" fontId="5" fillId="0" borderId="10" xfId="66" applyNumberFormat="1" applyFont="1" applyFill="1" applyBorder="1" applyAlignment="1">
      <alignment horizontal="center" vertical="center" wrapText="1"/>
      <protection/>
    </xf>
    <xf numFmtId="9" fontId="5" fillId="0" borderId="10" xfId="66" applyNumberFormat="1" applyFont="1" applyFill="1" applyBorder="1" applyAlignment="1">
      <alignment horizontal="center" vertical="center" wrapText="1"/>
      <protection/>
    </xf>
    <xf numFmtId="3" fontId="5" fillId="0" borderId="10" xfId="84" applyNumberFormat="1" applyFont="1" applyFill="1" applyBorder="1" applyAlignment="1">
      <alignment horizontal="center" vertical="center" wrapText="1"/>
    </xf>
    <xf numFmtId="1" fontId="5" fillId="0" borderId="10" xfId="66" applyNumberFormat="1" applyFont="1" applyFill="1" applyBorder="1" applyAlignment="1">
      <alignment horizontal="center" vertical="center" wrapText="1"/>
      <protection/>
    </xf>
    <xf numFmtId="0" fontId="5" fillId="0" borderId="10" xfId="84" applyNumberFormat="1" applyFont="1" applyFill="1" applyBorder="1" applyAlignment="1">
      <alignment horizontal="center" vertical="center" wrapText="1"/>
    </xf>
    <xf numFmtId="0" fontId="5" fillId="0" borderId="10" xfId="66" applyNumberFormat="1" applyFont="1" applyFill="1" applyBorder="1" applyAlignment="1">
      <alignment horizontal="center" vertical="center" wrapText="1"/>
      <protection/>
    </xf>
    <xf numFmtId="3" fontId="5" fillId="0" borderId="10" xfId="66" applyNumberFormat="1" applyFont="1" applyFill="1" applyBorder="1" applyAlignment="1">
      <alignment horizontal="center" vertical="center" wrapText="1"/>
      <protection/>
    </xf>
    <xf numFmtId="0" fontId="20" fillId="0" borderId="0" xfId="0" applyFont="1" applyAlignment="1">
      <alignment horizontal="center" vertical="center" wrapText="1"/>
    </xf>
    <xf numFmtId="2" fontId="5" fillId="0" borderId="10" xfId="84" applyNumberFormat="1" applyFont="1" applyFill="1" applyBorder="1" applyAlignment="1">
      <alignment horizontal="center" vertical="center" wrapText="1"/>
    </xf>
    <xf numFmtId="10" fontId="5" fillId="0" borderId="10" xfId="84" applyNumberFormat="1" applyFont="1" applyFill="1" applyBorder="1" applyAlignment="1">
      <alignment horizontal="center" vertical="center" wrapText="1"/>
    </xf>
    <xf numFmtId="9" fontId="5" fillId="0" borderId="10" xfId="84" applyNumberFormat="1" applyFont="1" applyFill="1" applyBorder="1" applyAlignment="1">
      <alignment horizontal="center" vertical="center" wrapText="1"/>
    </xf>
    <xf numFmtId="196" fontId="5" fillId="0" borderId="10" xfId="0" applyNumberFormat="1" applyFont="1" applyFill="1" applyBorder="1" applyAlignment="1">
      <alignment horizontal="center" vertical="center" wrapText="1"/>
    </xf>
    <xf numFmtId="0" fontId="34" fillId="0" borderId="10" xfId="71" applyFont="1" applyFill="1" applyBorder="1" applyAlignment="1">
      <alignment horizontal="center" vertical="center" wrapText="1"/>
      <protection/>
    </xf>
    <xf numFmtId="0" fontId="5" fillId="0" borderId="10" xfId="71" applyFont="1" applyFill="1" applyBorder="1" applyAlignment="1">
      <alignment horizontal="center" vertical="center" wrapText="1"/>
      <protection/>
    </xf>
    <xf numFmtId="0" fontId="34" fillId="0" borderId="10" xfId="0" applyFont="1" applyFill="1" applyBorder="1" applyAlignment="1">
      <alignment horizontal="center" vertical="center" wrapText="1"/>
    </xf>
    <xf numFmtId="179" fontId="5" fillId="0" borderId="10" xfId="0" applyNumberFormat="1" applyFont="1" applyFill="1" applyBorder="1" applyAlignment="1">
      <alignment horizontal="center" vertical="center" wrapText="1"/>
    </xf>
    <xf numFmtId="179" fontId="5" fillId="0" borderId="10" xfId="54" applyNumberFormat="1"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19" xfId="0" applyFont="1" applyFill="1" applyBorder="1" applyAlignment="1">
      <alignment horizontal="center" vertical="center"/>
    </xf>
    <xf numFmtId="0" fontId="37" fillId="0" borderId="20"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xf>
    <xf numFmtId="0" fontId="37" fillId="0" borderId="19" xfId="0" applyFont="1" applyFill="1" applyBorder="1" applyAlignment="1">
      <alignment horizontal="center" vertical="center"/>
    </xf>
    <xf numFmtId="0" fontId="20" fillId="0" borderId="20" xfId="0" applyFont="1" applyFill="1" applyBorder="1" applyAlignment="1">
      <alignment horizontal="center"/>
    </xf>
    <xf numFmtId="0" fontId="20" fillId="0" borderId="23" xfId="0" applyFont="1" applyFill="1" applyBorder="1" applyAlignment="1">
      <alignment horizontal="center"/>
    </xf>
    <xf numFmtId="0" fontId="20" fillId="0" borderId="19" xfId="0" applyFont="1" applyFill="1" applyBorder="1" applyAlignment="1">
      <alignment horizontal="center"/>
    </xf>
    <xf numFmtId="0" fontId="33" fillId="0" borderId="26"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27" xfId="0" applyFont="1" applyBorder="1" applyAlignment="1">
      <alignment horizontal="center" vertical="center" wrapText="1"/>
    </xf>
    <xf numFmtId="9" fontId="5" fillId="0" borderId="20" xfId="0" applyNumberFormat="1" applyFont="1" applyFill="1" applyBorder="1" applyAlignment="1">
      <alignment horizontal="center" vertical="center"/>
    </xf>
    <xf numFmtId="9" fontId="5" fillId="0" borderId="23" xfId="0" applyNumberFormat="1" applyFont="1" applyFill="1" applyBorder="1" applyAlignment="1">
      <alignment horizontal="center" vertical="center"/>
    </xf>
    <xf numFmtId="9" fontId="5" fillId="0" borderId="19" xfId="0" applyNumberFormat="1" applyFont="1" applyFill="1" applyBorder="1" applyAlignment="1">
      <alignment horizontal="center" vertical="center"/>
    </xf>
    <xf numFmtId="0" fontId="20" fillId="0" borderId="20" xfId="0" applyFont="1" applyBorder="1" applyAlignment="1">
      <alignment horizontal="center" vertical="center"/>
    </xf>
    <xf numFmtId="0" fontId="20" fillId="0" borderId="23" xfId="0" applyFont="1" applyBorder="1" applyAlignment="1">
      <alignment horizontal="center" vertical="center"/>
    </xf>
    <xf numFmtId="0" fontId="20" fillId="0" borderId="19" xfId="0" applyFont="1" applyBorder="1" applyAlignment="1">
      <alignment horizontal="center" vertical="center"/>
    </xf>
    <xf numFmtId="0" fontId="33" fillId="0" borderId="26" xfId="0" applyFont="1" applyFill="1" applyBorder="1" applyAlignment="1">
      <alignment horizontal="center" vertical="center"/>
    </xf>
    <xf numFmtId="0" fontId="33" fillId="0" borderId="38"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19"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xf>
    <xf numFmtId="0" fontId="20" fillId="0" borderId="2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33" fillId="0" borderId="20" xfId="0" applyFont="1" applyBorder="1" applyAlignment="1">
      <alignment horizontal="center" vertical="center" wrapText="1"/>
    </xf>
    <xf numFmtId="0" fontId="33" fillId="0" borderId="23" xfId="0" applyFont="1" applyBorder="1" applyAlignment="1">
      <alignment horizontal="center" vertical="center" wrapText="1"/>
    </xf>
    <xf numFmtId="0" fontId="0" fillId="0" borderId="20" xfId="0" applyBorder="1" applyAlignment="1">
      <alignment horizontal="center" vertical="center"/>
    </xf>
    <xf numFmtId="0" fontId="0" fillId="0" borderId="19" xfId="0" applyBorder="1" applyAlignment="1">
      <alignment horizontal="center" vertical="center"/>
    </xf>
    <xf numFmtId="3" fontId="5" fillId="35" borderId="10" xfId="0" applyNumberFormat="1" applyFont="1" applyFill="1" applyBorder="1" applyAlignment="1">
      <alignment horizontal="center" vertical="center" wrapText="1"/>
    </xf>
    <xf numFmtId="0" fontId="33" fillId="0" borderId="10" xfId="0" applyFont="1" applyBorder="1" applyAlignment="1">
      <alignment horizontal="center" vertical="center" wrapText="1"/>
    </xf>
    <xf numFmtId="3" fontId="5" fillId="35" borderId="20" xfId="0" applyNumberFormat="1" applyFont="1" applyFill="1" applyBorder="1" applyAlignment="1">
      <alignment horizontal="center" vertical="center"/>
    </xf>
    <xf numFmtId="3" fontId="5" fillId="35" borderId="23" xfId="0" applyNumberFormat="1" applyFont="1" applyFill="1" applyBorder="1" applyAlignment="1">
      <alignment horizontal="center" vertical="center"/>
    </xf>
    <xf numFmtId="0" fontId="0" fillId="34" borderId="20" xfId="0" applyFill="1" applyBorder="1" applyAlignment="1">
      <alignment horizontal="center"/>
    </xf>
    <xf numFmtId="0" fontId="0" fillId="34" borderId="23" xfId="0" applyFill="1" applyBorder="1" applyAlignment="1">
      <alignment horizontal="center"/>
    </xf>
    <xf numFmtId="0" fontId="0" fillId="34" borderId="19" xfId="0" applyFill="1" applyBorder="1" applyAlignment="1">
      <alignment horizontal="center"/>
    </xf>
    <xf numFmtId="0" fontId="33" fillId="0" borderId="10" xfId="0" applyFont="1" applyFill="1" applyBorder="1" applyAlignment="1">
      <alignment horizontal="center" vertical="center"/>
    </xf>
    <xf numFmtId="0" fontId="33" fillId="0" borderId="19" xfId="0" applyFont="1" applyBorder="1" applyAlignment="1">
      <alignment horizontal="center" vertical="center" wrapText="1"/>
    </xf>
    <xf numFmtId="0" fontId="20" fillId="34" borderId="10" xfId="0" applyFont="1" applyFill="1" applyBorder="1" applyAlignment="1">
      <alignment horizontal="center" vertical="center" wrapText="1"/>
    </xf>
    <xf numFmtId="9" fontId="5" fillId="0" borderId="26" xfId="0" applyNumberFormat="1" applyFont="1" applyFill="1" applyBorder="1" applyAlignment="1">
      <alignment horizontal="center" vertical="center"/>
    </xf>
    <xf numFmtId="9" fontId="5" fillId="0" borderId="20" xfId="0" applyNumberFormat="1" applyFont="1" applyFill="1" applyBorder="1" applyAlignment="1">
      <alignment horizontal="center"/>
    </xf>
    <xf numFmtId="9" fontId="5" fillId="0" borderId="23" xfId="0" applyNumberFormat="1" applyFont="1" applyFill="1" applyBorder="1" applyAlignment="1">
      <alignment horizontal="center"/>
    </xf>
    <xf numFmtId="9" fontId="5" fillId="0" borderId="19" xfId="0" applyNumberFormat="1" applyFont="1" applyFill="1" applyBorder="1" applyAlignment="1">
      <alignment horizontal="center"/>
    </xf>
    <xf numFmtId="9" fontId="5"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0" fillId="0" borderId="10" xfId="0" applyFont="1" applyFill="1" applyBorder="1" applyAlignment="1">
      <alignment horizontal="center" vertical="center"/>
    </xf>
    <xf numFmtId="0" fontId="2" fillId="0" borderId="10" xfId="0" applyFont="1" applyFill="1" applyBorder="1" applyAlignment="1">
      <alignment horizontal="center"/>
    </xf>
    <xf numFmtId="0" fontId="3" fillId="0" borderId="10" xfId="0" applyFont="1" applyFill="1" applyBorder="1" applyAlignment="1">
      <alignment horizontal="center"/>
    </xf>
    <xf numFmtId="0" fontId="18" fillId="0" borderId="10" xfId="0" applyFont="1" applyFill="1" applyBorder="1" applyAlignment="1">
      <alignment horizontal="center" vertical="center"/>
    </xf>
    <xf numFmtId="0" fontId="5" fillId="0" borderId="20"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20" fillId="34" borderId="20" xfId="0" applyFont="1" applyFill="1" applyBorder="1" applyAlignment="1">
      <alignment horizontal="center" vertical="center" wrapText="1"/>
    </xf>
    <xf numFmtId="0" fontId="20" fillId="34"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4" fontId="20" fillId="0" borderId="10" xfId="0" applyNumberFormat="1" applyFont="1" applyFill="1" applyBorder="1" applyAlignment="1">
      <alignment horizontal="center" vertical="center"/>
    </xf>
    <xf numFmtId="0" fontId="34"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9" xfId="0" applyFont="1" applyFill="1" applyBorder="1" applyAlignment="1">
      <alignment horizontal="center" vertical="center"/>
    </xf>
    <xf numFmtId="3" fontId="5" fillId="0" borderId="10" xfId="0" applyNumberFormat="1" applyFont="1" applyFill="1" applyBorder="1" applyAlignment="1">
      <alignment horizontal="center" vertical="center"/>
    </xf>
    <xf numFmtId="3" fontId="20" fillId="0" borderId="10" xfId="0" applyNumberFormat="1" applyFont="1" applyFill="1" applyBorder="1" applyAlignment="1">
      <alignment horizontal="center" vertical="center"/>
    </xf>
    <xf numFmtId="0" fontId="20" fillId="0" borderId="23" xfId="0" applyFont="1" applyFill="1" applyBorder="1" applyAlignment="1">
      <alignment horizontal="center" vertical="center"/>
    </xf>
    <xf numFmtId="3" fontId="5" fillId="0" borderId="20" xfId="0" applyNumberFormat="1"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94" fontId="5" fillId="0" borderId="10" xfId="49" applyNumberFormat="1" applyFont="1" applyFill="1" applyBorder="1" applyAlignment="1">
      <alignment horizontal="center" vertical="center"/>
    </xf>
    <xf numFmtId="194" fontId="5" fillId="0" borderId="20" xfId="49" applyNumberFormat="1" applyFont="1" applyFill="1" applyBorder="1" applyAlignment="1">
      <alignment horizontal="center" vertical="center" wrapText="1"/>
    </xf>
    <xf numFmtId="194" fontId="5" fillId="0" borderId="23" xfId="49" applyNumberFormat="1" applyFont="1" applyFill="1" applyBorder="1" applyAlignment="1">
      <alignment horizontal="center" vertical="center" wrapText="1"/>
    </xf>
    <xf numFmtId="194" fontId="5" fillId="0" borderId="19" xfId="49" applyNumberFormat="1" applyFont="1" applyFill="1" applyBorder="1" applyAlignment="1">
      <alignment horizontal="center" vertical="center" wrapText="1"/>
    </xf>
    <xf numFmtId="194" fontId="5" fillId="0" borderId="20" xfId="49" applyNumberFormat="1" applyFont="1" applyFill="1" applyBorder="1" applyAlignment="1">
      <alignment horizontal="center" vertical="center"/>
    </xf>
    <xf numFmtId="194" fontId="5" fillId="0" borderId="19" xfId="49" applyNumberFormat="1" applyFont="1" applyFill="1" applyBorder="1" applyAlignment="1">
      <alignment horizontal="center" vertical="center"/>
    </xf>
    <xf numFmtId="194" fontId="5" fillId="0" borderId="23" xfId="49" applyNumberFormat="1" applyFont="1" applyFill="1" applyBorder="1" applyAlignment="1">
      <alignment horizontal="center" vertical="center"/>
    </xf>
    <xf numFmtId="194" fontId="5" fillId="0" borderId="10" xfId="49"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196" fontId="5" fillId="0" borderId="20" xfId="0" applyNumberFormat="1" applyFont="1" applyFill="1" applyBorder="1" applyAlignment="1">
      <alignment horizontal="center" vertical="center" wrapText="1"/>
    </xf>
    <xf numFmtId="196"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44" fontId="5" fillId="0" borderId="20" xfId="56" applyFont="1" applyFill="1" applyBorder="1" applyAlignment="1">
      <alignment horizontal="center" vertical="center" wrapText="1"/>
    </xf>
    <xf numFmtId="44" fontId="5" fillId="0" borderId="23" xfId="56" applyFont="1" applyFill="1" applyBorder="1" applyAlignment="1">
      <alignment horizontal="center" vertical="center" wrapText="1"/>
    </xf>
    <xf numFmtId="44" fontId="5" fillId="0" borderId="19" xfId="56" applyFont="1" applyFill="1" applyBorder="1" applyAlignment="1">
      <alignment horizontal="center" vertical="center" wrapText="1"/>
    </xf>
    <xf numFmtId="3" fontId="5" fillId="35" borderId="20" xfId="0" applyNumberFormat="1" applyFont="1" applyFill="1" applyBorder="1" applyAlignment="1">
      <alignment horizontal="center" vertical="center" wrapText="1"/>
    </xf>
    <xf numFmtId="3" fontId="5" fillId="35" borderId="23" xfId="0" applyNumberFormat="1" applyFont="1" applyFill="1" applyBorder="1" applyAlignment="1">
      <alignment horizontal="center" vertical="center" wrapText="1"/>
    </xf>
    <xf numFmtId="3" fontId="5" fillId="35" borderId="19" xfId="0" applyNumberFormat="1" applyFont="1" applyFill="1" applyBorder="1" applyAlignment="1">
      <alignment horizontal="center" vertical="center" wrapText="1"/>
    </xf>
    <xf numFmtId="1" fontId="5" fillId="0" borderId="23" xfId="0" applyNumberFormat="1" applyFont="1" applyFill="1" applyBorder="1" applyAlignment="1">
      <alignment horizontal="center" vertical="center" wrapText="1"/>
    </xf>
    <xf numFmtId="9" fontId="5" fillId="0" borderId="10" xfId="84" applyFont="1" applyFill="1" applyBorder="1" applyAlignment="1">
      <alignment horizontal="center" vertical="center" wrapText="1"/>
    </xf>
    <xf numFmtId="194" fontId="5" fillId="0" borderId="20" xfId="49" applyNumberFormat="1" applyFont="1" applyFill="1" applyBorder="1" applyAlignment="1">
      <alignment vertical="center" wrapText="1"/>
    </xf>
    <xf numFmtId="194" fontId="5" fillId="0" borderId="19" xfId="49" applyNumberFormat="1" applyFont="1" applyFill="1" applyBorder="1" applyAlignment="1">
      <alignment vertical="center" wrapText="1"/>
    </xf>
    <xf numFmtId="0" fontId="34" fillId="0" borderId="10" xfId="0" applyFont="1" applyFill="1" applyBorder="1" applyAlignment="1">
      <alignment horizontal="center" vertical="center"/>
    </xf>
    <xf numFmtId="203" fontId="5" fillId="0" borderId="10" xfId="83"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10" fontId="5" fillId="0" borderId="10" xfId="83" applyNumberFormat="1" applyFont="1" applyFill="1" applyBorder="1" applyAlignment="1">
      <alignment horizontal="center" vertical="center" wrapText="1"/>
    </xf>
    <xf numFmtId="0" fontId="5" fillId="0" borderId="10" xfId="49" applyNumberFormat="1" applyFont="1" applyFill="1" applyBorder="1" applyAlignment="1">
      <alignment horizontal="center" vertical="center"/>
    </xf>
    <xf numFmtId="0" fontId="5" fillId="0" borderId="10" xfId="50" applyNumberFormat="1" applyFont="1" applyFill="1" applyBorder="1" applyAlignment="1">
      <alignment horizontal="center" vertical="center"/>
    </xf>
    <xf numFmtId="0" fontId="5" fillId="0" borderId="10" xfId="5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4" fontId="5" fillId="0" borderId="10" xfId="56"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9" fontId="5" fillId="0" borderId="10" xfId="83" applyFont="1" applyFill="1" applyBorder="1" applyAlignment="1">
      <alignment horizontal="center" vertical="center" wrapText="1"/>
    </xf>
    <xf numFmtId="9" fontId="5" fillId="0" borderId="10" xfId="83" applyNumberFormat="1" applyFont="1" applyFill="1" applyBorder="1" applyAlignment="1">
      <alignment horizontal="center" vertical="center" wrapText="1"/>
    </xf>
    <xf numFmtId="0" fontId="3" fillId="38" borderId="20"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35" fillId="0" borderId="44" xfId="0" applyFont="1" applyFill="1" applyBorder="1" applyAlignment="1">
      <alignment horizontal="center" vertical="center" wrapText="1"/>
    </xf>
    <xf numFmtId="0" fontId="41" fillId="38" borderId="2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10" fontId="17" fillId="35" borderId="10" xfId="0" applyNumberFormat="1"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4" fillId="0" borderId="10" xfId="71" applyFont="1" applyFill="1" applyBorder="1" applyAlignment="1">
      <alignment horizontal="center" vertical="center" wrapText="1"/>
      <protection/>
    </xf>
    <xf numFmtId="3" fontId="17" fillId="0" borderId="10" xfId="0" applyNumberFormat="1"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19" xfId="0" applyFont="1" applyFill="1" applyBorder="1" applyAlignment="1">
      <alignment horizontal="center" vertical="center" wrapText="1"/>
    </xf>
    <xf numFmtId="9" fontId="17" fillId="0" borderId="10" xfId="71" applyNumberFormat="1" applyFont="1" applyFill="1" applyBorder="1" applyAlignment="1">
      <alignment horizontal="center" vertical="center" wrapText="1"/>
      <protection/>
    </xf>
    <xf numFmtId="0" fontId="17" fillId="0" borderId="10" xfId="71" applyFont="1" applyFill="1" applyBorder="1" applyAlignment="1">
      <alignment horizontal="center" vertical="center" wrapText="1"/>
      <protection/>
    </xf>
    <xf numFmtId="3" fontId="17" fillId="35" borderId="10" xfId="0" applyNumberFormat="1" applyFont="1" applyFill="1" applyBorder="1" applyAlignment="1">
      <alignment horizontal="center" vertical="center" wrapText="1"/>
    </xf>
    <xf numFmtId="2" fontId="17" fillId="35"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196" fontId="17" fillId="35" borderId="10" xfId="66" applyNumberFormat="1" applyFont="1" applyFill="1" applyBorder="1" applyAlignment="1">
      <alignment horizontal="center" vertical="center" wrapText="1"/>
      <protection/>
    </xf>
    <xf numFmtId="0" fontId="36" fillId="0" borderId="10" xfId="0" applyFont="1" applyFill="1" applyBorder="1" applyAlignment="1">
      <alignment horizontal="center" vertical="center" wrapText="1"/>
    </xf>
    <xf numFmtId="0" fontId="5" fillId="0" borderId="10" xfId="0" applyFont="1" applyFill="1" applyBorder="1" applyAlignment="1">
      <alignment horizontal="center"/>
    </xf>
    <xf numFmtId="0" fontId="40" fillId="0" borderId="10" xfId="0" applyFont="1" applyFill="1" applyBorder="1" applyAlignment="1">
      <alignment horizontal="center" vertical="center" wrapText="1"/>
    </xf>
    <xf numFmtId="196" fontId="18" fillId="0" borderId="10" xfId="0" applyNumberFormat="1" applyFont="1" applyFill="1" applyBorder="1" applyAlignment="1">
      <alignment horizontal="center" vertical="center"/>
    </xf>
    <xf numFmtId="10" fontId="17" fillId="0" borderId="10" xfId="83"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9" fontId="35" fillId="0" borderId="10" xfId="0" applyNumberFormat="1" applyFont="1" applyFill="1" applyBorder="1" applyAlignment="1">
      <alignment horizontal="center" vertical="center" wrapText="1"/>
    </xf>
    <xf numFmtId="49" fontId="17" fillId="35" borderId="10" xfId="67" applyNumberFormat="1" applyFont="1" applyFill="1" applyBorder="1" applyAlignment="1">
      <alignment horizontal="center" vertical="center" wrapText="1"/>
      <protection/>
    </xf>
    <xf numFmtId="0" fontId="17" fillId="35" borderId="10" xfId="68" applyFont="1" applyFill="1" applyBorder="1" applyAlignment="1">
      <alignment horizontal="center" vertical="center" wrapText="1"/>
      <protection/>
    </xf>
    <xf numFmtId="3" fontId="17" fillId="35" borderId="10" xfId="69" applyNumberFormat="1" applyFont="1" applyFill="1" applyBorder="1" applyAlignment="1">
      <alignment horizontal="center" vertical="center" wrapText="1"/>
      <protection/>
    </xf>
    <xf numFmtId="10" fontId="5" fillId="0" borderId="10" xfId="0" applyNumberFormat="1" applyFont="1" applyFill="1" applyBorder="1" applyAlignment="1">
      <alignment horizontal="center" vertical="center"/>
    </xf>
    <xf numFmtId="9" fontId="17" fillId="35" borderId="10" xfId="69" applyNumberFormat="1" applyFont="1" applyFill="1" applyBorder="1" applyAlignment="1">
      <alignment horizontal="center" vertical="center" wrapText="1"/>
      <protection/>
    </xf>
    <xf numFmtId="49" fontId="17" fillId="0" borderId="10" xfId="0" applyNumberFormat="1" applyFont="1" applyFill="1" applyBorder="1" applyAlignment="1">
      <alignment horizontal="center" vertical="center" wrapText="1"/>
    </xf>
    <xf numFmtId="1" fontId="35" fillId="0" borderId="10" xfId="0" applyNumberFormat="1" applyFont="1" applyFill="1" applyBorder="1" applyAlignment="1">
      <alignment horizontal="center" vertical="center" wrapText="1"/>
    </xf>
    <xf numFmtId="0" fontId="17" fillId="35" borderId="10" xfId="74" applyNumberFormat="1" applyFont="1" applyFill="1" applyBorder="1" applyAlignment="1">
      <alignment horizontal="center" vertical="center" wrapText="1"/>
      <protection/>
    </xf>
    <xf numFmtId="9" fontId="17" fillId="35" borderId="10" xfId="74" applyNumberFormat="1" applyFont="1" applyFill="1" applyBorder="1" applyAlignment="1">
      <alignment horizontal="center" vertical="center" wrapText="1"/>
      <protection/>
    </xf>
    <xf numFmtId="1" fontId="17"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196" fontId="42" fillId="0" borderId="10" xfId="0" applyNumberFormat="1" applyFont="1" applyFill="1" applyBorder="1" applyAlignment="1">
      <alignment horizontal="center" vertical="center" wrapText="1"/>
    </xf>
    <xf numFmtId="10" fontId="17" fillId="0" borderId="10" xfId="0" applyNumberFormat="1" applyFont="1" applyFill="1" applyBorder="1" applyAlignment="1">
      <alignment horizontal="center" vertical="center" wrapText="1"/>
    </xf>
    <xf numFmtId="9" fontId="17" fillId="0" borderId="10" xfId="0" applyNumberFormat="1" applyFont="1" applyFill="1" applyBorder="1" applyAlignment="1">
      <alignment horizontal="center" vertical="center" wrapText="1"/>
    </xf>
    <xf numFmtId="0" fontId="17" fillId="35" borderId="10" xfId="74" applyFont="1" applyFill="1" applyBorder="1" applyAlignment="1">
      <alignment horizontal="center" vertical="center" wrapText="1"/>
      <protection/>
    </xf>
    <xf numFmtId="49" fontId="17" fillId="35" borderId="10" xfId="74" applyNumberFormat="1" applyFont="1" applyFill="1" applyBorder="1" applyAlignment="1">
      <alignment horizontal="center" vertical="center" wrapText="1"/>
      <protection/>
    </xf>
    <xf numFmtId="9" fontId="17" fillId="35" borderId="10" xfId="0" applyNumberFormat="1" applyFont="1" applyFill="1" applyBorder="1" applyAlignment="1">
      <alignment horizontal="center" vertical="center" wrapText="1"/>
    </xf>
    <xf numFmtId="0" fontId="17" fillId="35" borderId="10" xfId="66" applyFont="1" applyFill="1" applyBorder="1" applyAlignment="1">
      <alignment horizontal="center" vertical="center" wrapText="1"/>
      <protection/>
    </xf>
    <xf numFmtId="3" fontId="17" fillId="35" borderId="10" xfId="0" applyNumberFormat="1" applyFont="1" applyFill="1" applyBorder="1" applyAlignment="1">
      <alignment horizontal="right" vertical="center" wrapText="1"/>
    </xf>
    <xf numFmtId="9" fontId="17" fillId="35" borderId="10" xfId="84"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4" fillId="0" borderId="10" xfId="76" applyNumberFormat="1" applyFont="1" applyFill="1" applyBorder="1" applyAlignment="1">
      <alignment horizontal="right" vertical="center" wrapText="1"/>
      <protection/>
    </xf>
    <xf numFmtId="3" fontId="17" fillId="0" borderId="10" xfId="76" applyNumberFormat="1" applyFont="1" applyFill="1" applyBorder="1" applyAlignment="1">
      <alignment horizontal="right" vertical="center" wrapText="1"/>
      <protection/>
    </xf>
    <xf numFmtId="3" fontId="17" fillId="0" borderId="10" xfId="0" applyNumberFormat="1" applyFont="1" applyFill="1" applyBorder="1" applyAlignment="1">
      <alignment horizontal="right" vertical="center" wrapText="1"/>
    </xf>
    <xf numFmtId="3" fontId="17" fillId="0" borderId="10" xfId="75" applyNumberFormat="1" applyFont="1" applyFill="1" applyBorder="1" applyAlignment="1">
      <alignment horizontal="center" vertical="center" wrapText="1"/>
      <protection/>
    </xf>
    <xf numFmtId="9" fontId="17" fillId="0" borderId="10" xfId="75" applyNumberFormat="1" applyFont="1" applyFill="1" applyBorder="1" applyAlignment="1">
      <alignment horizontal="center" vertical="center" wrapText="1"/>
      <protection/>
    </xf>
    <xf numFmtId="197" fontId="17" fillId="0" borderId="10" xfId="0" applyNumberFormat="1" applyFont="1" applyFill="1" applyBorder="1" applyAlignment="1">
      <alignment horizontal="center" vertical="center" wrapText="1"/>
    </xf>
    <xf numFmtId="196" fontId="17" fillId="0" borderId="10" xfId="83" applyNumberFormat="1" applyFont="1" applyFill="1" applyBorder="1" applyAlignment="1">
      <alignment horizontal="center" vertical="center" wrapText="1"/>
    </xf>
    <xf numFmtId="3" fontId="17" fillId="35" borderId="10" xfId="77" applyNumberFormat="1" applyFont="1" applyFill="1" applyBorder="1" applyAlignment="1">
      <alignment horizontal="center" vertical="center" wrapText="1"/>
      <protection/>
    </xf>
    <xf numFmtId="197" fontId="17" fillId="35" borderId="10" xfId="0" applyNumberFormat="1" applyFont="1" applyFill="1" applyBorder="1" applyAlignment="1">
      <alignment horizontal="center" vertical="center" wrapText="1"/>
    </xf>
    <xf numFmtId="1" fontId="17" fillId="35" borderId="10" xfId="0" applyNumberFormat="1" applyFont="1" applyFill="1" applyBorder="1" applyAlignment="1">
      <alignment horizontal="center" vertical="center" wrapText="1"/>
    </xf>
    <xf numFmtId="3" fontId="17" fillId="35" borderId="10" xfId="80" applyNumberFormat="1" applyFont="1" applyFill="1" applyBorder="1" applyAlignment="1">
      <alignment horizontal="center" vertical="center" wrapText="1"/>
      <protection/>
    </xf>
    <xf numFmtId="3" fontId="17" fillId="35" borderId="10" xfId="63" applyNumberFormat="1" applyFont="1" applyFill="1" applyBorder="1" applyAlignment="1">
      <alignment horizontal="center" vertical="center" wrapText="1"/>
      <protection/>
    </xf>
    <xf numFmtId="10" fontId="17" fillId="35" borderId="10" xfId="66" applyNumberFormat="1" applyFont="1" applyFill="1" applyBorder="1" applyAlignment="1">
      <alignment horizontal="center" vertical="center" wrapText="1"/>
      <protection/>
    </xf>
    <xf numFmtId="3" fontId="17" fillId="0" borderId="10" xfId="71" applyNumberFormat="1" applyFont="1" applyFill="1" applyBorder="1" applyAlignment="1">
      <alignment horizontal="center" vertical="center" wrapText="1"/>
      <protection/>
    </xf>
    <xf numFmtId="10" fontId="17" fillId="0" borderId="10" xfId="71" applyNumberFormat="1" applyFont="1" applyFill="1" applyBorder="1" applyAlignment="1">
      <alignment horizontal="center" vertical="center" wrapText="1"/>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21" xfId="52"/>
    <cellStyle name="Millares 3" xfId="53"/>
    <cellStyle name="Millares 4" xfId="54"/>
    <cellStyle name="Millares 7" xfId="55"/>
    <cellStyle name="Currency" xfId="56"/>
    <cellStyle name="Currency [0]" xfId="57"/>
    <cellStyle name="Moneda 17" xfId="58"/>
    <cellStyle name="Moneda 25" xfId="59"/>
    <cellStyle name="Neutral" xfId="60"/>
    <cellStyle name="Normal 10" xfId="61"/>
    <cellStyle name="Normal 11" xfId="62"/>
    <cellStyle name="Normal 12" xfId="63"/>
    <cellStyle name="Normal 13" xfId="64"/>
    <cellStyle name="Normal 18" xfId="65"/>
    <cellStyle name="Normal 2" xfId="66"/>
    <cellStyle name="Normal 26" xfId="67"/>
    <cellStyle name="Normal 27" xfId="68"/>
    <cellStyle name="Normal 28" xfId="69"/>
    <cellStyle name="Normal 29" xfId="70"/>
    <cellStyle name="Normal 3" xfId="71"/>
    <cellStyle name="Normal 3 16" xfId="72"/>
    <cellStyle name="Normal 3 2" xfId="73"/>
    <cellStyle name="Normal 30" xfId="74"/>
    <cellStyle name="Normal 31" xfId="75"/>
    <cellStyle name="Normal 4" xfId="76"/>
    <cellStyle name="Normal 5" xfId="77"/>
    <cellStyle name="Normal 6" xfId="78"/>
    <cellStyle name="Normal 7" xfId="79"/>
    <cellStyle name="Normal 8" xfId="80"/>
    <cellStyle name="Normal 9" xfId="81"/>
    <cellStyle name="Notas" xfId="82"/>
    <cellStyle name="Percent" xfId="83"/>
    <cellStyle name="Porcentual 2"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0</xdr:row>
      <xdr:rowOff>76200</xdr:rowOff>
    </xdr:from>
    <xdr:to>
      <xdr:col>11</xdr:col>
      <xdr:colOff>1266825</xdr:colOff>
      <xdr:row>9</xdr:row>
      <xdr:rowOff>0</xdr:rowOff>
    </xdr:to>
    <xdr:pic>
      <xdr:nvPicPr>
        <xdr:cNvPr id="1" name="Picture 3" descr="alt"/>
        <xdr:cNvPicPr preferRelativeResize="1">
          <a:picLocks noChangeAspect="1"/>
        </xdr:cNvPicPr>
      </xdr:nvPicPr>
      <xdr:blipFill>
        <a:blip r:embed="rId1"/>
        <a:stretch>
          <a:fillRect/>
        </a:stretch>
      </xdr:blipFill>
      <xdr:spPr>
        <a:xfrm>
          <a:off x="3943350" y="76200"/>
          <a:ext cx="11677650" cy="1724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park/user/jaime_jaramillo@127.0.0.1/J/Configuraci%25C3%259Bn%20local/temp/PLAN%20INDICATIVO.xlsx#'SEG%20POLITICA'!A1" TargetMode="External" /><Relationship Id="rId2" Type="http://schemas.openxmlformats.org/officeDocument/2006/relationships/hyperlink" Target="../../../../../../../Spark/user/jaime_jaramillo@127.0.0.1/J/Configuraci%25C3%259Bn%20local/temp/PLAN%20INDICATIVO.xlsx#'SEG%20POLITICA'!A1" TargetMode="External" /><Relationship Id="rId3" Type="http://schemas.openxmlformats.org/officeDocument/2006/relationships/hyperlink" Target="../../../../../../../Spark/user/jaime_jaramillo@127.0.0.1/J/Configuraci%25C3%259Bn%20local/temp/PLAN%20INDICATIVO.xlsx#'SEG%20POLITICA'!A1" TargetMode="External" /><Relationship Id="rId4" Type="http://schemas.openxmlformats.org/officeDocument/2006/relationships/hyperlink" Target="../../../../../../../Spark/user/jaime_jaramillo@127.0.0.1/J/Configuraci%25C3%259Bn%20local/temp/PLAN%20INDICATIVO.xlsx#'SEG%20POLITICA'!A1" TargetMode="External" /><Relationship Id="rId5" Type="http://schemas.openxmlformats.org/officeDocument/2006/relationships/hyperlink" Target="../../../../../../../Spark/user/jaime_jaramillo@127.0.0.1/J/Configuraci%25C3%259Bn%20local/temp/PLAN%20INDICATIVO.xlsx#'SEG%20POLITICA'!A1" TargetMode="External" /><Relationship Id="rId6" Type="http://schemas.openxmlformats.org/officeDocument/2006/relationships/hyperlink" Target="../../../../../../../Spark/user/jaime_jaramillo@127.0.0.1/J/Configuraci%25C3%259Bn%20local/temp/PLAN%20INDICATIVO.xlsx#'SEG%20POLITICA'!A1" TargetMode="External" /><Relationship Id="rId7" Type="http://schemas.openxmlformats.org/officeDocument/2006/relationships/hyperlink" Target="../../../../../../../Spark/user/jaime_jaramillo@127.0.0.1/J/Configuraci%25C3%259Bn%20local/temp/PLAN%20INDICATIVO.xlsx#'SEG%20POLITICA'!A1" TargetMode="External" /><Relationship Id="rId8" Type="http://schemas.openxmlformats.org/officeDocument/2006/relationships/hyperlink" Target="../../../../../../../Spark/user/jaime_jaramillo@127.0.0.1/J/Configuraci%25C3%259Bn%20local/temp/PLAN%20INDICATIVO.xlsx#'SEG%20POLITICA'!A1" TargetMode="External" /><Relationship Id="rId9" Type="http://schemas.openxmlformats.org/officeDocument/2006/relationships/hyperlink" Target="../../../../../../../Spark/user/jaime_jaramillo@127.0.0.1/J/Configuraci%25C3%259Bn%20local/temp/PLAN%20INDICATIVO.xlsx#'SEG%20POLITICA'!A1" TargetMode="External" /><Relationship Id="rId10" Type="http://schemas.openxmlformats.org/officeDocument/2006/relationships/hyperlink" Target="../../../../../../../Spark/user/jaime_jaramillo@127.0.0.1/J/Configuraci%25C3%259Bn%20local/temp/PLAN%20INDICATIVO.xlsx#'SEG%20POLITICA'!A1" TargetMode="External" /><Relationship Id="rId11" Type="http://schemas.openxmlformats.org/officeDocument/2006/relationships/hyperlink" Target="../../../../../../../Spark/user/jaime_jaramillo@127.0.0.1/J/Configuraci%25C3%259Bn%20local/temp/PLAN%20INDICATIVO.xlsx#'SEG%20POLITICA'!A1" TargetMode="External" /><Relationship Id="rId12" Type="http://schemas.openxmlformats.org/officeDocument/2006/relationships/hyperlink" Target="../../../../../../../Spark/user/jaime_jaramillo@127.0.0.1/J/Configuraci%25C3%259Bn%20local/temp/PLAN%20INDICATIVO.xlsx#'SEG%20POLITICA'!A1" TargetMode="External" /><Relationship Id="rId13" Type="http://schemas.openxmlformats.org/officeDocument/2006/relationships/hyperlink" Target="../../../../../../../Spark/user/jaime_jaramillo@127.0.0.1/J/Configuraci%25C3%259Bn%20local/temp/PLAN%20INDICATIVO.xlsx#'SEG%20POLITICA'!A1" TargetMode="External" /><Relationship Id="rId14" Type="http://schemas.openxmlformats.org/officeDocument/2006/relationships/hyperlink" Target="../../../../../../../Spark/user/jaime_jaramillo@127.0.0.1/J/Configuraci%25C3%259Bn%20local/temp/PLAN%20INDICATIVO.xlsx#'SEG%20POLITICA'!A1" TargetMode="External" /><Relationship Id="rId15" Type="http://schemas.openxmlformats.org/officeDocument/2006/relationships/hyperlink" Target="../../../../../../../Spark/user/jaime_jaramillo@127.0.0.1/J/Configuraci%25C3%259Bn%20local/temp/PLAN%20INDICATIVO.xlsx#'SEG%20POLITICA'!A1" TargetMode="External" /><Relationship Id="rId16" Type="http://schemas.openxmlformats.org/officeDocument/2006/relationships/hyperlink" Target="../../../../../../../Spark/user/jaime_jaramillo@127.0.0.1/J/Configuraci%25C3%259Bn%20local/temp/PLAN%20INDICATIVO.xlsx#'SEG%20EDUC%20Y%20SALUD'!A1" TargetMode="External" /><Relationship Id="rId17" Type="http://schemas.openxmlformats.org/officeDocument/2006/relationships/hyperlink" Target="../../../../../../../Spark/user/jaime_jaramillo@127.0.0.1/J/Configuraci%25C3%259Bn%20local/temp/PLAN%20INDICATIVO.xlsx#'SEG%20EDUC%20Y%20SALUD'!A1" TargetMode="External" /><Relationship Id="rId18" Type="http://schemas.openxmlformats.org/officeDocument/2006/relationships/hyperlink" Target="../../../../../../../Spark/user/jaime_jaramillo@127.0.0.1/J/Configuraci%25C3%259Bn%20local/temp/PLAN%20INDICATIVO.xlsx#'SEG%20EDUC%20Y%20SALUD'!A1" TargetMode="External" /><Relationship Id="rId19" Type="http://schemas.openxmlformats.org/officeDocument/2006/relationships/hyperlink" Target="../../../../../../../Spark/user/jaime_jaramillo@127.0.0.1/J/Configuraci%25C3%259Bn%20local/temp/PLAN%20INDICATIVO.xlsx#'SEG%20EDUC%20Y%20SALUD'!A1" TargetMode="External" /><Relationship Id="rId20" Type="http://schemas.openxmlformats.org/officeDocument/2006/relationships/hyperlink" Target="../../../../../../../Spark/user/jaime_jaramillo@127.0.0.1/J/Configuraci%25C3%259Bn%20local/temp/PLAN%20INDICATIVO.xlsx#'SEG%20EDUC%20Y%20SALUD'!A1" TargetMode="External" /><Relationship Id="rId21" Type="http://schemas.openxmlformats.org/officeDocument/2006/relationships/hyperlink" Target="../../../../../../../Spark/user/jaime_jaramillo@127.0.0.1/J/Configuraci%25C3%259Bn%20local/temp/PLAN%20INDICATIVO.xlsx#'SEG%20EDUC%20Y%20SALUD'!A1" TargetMode="External" /><Relationship Id="rId22" Type="http://schemas.openxmlformats.org/officeDocument/2006/relationships/hyperlink" Target="../../../../../../../Spark/user/jaime_jaramillo@127.0.0.1/J/Configuraci%25C3%259Bn%20local/temp/PLAN%20INDICATIVO.xlsx#'SEG%20EDUC%20Y%20SALUD'!A1" TargetMode="External" /><Relationship Id="rId23" Type="http://schemas.openxmlformats.org/officeDocument/2006/relationships/hyperlink" Target="../../../../../../../Spark/user/jaime_jaramillo@127.0.0.1/J/Configuraci%25C3%259Bn%20local/temp/PLAN%20INDICATIVO.xlsx#'SEG%20EDUC%20Y%20SALUD'!A1" TargetMode="External" /><Relationship Id="rId24" Type="http://schemas.openxmlformats.org/officeDocument/2006/relationships/hyperlink" Target="../../../../../../../Spark/user/jaime_jaramillo@127.0.0.1/J/Configuraci%25C3%259Bn%20local/temp/PLAN%20INDICATIVO.xlsx#'SEG%20EDUC%20Y%20SALUD'!A1" TargetMode="External" /><Relationship Id="rId25" Type="http://schemas.openxmlformats.org/officeDocument/2006/relationships/hyperlink" Target="../../../../../../../Spark/user/jaime_jaramillo@127.0.0.1/J/Configuraci%25C3%259Bn%20local/temp/PLAN%20INDICATIVO.xlsx#'SEG%20EDUC%20Y%20SALUD'!A1" TargetMode="External" /><Relationship Id="rId26" Type="http://schemas.openxmlformats.org/officeDocument/2006/relationships/hyperlink" Target="../../../../../../../Spark/user/jaime_jaramillo@127.0.0.1/J/Configuraci%25C3%259Bn%20local/temp/PLAN%20INDICATIVO.xlsx#'SEG%20EDUC%20Y%20SALUD'!A1" TargetMode="External" /><Relationship Id="rId27" Type="http://schemas.openxmlformats.org/officeDocument/2006/relationships/hyperlink" Target="../../../../../../../Spark/user/jaime_jaramillo@127.0.0.1/J/Configuraci%25C3%259Bn%20local/temp/PLAN%20INDICATIVO.xlsx#'SEG%20EDUC%20Y%20SALUD'!A1" TargetMode="External" /><Relationship Id="rId28" Type="http://schemas.openxmlformats.org/officeDocument/2006/relationships/hyperlink" Target="../../../../../../../Spark/user/jaime_jaramillo@127.0.0.1/J/Configuraci%25C3%259Bn%20local/temp/PLAN%20INDICATIVO.xlsx#'SEG%20EDUC%20Y%20SALUD'!A1" TargetMode="External" /><Relationship Id="rId29" Type="http://schemas.openxmlformats.org/officeDocument/2006/relationships/hyperlink" Target="../../../../../../../Spark/user/jaime_jaramillo@127.0.0.1/J/Configuraci%25C3%259Bn%20local/temp/PLAN%20INDICATIVO.xlsx#'SEG%20EDUC%20Y%20SALUD'!A1" TargetMode="External" /><Relationship Id="rId30" Type="http://schemas.openxmlformats.org/officeDocument/2006/relationships/hyperlink" Target="../../../../../../../Spark/user/jaime_jaramillo@127.0.0.1/J/Configuraci%25C3%259Bn%20local/temp/PLAN%20INDICATIVO.xlsx#'SEG%20EDUC%20Y%20SALUD'!A1" TargetMode="External" /><Relationship Id="rId31" Type="http://schemas.openxmlformats.org/officeDocument/2006/relationships/hyperlink" Target="../../../../../../../Spark/user/jaime_jaramillo@127.0.0.1/J/Configuraci%25C3%259Bn%20local/temp/PLAN%20INDICATIVO.xlsx#'SEG%20AMB%20Y%20ENTORNO'!A1" TargetMode="External" /><Relationship Id="rId32" Type="http://schemas.openxmlformats.org/officeDocument/2006/relationships/hyperlink" Target="../../../../../../../Spark/user/jaime_jaramillo@127.0.0.1/J/Configuraci%25C3%259Bn%20local/temp/PLAN%20INDICATIVO.xlsx#'SEG%20AMB%20Y%20ENTORNO'!A1" TargetMode="External" /><Relationship Id="rId33" Type="http://schemas.openxmlformats.org/officeDocument/2006/relationships/hyperlink" Target="../../../../../../../Spark/user/jaime_jaramillo@127.0.0.1/J/Configuraci%25C3%259Bn%20local/temp/PLAN%20INDICATIVO.xlsx#'SEG%20AMB%20Y%20ENTORNO'!A1" TargetMode="External" /><Relationship Id="rId34" Type="http://schemas.openxmlformats.org/officeDocument/2006/relationships/hyperlink" Target="../../../../../../../Spark/user/jaime_jaramillo@127.0.0.1/J/Configuraci%25C3%259Bn%20local/temp/PLAN%20INDICATIVO.xlsx#'SEG%20AMB%20Y%20ENTORNO'!A1" TargetMode="External" /><Relationship Id="rId35" Type="http://schemas.openxmlformats.org/officeDocument/2006/relationships/hyperlink" Target="../../../../../../../Spark/user/jaime_jaramillo@127.0.0.1/J/Configuraci%25C3%259Bn%20local/temp/PLAN%20INDICATIVO.xlsx#'SEG%20AMB%20Y%20ENTORNO'!A1" TargetMode="External" /><Relationship Id="rId36" Type="http://schemas.openxmlformats.org/officeDocument/2006/relationships/hyperlink" Target="../../../../../../../Spark/user/jaime_jaramillo@127.0.0.1/J/Configuraci%25C3%259Bn%20local/temp/PLAN%20INDICATIVO.xlsx#'SEG%20AMB%20Y%20ENTORNO'!A1" TargetMode="External" /><Relationship Id="rId37" Type="http://schemas.openxmlformats.org/officeDocument/2006/relationships/hyperlink" Target="../../../../../../../Spark/user/jaime_jaramillo@127.0.0.1/J/Configuraci%25C3%259Bn%20local/temp/PLAN%20INDICATIVO.xlsx#'SEG%20AMB%20Y%20ENTORNO'!A1" TargetMode="External" /><Relationship Id="rId38" Type="http://schemas.openxmlformats.org/officeDocument/2006/relationships/hyperlink" Target="../../../../../../../Spark/user/jaime_jaramillo@127.0.0.1/J/Configuraci%25C3%259Bn%20local/temp/PLAN%20INDICATIVO.xlsx#'SEG%20AMB%20Y%20ENTORNO'!A1" TargetMode="External" /><Relationship Id="rId39" Type="http://schemas.openxmlformats.org/officeDocument/2006/relationships/hyperlink" Target="../../../../../../../Spark/user/jaime_jaramillo@127.0.0.1/J/Configuraci%25C3%259Bn%20local/temp/PLAN%20INDICATIVO.xlsx#'SEG%20AMB%20Y%20ENTORNO'!A1" TargetMode="External" /><Relationship Id="rId40" Type="http://schemas.openxmlformats.org/officeDocument/2006/relationships/hyperlink" Target="../../../../../../../Spark/user/jaime_jaramillo@127.0.0.1/J/Configuraci%25C3%259Bn%20local/temp/PLAN%20INDICATIVO.xlsx#'SEG%20AMB%20Y%20ENTORNO'!A1" TargetMode="External" /><Relationship Id="rId41" Type="http://schemas.openxmlformats.org/officeDocument/2006/relationships/hyperlink" Target="../../../../../../../Spark/user/jaime_jaramillo@127.0.0.1/J/Configuraci%25C3%259Bn%20local/temp/PLAN%20INDICATIVO.xlsx#'SEG%20AMB%20Y%20ENTORNO'!A1" TargetMode="External" /><Relationship Id="rId42" Type="http://schemas.openxmlformats.org/officeDocument/2006/relationships/hyperlink" Target="../../../../../../../Spark/user/jaime_jaramillo@127.0.0.1/J/Configuraci%25C3%259Bn%20local/temp/PLAN%20INDICATIVO.xlsx#'SEG%20AMB%20Y%20ENTORNO'!A1" TargetMode="External" /><Relationship Id="rId43" Type="http://schemas.openxmlformats.org/officeDocument/2006/relationships/hyperlink" Target="../../../../../../../Spark/user/jaime_jaramillo@127.0.0.1/J/Configuraci%25C3%259Bn%20local/temp/PLAN%20INDICATIVO.xlsx#'SEG%20AMB%20Y%20ENTORNO'!A1" TargetMode="External" /><Relationship Id="rId44" Type="http://schemas.openxmlformats.org/officeDocument/2006/relationships/hyperlink" Target="../../../../../../../Spark/user/jaime_jaramillo@127.0.0.1/J/Configuraci%25C3%259Bn%20local/temp/PLAN%20INDICATIVO.xlsx#'SEG%20AMB%20Y%20ENTORNO'!A1" TargetMode="External" /><Relationship Id="rId45" Type="http://schemas.openxmlformats.org/officeDocument/2006/relationships/hyperlink" Target="../../../../../../../Spark/user/jaime_jaramillo@127.0.0.1/J/Configuraci%25C3%259Bn%20local/temp/PLAN%20INDICATIVO.xlsx#'SEG%20AMB%20Y%20ENTORNO'!A1" TargetMode="External" /><Relationship Id="rId46" Type="http://schemas.openxmlformats.org/officeDocument/2006/relationships/hyperlink" Target="../../../../../../../Spark/user/jaime_jaramillo@127.0.0.1/J/Configuraci%25C3%259Bn%20local/temp/PLAN%20INDICATIVO.xlsx#'SEG%20ECON%20Y%20ALIM'!A1" TargetMode="External" /><Relationship Id="rId47" Type="http://schemas.openxmlformats.org/officeDocument/2006/relationships/hyperlink" Target="../../../../../../../Spark/user/jaime_jaramillo@127.0.0.1/J/Configuraci%25C3%259Bn%20local/temp/PLAN%20INDICATIVO.xlsx#'SEG%20ECON%20Y%20ALIM'!A1" TargetMode="External" /><Relationship Id="rId48" Type="http://schemas.openxmlformats.org/officeDocument/2006/relationships/hyperlink" Target="../../../../../../../Spark/user/jaime_jaramillo@127.0.0.1/J/Configuraci%25C3%259Bn%20local/temp/PLAN%20INDICATIVO.xlsx#'SEG%20ECON%20Y%20ALIM'!A1" TargetMode="External" /><Relationship Id="rId49" Type="http://schemas.openxmlformats.org/officeDocument/2006/relationships/hyperlink" Target="../../../../../../../Spark/user/jaime_jaramillo@127.0.0.1/J/Configuraci%25C3%259Bn%20local/temp/PLAN%20INDICATIVO.xlsx#'SEG%20ECON%20Y%20ALIM'!A1" TargetMode="External" /><Relationship Id="rId50" Type="http://schemas.openxmlformats.org/officeDocument/2006/relationships/hyperlink" Target="../../../../../../../Spark/user/jaime_jaramillo@127.0.0.1/J/Configuraci%25C3%259Bn%20local/temp/PLAN%20INDICATIVO.xlsx#'SEG%20ECON%20Y%20ALIM'!A1" TargetMode="External" /><Relationship Id="rId51" Type="http://schemas.openxmlformats.org/officeDocument/2006/relationships/hyperlink" Target="../../../../../../../Spark/user/jaime_jaramillo@127.0.0.1/J/Configuraci%25C3%259Bn%20local/temp/PLAN%20INDICATIVO.xlsx#'SEG%20ECON%20Y%20ALIM'!A1" TargetMode="External" /><Relationship Id="rId52" Type="http://schemas.openxmlformats.org/officeDocument/2006/relationships/hyperlink" Target="../../../../../../../Spark/user/jaime_jaramillo@127.0.0.1/J/Configuraci%25C3%259Bn%20local/temp/PLAN%20INDICATIVO.xlsx#'SEG%20ECON%20Y%20ALIM'!A1" TargetMode="External" /><Relationship Id="rId53" Type="http://schemas.openxmlformats.org/officeDocument/2006/relationships/hyperlink" Target="../../../../../../../Spark/user/jaime_jaramillo@127.0.0.1/J/Configuraci%25C3%259Bn%20local/temp/PLAN%20INDICATIVO.xlsx#'SEG%20ECON%20Y%20ALIM'!A1" TargetMode="External" /><Relationship Id="rId54" Type="http://schemas.openxmlformats.org/officeDocument/2006/relationships/hyperlink" Target="../../../../../../../Spark/user/jaime_jaramillo@127.0.0.1/J/Configuraci%25C3%259Bn%20local/temp/PLAN%20INDICATIVO.xlsx#'SEG%20ECON%20Y%20ALIM'!A1" TargetMode="External" /><Relationship Id="rId55" Type="http://schemas.openxmlformats.org/officeDocument/2006/relationships/hyperlink" Target="../../../../../../../Spark/user/jaime_jaramillo@127.0.0.1/J/Configuraci%25C3%259Bn%20local/temp/PLAN%20INDICATIVO.xlsx#'SEG%20ECON%20Y%20ALIM'!A1" TargetMode="External" /><Relationship Id="rId56" Type="http://schemas.openxmlformats.org/officeDocument/2006/relationships/hyperlink" Target="../../../../../../../Spark/user/jaime_jaramillo@127.0.0.1/J/Configuraci%25C3%259Bn%20local/temp/PLAN%20INDICATIVO.xlsx#'SEG%20ECON%20Y%20ALIM'!A1" TargetMode="External" /><Relationship Id="rId57" Type="http://schemas.openxmlformats.org/officeDocument/2006/relationships/hyperlink" Target="../../../../../../../Spark/user/jaime_jaramillo@127.0.0.1/J/Configuraci%25C3%259Bn%20local/temp/PLAN%20INDICATIVO.xlsx#'SEG%20ECON%20Y%20ALIM'!A1" TargetMode="External" /><Relationship Id="rId58" Type="http://schemas.openxmlformats.org/officeDocument/2006/relationships/hyperlink" Target="../../../../../../../Spark/user/jaime_jaramillo@127.0.0.1/J/Configuraci%25C3%259Bn%20local/temp/PLAN%20INDICATIVO.xlsx#'SEG%20ECON%20Y%20ALIM'!A1" TargetMode="External" /><Relationship Id="rId59" Type="http://schemas.openxmlformats.org/officeDocument/2006/relationships/hyperlink" Target="../../../../../../../Spark/user/jaime_jaramillo@127.0.0.1/J/Configuraci%25C3%259Bn%20local/temp/PLAN%20INDICATIVO.xlsx#'SEG%20ECON%20Y%20ALIM'!A1" TargetMode="External" /><Relationship Id="rId60" Type="http://schemas.openxmlformats.org/officeDocument/2006/relationships/hyperlink" Target="../../../../../../../Spark/user/jaime_jaramillo@127.0.0.1/J/Configuraci%25C3%259Bn%20local/temp/PLAN%20INDICATIVO.xlsx#'SEG%20ECON%20Y%20ALIM'!A1" TargetMode="External" /><Relationship Id="rId61" Type="http://schemas.openxmlformats.org/officeDocument/2006/relationships/hyperlink" Target="../../../../../../../Spark/user/jaime_jaramillo@127.0.0.1/J/Configuraci%25C3%259Bn%20local/temp/PLAN%20INDICATIVO.xlsx#'SEG%20PERS%20Y%20COM'!A1" TargetMode="External" /><Relationship Id="rId62" Type="http://schemas.openxmlformats.org/officeDocument/2006/relationships/hyperlink" Target="../../../../../../../Spark/user/jaime_jaramillo@127.0.0.1/J/Configuraci%25C3%259Bn%20local/temp/PLAN%20INDICATIVO.xlsx#'SEG%20PERS%20Y%20COM'!A1" TargetMode="External" /><Relationship Id="rId63" Type="http://schemas.openxmlformats.org/officeDocument/2006/relationships/hyperlink" Target="../../../../../../../Spark/user/jaime_jaramillo@127.0.0.1/J/Configuraci%25C3%259Bn%20local/temp/PLAN%20INDICATIVO.xlsx#'SEG%20PERS%20Y%20COM'!A1" TargetMode="External" /><Relationship Id="rId64" Type="http://schemas.openxmlformats.org/officeDocument/2006/relationships/hyperlink" Target="../../../../../../../Spark/user/jaime_jaramillo@127.0.0.1/J/Configuraci%25C3%259Bn%20local/temp/PLAN%20INDICATIVO.xlsx#'SEG%20PERS%20Y%20COM'!A1" TargetMode="External" /><Relationship Id="rId65" Type="http://schemas.openxmlformats.org/officeDocument/2006/relationships/hyperlink" Target="../../../../../../../Spark/user/jaime_jaramillo@127.0.0.1/J/Configuraci%25C3%259Bn%20local/temp/PLAN%20INDICATIVO.xlsx#'SEG%20PERS%20Y%20COM'!A1" TargetMode="External" /><Relationship Id="rId66" Type="http://schemas.openxmlformats.org/officeDocument/2006/relationships/hyperlink" Target="../../../../../../../Spark/user/jaime_jaramillo@127.0.0.1/J/Configuraci%25C3%259Bn%20local/temp/PLAN%20INDICATIVO.xlsx#'SEG%20PERS%20Y%20COM'!A1" TargetMode="External" /><Relationship Id="rId67" Type="http://schemas.openxmlformats.org/officeDocument/2006/relationships/hyperlink" Target="../../../../../../../Spark/user/jaime_jaramillo@127.0.0.1/J/Configuraci%25C3%259Bn%20local/temp/PLAN%20INDICATIVO.xlsx#'SEG%20PERS%20Y%20COM'!A1" TargetMode="External" /><Relationship Id="rId68" Type="http://schemas.openxmlformats.org/officeDocument/2006/relationships/hyperlink" Target="../../../../../../../Spark/user/jaime_jaramillo@127.0.0.1/J/Configuraci%25C3%259Bn%20local/temp/PLAN%20INDICATIVO.xlsx#'SEG%20PERS%20Y%20COM'!A1" TargetMode="External" /><Relationship Id="rId69" Type="http://schemas.openxmlformats.org/officeDocument/2006/relationships/hyperlink" Target="../../../../../../../Spark/user/jaime_jaramillo@127.0.0.1/J/Configuraci%25C3%259Bn%20local/temp/PLAN%20INDICATIVO.xlsx#'SEG%20PERS%20Y%20COM'!A1" TargetMode="External" /><Relationship Id="rId70" Type="http://schemas.openxmlformats.org/officeDocument/2006/relationships/hyperlink" Target="../../../../../../../Spark/user/jaime_jaramillo@127.0.0.1/J/Configuraci%25C3%259Bn%20local/temp/PLAN%20INDICATIVO.xlsx#'SEG%20PERS%20Y%20COM'!A1" TargetMode="External" /><Relationship Id="rId71" Type="http://schemas.openxmlformats.org/officeDocument/2006/relationships/hyperlink" Target="../../../../../../../Spark/user/jaime_jaramillo@127.0.0.1/J/Configuraci%25C3%259Bn%20local/temp/PLAN%20INDICATIVO.xlsx#'SEG%20PERS%20Y%20COM'!A1" TargetMode="External" /><Relationship Id="rId72" Type="http://schemas.openxmlformats.org/officeDocument/2006/relationships/hyperlink" Target="../../../../../../../Spark/user/jaime_jaramillo@127.0.0.1/J/Configuraci%25C3%259Bn%20local/temp/PLAN%20INDICATIVO.xlsx#'SEG%20PERS%20Y%20COM'!A1" TargetMode="External" /><Relationship Id="rId73" Type="http://schemas.openxmlformats.org/officeDocument/2006/relationships/hyperlink" Target="../../../../../../../Spark/user/jaime_jaramillo@127.0.0.1/J/Configuraci%25C3%259Bn%20local/temp/PLAN%20INDICATIVO.xlsx#'SEG%20PERS%20Y%20COM'!A1" TargetMode="External" /><Relationship Id="rId74" Type="http://schemas.openxmlformats.org/officeDocument/2006/relationships/hyperlink" Target="../../../../../../../Spark/user/jaime_jaramillo@127.0.0.1/J/Configuraci%25C3%259Bn%20local/temp/PLAN%20INDICATIVO.xlsx#'SEG%20PERS%20Y%20COM'!A1" TargetMode="External" /><Relationship Id="rId75" Type="http://schemas.openxmlformats.org/officeDocument/2006/relationships/hyperlink" Target="../../../../../../../Spark/user/jaime_jaramillo@127.0.0.1/J/Configuraci%25C3%259Bn%20local/temp/PLAN%20INDICATIVO.xlsx#'SEG%20PERS%20Y%20COM'!A1" TargetMode="External" /><Relationship Id="rId76"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L20"/>
  <sheetViews>
    <sheetView zoomScalePageLayoutView="0" workbookViewId="0" topLeftCell="A5">
      <selection activeCell="E17" sqref="E17:L18"/>
    </sheetView>
  </sheetViews>
  <sheetFormatPr defaultColWidth="11.00390625" defaultRowHeight="15.75"/>
  <cols>
    <col min="1" max="12" width="17.125" style="0" customWidth="1"/>
  </cols>
  <sheetData>
    <row r="1" spans="1:12" ht="15.75">
      <c r="A1" s="530" t="s">
        <v>2111</v>
      </c>
      <c r="B1" s="530"/>
      <c r="C1" s="530"/>
      <c r="D1" s="531"/>
      <c r="E1" s="531"/>
      <c r="F1" s="531"/>
      <c r="G1" s="531"/>
      <c r="H1" s="531"/>
      <c r="I1" s="531"/>
      <c r="J1" s="531"/>
      <c r="K1" s="531"/>
      <c r="L1" s="531"/>
    </row>
    <row r="2" spans="1:12" ht="15.75">
      <c r="A2" s="530"/>
      <c r="B2" s="530"/>
      <c r="C2" s="530"/>
      <c r="D2" s="531"/>
      <c r="E2" s="531"/>
      <c r="F2" s="531"/>
      <c r="G2" s="531"/>
      <c r="H2" s="531"/>
      <c r="I2" s="531"/>
      <c r="J2" s="531"/>
      <c r="K2" s="531"/>
      <c r="L2" s="531"/>
    </row>
    <row r="3" spans="1:12" ht="15.75">
      <c r="A3" s="530"/>
      <c r="B3" s="530"/>
      <c r="C3" s="530"/>
      <c r="D3" s="531"/>
      <c r="E3" s="531"/>
      <c r="F3" s="531"/>
      <c r="G3" s="531"/>
      <c r="H3" s="531"/>
      <c r="I3" s="531"/>
      <c r="J3" s="531"/>
      <c r="K3" s="531"/>
      <c r="L3" s="531"/>
    </row>
    <row r="4" spans="1:12" ht="15.75">
      <c r="A4" s="530"/>
      <c r="B4" s="530"/>
      <c r="C4" s="530"/>
      <c r="D4" s="531"/>
      <c r="E4" s="531"/>
      <c r="F4" s="531"/>
      <c r="G4" s="531"/>
      <c r="H4" s="531"/>
      <c r="I4" s="531"/>
      <c r="J4" s="531"/>
      <c r="K4" s="531"/>
      <c r="L4" s="531"/>
    </row>
    <row r="5" spans="1:12" ht="15.75">
      <c r="A5" s="530"/>
      <c r="B5" s="530"/>
      <c r="C5" s="530"/>
      <c r="D5" s="531"/>
      <c r="E5" s="531"/>
      <c r="F5" s="531"/>
      <c r="G5" s="531"/>
      <c r="H5" s="531"/>
      <c r="I5" s="531"/>
      <c r="J5" s="531"/>
      <c r="K5" s="531"/>
      <c r="L5" s="531"/>
    </row>
    <row r="6" spans="1:12" ht="15.75">
      <c r="A6" s="530"/>
      <c r="B6" s="530"/>
      <c r="C6" s="530"/>
      <c r="D6" s="531"/>
      <c r="E6" s="531"/>
      <c r="F6" s="531"/>
      <c r="G6" s="531"/>
      <c r="H6" s="531"/>
      <c r="I6" s="531"/>
      <c r="J6" s="531"/>
      <c r="K6" s="531"/>
      <c r="L6" s="531"/>
    </row>
    <row r="7" spans="1:12" ht="15.75">
      <c r="A7" s="530"/>
      <c r="B7" s="530"/>
      <c r="C7" s="530"/>
      <c r="D7" s="531"/>
      <c r="E7" s="531"/>
      <c r="F7" s="531"/>
      <c r="G7" s="531"/>
      <c r="H7" s="531"/>
      <c r="I7" s="531"/>
      <c r="J7" s="531"/>
      <c r="K7" s="531"/>
      <c r="L7" s="531"/>
    </row>
    <row r="8" spans="1:12" ht="15.75">
      <c r="A8" s="530"/>
      <c r="B8" s="530"/>
      <c r="C8" s="530"/>
      <c r="D8" s="531"/>
      <c r="E8" s="531"/>
      <c r="F8" s="531"/>
      <c r="G8" s="531"/>
      <c r="H8" s="531"/>
      <c r="I8" s="531"/>
      <c r="J8" s="531"/>
      <c r="K8" s="531"/>
      <c r="L8" s="531"/>
    </row>
    <row r="9" spans="1:12" ht="15.75">
      <c r="A9" s="530"/>
      <c r="B9" s="530"/>
      <c r="C9" s="530"/>
      <c r="D9" s="531"/>
      <c r="E9" s="531"/>
      <c r="F9" s="531"/>
      <c r="G9" s="531"/>
      <c r="H9" s="531"/>
      <c r="I9" s="531"/>
      <c r="J9" s="531"/>
      <c r="K9" s="531"/>
      <c r="L9" s="531"/>
    </row>
    <row r="10" spans="1:12" ht="25.5">
      <c r="A10" s="532" t="s">
        <v>2112</v>
      </c>
      <c r="B10" s="532"/>
      <c r="C10" s="532"/>
      <c r="D10" s="1" t="s">
        <v>2113</v>
      </c>
      <c r="E10" s="533" t="s">
        <v>1159</v>
      </c>
      <c r="F10" s="533"/>
      <c r="G10" s="533"/>
      <c r="H10" s="533"/>
      <c r="I10" s="533"/>
      <c r="J10" s="533"/>
      <c r="K10" s="533"/>
      <c r="L10" s="533"/>
    </row>
    <row r="11" spans="1:12" ht="15" customHeight="1">
      <c r="A11" s="532"/>
      <c r="B11" s="532"/>
      <c r="C11" s="532"/>
      <c r="D11" s="534">
        <v>1</v>
      </c>
      <c r="E11" s="535" t="s">
        <v>2092</v>
      </c>
      <c r="F11" s="535"/>
      <c r="G11" s="535"/>
      <c r="H11" s="535"/>
      <c r="I11" s="535"/>
      <c r="J11" s="535"/>
      <c r="K11" s="535"/>
      <c r="L11" s="535"/>
    </row>
    <row r="12" spans="1:12" ht="15" customHeight="1">
      <c r="A12" s="532"/>
      <c r="B12" s="532"/>
      <c r="C12" s="532"/>
      <c r="D12" s="534"/>
      <c r="E12" s="535"/>
      <c r="F12" s="535"/>
      <c r="G12" s="535"/>
      <c r="H12" s="535"/>
      <c r="I12" s="535"/>
      <c r="J12" s="535"/>
      <c r="K12" s="535"/>
      <c r="L12" s="535"/>
    </row>
    <row r="13" spans="1:12" ht="15" customHeight="1">
      <c r="A13" s="532"/>
      <c r="B13" s="532"/>
      <c r="C13" s="532"/>
      <c r="D13" s="534">
        <v>2</v>
      </c>
      <c r="E13" s="535" t="s">
        <v>1160</v>
      </c>
      <c r="F13" s="535"/>
      <c r="G13" s="535"/>
      <c r="H13" s="535"/>
      <c r="I13" s="535"/>
      <c r="J13" s="535"/>
      <c r="K13" s="535"/>
      <c r="L13" s="535"/>
    </row>
    <row r="14" spans="1:12" ht="15" customHeight="1">
      <c r="A14" s="532"/>
      <c r="B14" s="532"/>
      <c r="C14" s="532"/>
      <c r="D14" s="534"/>
      <c r="E14" s="535"/>
      <c r="F14" s="535"/>
      <c r="G14" s="535"/>
      <c r="H14" s="535"/>
      <c r="I14" s="535"/>
      <c r="J14" s="535"/>
      <c r="K14" s="535"/>
      <c r="L14" s="535"/>
    </row>
    <row r="15" spans="1:12" ht="15" customHeight="1">
      <c r="A15" s="532"/>
      <c r="B15" s="532"/>
      <c r="C15" s="532"/>
      <c r="D15" s="534">
        <v>3</v>
      </c>
      <c r="E15" s="535" t="s">
        <v>1161</v>
      </c>
      <c r="F15" s="535"/>
      <c r="G15" s="535"/>
      <c r="H15" s="535"/>
      <c r="I15" s="535"/>
      <c r="J15" s="535"/>
      <c r="K15" s="535"/>
      <c r="L15" s="535"/>
    </row>
    <row r="16" spans="1:12" ht="15" customHeight="1">
      <c r="A16" s="532"/>
      <c r="B16" s="532"/>
      <c r="C16" s="532"/>
      <c r="D16" s="534"/>
      <c r="E16" s="535"/>
      <c r="F16" s="535"/>
      <c r="G16" s="535"/>
      <c r="H16" s="535"/>
      <c r="I16" s="535"/>
      <c r="J16" s="535"/>
      <c r="K16" s="535"/>
      <c r="L16" s="535"/>
    </row>
    <row r="17" spans="1:12" ht="15" customHeight="1">
      <c r="A17" s="532"/>
      <c r="B17" s="532"/>
      <c r="C17" s="532"/>
      <c r="D17" s="534">
        <v>4</v>
      </c>
      <c r="E17" s="535" t="s">
        <v>1157</v>
      </c>
      <c r="F17" s="535"/>
      <c r="G17" s="535"/>
      <c r="H17" s="535"/>
      <c r="I17" s="535"/>
      <c r="J17" s="535"/>
      <c r="K17" s="535"/>
      <c r="L17" s="535"/>
    </row>
    <row r="18" spans="1:12" ht="15" customHeight="1">
      <c r="A18" s="532"/>
      <c r="B18" s="532"/>
      <c r="C18" s="532"/>
      <c r="D18" s="534"/>
      <c r="E18" s="535"/>
      <c r="F18" s="535"/>
      <c r="G18" s="535"/>
      <c r="H18" s="535"/>
      <c r="I18" s="535"/>
      <c r="J18" s="535"/>
      <c r="K18" s="535"/>
      <c r="L18" s="535"/>
    </row>
    <row r="19" spans="1:12" ht="15" customHeight="1">
      <c r="A19" s="532"/>
      <c r="B19" s="532"/>
      <c r="C19" s="532"/>
      <c r="D19" s="534">
        <v>5</v>
      </c>
      <c r="E19" s="535" t="s">
        <v>1158</v>
      </c>
      <c r="F19" s="535"/>
      <c r="G19" s="535"/>
      <c r="H19" s="535"/>
      <c r="I19" s="535"/>
      <c r="J19" s="535"/>
      <c r="K19" s="535"/>
      <c r="L19" s="535"/>
    </row>
    <row r="20" spans="1:12" ht="15.75" customHeight="1">
      <c r="A20" s="532"/>
      <c r="B20" s="532"/>
      <c r="C20" s="532"/>
      <c r="D20" s="534"/>
      <c r="E20" s="535"/>
      <c r="F20" s="535"/>
      <c r="G20" s="535"/>
      <c r="H20" s="535"/>
      <c r="I20" s="535"/>
      <c r="J20" s="535"/>
      <c r="K20" s="535"/>
      <c r="L20" s="535"/>
    </row>
  </sheetData>
  <sheetProtection/>
  <mergeCells count="14">
    <mergeCell ref="D15:D16"/>
    <mergeCell ref="E15:L16"/>
    <mergeCell ref="D17:D18"/>
    <mergeCell ref="E17:L18"/>
    <mergeCell ref="A1:C9"/>
    <mergeCell ref="D1:L9"/>
    <mergeCell ref="A10:C20"/>
    <mergeCell ref="E10:L10"/>
    <mergeCell ref="D11:D12"/>
    <mergeCell ref="E11:L12"/>
    <mergeCell ref="D13:D14"/>
    <mergeCell ref="E13:L14"/>
    <mergeCell ref="D19:D20"/>
    <mergeCell ref="E19:L20"/>
  </mergeCells>
  <hyperlinks>
    <hyperlink ref="F11" r:id="rId1" display="PLAN%20INDICATIVO.xlsx - 'SEG POLITICA'!A1"/>
    <hyperlink ref="G11" r:id="rId2" display="PLAN%20INDICATIVO.xlsx - 'SEG POLITICA'!A1"/>
    <hyperlink ref="H11" r:id="rId3" display="PLAN%20INDICATIVO.xlsx - 'SEG POLITICA'!A1"/>
    <hyperlink ref="I11" r:id="rId4" display="PLAN%20INDICATIVO.xlsx - 'SEG POLITICA'!A1"/>
    <hyperlink ref="J11" r:id="rId5" display="PLAN%20INDICATIVO.xlsx - 'SEG POLITICA'!A1"/>
    <hyperlink ref="K11" r:id="rId6" display="PLAN%20INDICATIVO.xlsx - 'SEG POLITICA'!A1"/>
    <hyperlink ref="L11" r:id="rId7" display="PLAN%20INDICATIVO.xlsx - 'SEG POLITICA'!A1"/>
    <hyperlink ref="E12" r:id="rId8" display="PLAN%20INDICATIVO.xlsx - 'SEG POLITICA'!A1"/>
    <hyperlink ref="F12" r:id="rId9" display="PLAN%20INDICATIVO.xlsx - 'SEG POLITICA'!A1"/>
    <hyperlink ref="G12" r:id="rId10" display="PLAN%20INDICATIVO.xlsx - 'SEG POLITICA'!A1"/>
    <hyperlink ref="H12" r:id="rId11" display="PLAN%20INDICATIVO.xlsx - 'SEG POLITICA'!A1"/>
    <hyperlink ref="I12" r:id="rId12" display="PLAN%20INDICATIVO.xlsx - 'SEG POLITICA'!A1"/>
    <hyperlink ref="J12" r:id="rId13" display="PLAN%20INDICATIVO.xlsx - 'SEG POLITICA'!A1"/>
    <hyperlink ref="K12" r:id="rId14" display="PLAN%20INDICATIVO.xlsx - 'SEG POLITICA'!A1"/>
    <hyperlink ref="L12" r:id="rId15" display="PLAN%20INDICATIVO.xlsx - 'SEG POLITICA'!A1"/>
    <hyperlink ref="F13" r:id="rId16" display="PLAN%20INDICATIVO.xlsx - 'SEG EDUC Y SALUD'!A1"/>
    <hyperlink ref="G13" r:id="rId17" display="PLAN%20INDICATIVO.xlsx - 'SEG EDUC Y SALUD'!A1"/>
    <hyperlink ref="H13" r:id="rId18" display="PLAN%20INDICATIVO.xlsx - 'SEG EDUC Y SALUD'!A1"/>
    <hyperlink ref="I13" r:id="rId19" display="PLAN%20INDICATIVO.xlsx - 'SEG EDUC Y SALUD'!A1"/>
    <hyperlink ref="J13" r:id="rId20" display="PLAN%20INDICATIVO.xlsx - 'SEG EDUC Y SALUD'!A1"/>
    <hyperlink ref="K13" r:id="rId21" display="PLAN%20INDICATIVO.xlsx - 'SEG EDUC Y SALUD'!A1"/>
    <hyperlink ref="L13" r:id="rId22" display="PLAN%20INDICATIVO.xlsx - 'SEG EDUC Y SALUD'!A1"/>
    <hyperlink ref="E14" r:id="rId23" display="PLAN%20INDICATIVO.xlsx - 'SEG EDUC Y SALUD'!A1"/>
    <hyperlink ref="F14" r:id="rId24" display="PLAN%20INDICATIVO.xlsx - 'SEG EDUC Y SALUD'!A1"/>
    <hyperlink ref="G14" r:id="rId25" display="PLAN%20INDICATIVO.xlsx - 'SEG EDUC Y SALUD'!A1"/>
    <hyperlink ref="H14" r:id="rId26" display="PLAN%20INDICATIVO.xlsx - 'SEG EDUC Y SALUD'!A1"/>
    <hyperlink ref="I14" r:id="rId27" display="PLAN%20INDICATIVO.xlsx - 'SEG EDUC Y SALUD'!A1"/>
    <hyperlink ref="J14" r:id="rId28" display="PLAN%20INDICATIVO.xlsx - 'SEG EDUC Y SALUD'!A1"/>
    <hyperlink ref="K14" r:id="rId29" display="PLAN%20INDICATIVO.xlsx - 'SEG EDUC Y SALUD'!A1"/>
    <hyperlink ref="L14" r:id="rId30" display="PLAN%20INDICATIVO.xlsx - 'SEG EDUC Y SALUD'!A1"/>
    <hyperlink ref="F15" r:id="rId31" display="PLAN%20INDICATIVO.xlsx - 'SEG AMB Y ENTORNO'!A1"/>
    <hyperlink ref="G15" r:id="rId32" display="PLAN%20INDICATIVO.xlsx - 'SEG AMB Y ENTORNO'!A1"/>
    <hyperlink ref="H15" r:id="rId33" display="PLAN%20INDICATIVO.xlsx - 'SEG AMB Y ENTORNO'!A1"/>
    <hyperlink ref="I15" r:id="rId34" display="PLAN%20INDICATIVO.xlsx - 'SEG AMB Y ENTORNO'!A1"/>
    <hyperlink ref="J15" r:id="rId35" display="PLAN%20INDICATIVO.xlsx - 'SEG AMB Y ENTORNO'!A1"/>
    <hyperlink ref="K15" r:id="rId36" display="PLAN%20INDICATIVO.xlsx - 'SEG AMB Y ENTORNO'!A1"/>
    <hyperlink ref="L15" r:id="rId37" display="PLAN%20INDICATIVO.xlsx - 'SEG AMB Y ENTORNO'!A1"/>
    <hyperlink ref="E16" r:id="rId38" display="PLAN%20INDICATIVO.xlsx - 'SEG AMB Y ENTORNO'!A1"/>
    <hyperlink ref="F16" r:id="rId39" display="PLAN%20INDICATIVO.xlsx - 'SEG AMB Y ENTORNO'!A1"/>
    <hyperlink ref="G16" r:id="rId40" display="PLAN%20INDICATIVO.xlsx - 'SEG AMB Y ENTORNO'!A1"/>
    <hyperlink ref="H16" r:id="rId41" display="PLAN%20INDICATIVO.xlsx - 'SEG AMB Y ENTORNO'!A1"/>
    <hyperlink ref="I16" r:id="rId42" display="PLAN%20INDICATIVO.xlsx - 'SEG AMB Y ENTORNO'!A1"/>
    <hyperlink ref="J16" r:id="rId43" display="PLAN%20INDICATIVO.xlsx - 'SEG AMB Y ENTORNO'!A1"/>
    <hyperlink ref="K16" r:id="rId44" display="PLAN%20INDICATIVO.xlsx - 'SEG AMB Y ENTORNO'!A1"/>
    <hyperlink ref="L16" r:id="rId45" display="PLAN%20INDICATIVO.xlsx - 'SEG AMB Y ENTORNO'!A1"/>
    <hyperlink ref="F17" r:id="rId46" display="PLAN%20INDICATIVO.xlsx - 'SEG ECON Y ALIM'!A1"/>
    <hyperlink ref="G17" r:id="rId47" display="PLAN%20INDICATIVO.xlsx - 'SEG ECON Y ALIM'!A1"/>
    <hyperlink ref="H17" r:id="rId48" display="PLAN%20INDICATIVO.xlsx - 'SEG ECON Y ALIM'!A1"/>
    <hyperlink ref="I17" r:id="rId49" display="PLAN%20INDICATIVO.xlsx - 'SEG ECON Y ALIM'!A1"/>
    <hyperlink ref="J17" r:id="rId50" display="PLAN%20INDICATIVO.xlsx - 'SEG ECON Y ALIM'!A1"/>
    <hyperlink ref="K17" r:id="rId51" display="PLAN%20INDICATIVO.xlsx - 'SEG ECON Y ALIM'!A1"/>
    <hyperlink ref="L17" r:id="rId52" display="PLAN%20INDICATIVO.xlsx - 'SEG ECON Y ALIM'!A1"/>
    <hyperlink ref="E18" r:id="rId53" display="PLAN%20INDICATIVO.xlsx - 'SEG ECON Y ALIM'!A1"/>
    <hyperlink ref="F18" r:id="rId54" display="PLAN%20INDICATIVO.xlsx - 'SEG ECON Y ALIM'!A1"/>
    <hyperlink ref="G18" r:id="rId55" display="PLAN%20INDICATIVO.xlsx - 'SEG ECON Y ALIM'!A1"/>
    <hyperlink ref="H18" r:id="rId56" display="PLAN%20INDICATIVO.xlsx - 'SEG ECON Y ALIM'!A1"/>
    <hyperlink ref="I18" r:id="rId57" display="PLAN%20INDICATIVO.xlsx - 'SEG ECON Y ALIM'!A1"/>
    <hyperlink ref="J18" r:id="rId58" display="PLAN%20INDICATIVO.xlsx - 'SEG ECON Y ALIM'!A1"/>
    <hyperlink ref="K18" r:id="rId59" display="PLAN%20INDICATIVO.xlsx - 'SEG ECON Y ALIM'!A1"/>
    <hyperlink ref="L18" r:id="rId60" display="PLAN%20INDICATIVO.xlsx - 'SEG ECON Y ALIM'!A1"/>
    <hyperlink ref="F19" r:id="rId61" display="PLAN%20INDICATIVO.xlsx - 'SEG PERS Y COM'!A1"/>
    <hyperlink ref="G19" r:id="rId62" display="PLAN%20INDICATIVO.xlsx - 'SEG PERS Y COM'!A1"/>
    <hyperlink ref="H19" r:id="rId63" display="PLAN%20INDICATIVO.xlsx - 'SEG PERS Y COM'!A1"/>
    <hyperlink ref="I19" r:id="rId64" display="PLAN%20INDICATIVO.xlsx - 'SEG PERS Y COM'!A1"/>
    <hyperlink ref="J19" r:id="rId65" display="PLAN%20INDICATIVO.xlsx - 'SEG PERS Y COM'!A1"/>
    <hyperlink ref="K19" r:id="rId66" display="PLAN%20INDICATIVO.xlsx - 'SEG PERS Y COM'!A1"/>
    <hyperlink ref="L19" r:id="rId67" display="PLAN%20INDICATIVO.xlsx - 'SEG PERS Y COM'!A1"/>
    <hyperlink ref="E20" r:id="rId68" display="PLAN%20INDICATIVO.xlsx - 'SEG PERS Y COM'!A1"/>
    <hyperlink ref="F20" r:id="rId69" display="PLAN%20INDICATIVO.xlsx - 'SEG PERS Y COM'!A1"/>
    <hyperlink ref="G20" r:id="rId70" display="PLAN%20INDICATIVO.xlsx - 'SEG PERS Y COM'!A1"/>
    <hyperlink ref="H20" r:id="rId71" display="PLAN%20INDICATIVO.xlsx - 'SEG PERS Y COM'!A1"/>
    <hyperlink ref="I20" r:id="rId72" display="PLAN%20INDICATIVO.xlsx - 'SEG PERS Y COM'!A1"/>
    <hyperlink ref="J20" r:id="rId73" display="PLAN%20INDICATIVO.xlsx - 'SEG PERS Y COM'!A1"/>
    <hyperlink ref="K20" r:id="rId74" display="PLAN%20INDICATIVO.xlsx - 'SEG PERS Y COM'!A1"/>
    <hyperlink ref="L20" r:id="rId75" display="PLAN%20INDICATIVO.xlsx - 'SEG PERS Y COM'!A1"/>
    <hyperlink ref="E11:L12" location="'SEG POLITICA'!A1" display="SEGURIDAD POLITICA"/>
    <hyperlink ref="E13:L14" location="'SEG EDUC Y SALUD'!A1" display="SEGURIDAD EDUCATIVA Y SALUD"/>
    <hyperlink ref="E15:L16" location="'SEG AMB Y ENTORNO'!A1" display="SEGURIDAD AMBIENTAL Y ENTORNO"/>
    <hyperlink ref="E17:L18" location="'SEG ECON Y ALIM'!A1" display="SEGURIDAD ECONOMICA Y ALIMENTARIA"/>
    <hyperlink ref="E19:L20" location="'SEG PERS Y COM'!A1" display="SEGURIDAD PERSONAL Y DE LA COMUNIDAD"/>
  </hyperlinks>
  <printOptions/>
  <pageMargins left="0.75" right="0.75" top="1" bottom="1" header="0.5" footer="0.5"/>
  <pageSetup horizontalDpi="600" verticalDpi="600" orientation="portrait" paperSize="9"/>
  <drawing r:id="rId76"/>
</worksheet>
</file>

<file path=xl/worksheets/sheet10.xml><?xml version="1.0" encoding="utf-8"?>
<worksheet xmlns="http://schemas.openxmlformats.org/spreadsheetml/2006/main" xmlns:r="http://schemas.openxmlformats.org/officeDocument/2006/relationships">
  <sheetPr>
    <tabColor rgb="FF008000"/>
  </sheetPr>
  <dimension ref="A1:W263"/>
  <sheetViews>
    <sheetView zoomScale="75" zoomScaleNormal="75" zoomScalePageLayoutView="0" workbookViewId="0" topLeftCell="Q1">
      <pane ySplit="7" topLeftCell="A255" activePane="bottomLeft" state="frozen"/>
      <selection pane="topLeft" activeCell="E1" sqref="E1"/>
      <selection pane="bottomLeft" activeCell="W265" sqref="W265"/>
    </sheetView>
  </sheetViews>
  <sheetFormatPr defaultColWidth="11.00390625" defaultRowHeight="15.75"/>
  <cols>
    <col min="1" max="1" width="45.00390625" style="0" bestFit="1" customWidth="1"/>
    <col min="2" max="2" width="20.00390625" style="0" bestFit="1" customWidth="1"/>
    <col min="3" max="3" width="43.00390625" style="0" bestFit="1" customWidth="1"/>
    <col min="4" max="4" width="34.125" style="0" bestFit="1" customWidth="1"/>
    <col min="5" max="5" width="34.875" style="0" bestFit="1" customWidth="1"/>
    <col min="6" max="6" width="14.375" style="0" bestFit="1" customWidth="1"/>
    <col min="7" max="8" width="14.875" style="0" bestFit="1" customWidth="1"/>
    <col min="9" max="9" width="17.50390625" style="0" bestFit="1" customWidth="1"/>
    <col min="10" max="10" width="29.50390625" style="328" bestFit="1" customWidth="1"/>
    <col min="11" max="11" width="22.00390625" style="328" bestFit="1" customWidth="1"/>
    <col min="12" max="12" width="27.00390625" style="328" bestFit="1" customWidth="1"/>
    <col min="13" max="17" width="14.375" style="0" bestFit="1" customWidth="1"/>
    <col min="18" max="18" width="17.625" style="0" bestFit="1" customWidth="1"/>
    <col min="19" max="19" width="15.625" style="0" bestFit="1" customWidth="1"/>
    <col min="20" max="22" width="20.00390625" style="0" bestFit="1" customWidth="1"/>
    <col min="23" max="23" width="43.50390625" style="0" bestFit="1" customWidth="1"/>
  </cols>
  <sheetData>
    <row r="1" spans="1:23" ht="18">
      <c r="A1" s="609" t="s">
        <v>1370</v>
      </c>
      <c r="B1" s="610"/>
      <c r="C1" s="610"/>
      <c r="D1" s="610"/>
      <c r="E1" s="610"/>
      <c r="F1" s="610"/>
      <c r="G1" s="610"/>
      <c r="H1" s="610"/>
      <c r="I1" s="610"/>
      <c r="J1" s="610"/>
      <c r="K1" s="610"/>
      <c r="L1" s="610"/>
      <c r="M1" s="610"/>
      <c r="N1" s="610"/>
      <c r="O1" s="610"/>
      <c r="P1" s="610"/>
      <c r="Q1" s="610"/>
      <c r="R1" s="610"/>
      <c r="S1" s="610"/>
      <c r="T1" s="610"/>
      <c r="U1" s="610"/>
      <c r="V1" s="610"/>
      <c r="W1" s="611"/>
    </row>
    <row r="2" spans="1:23" ht="18">
      <c r="A2" s="609" t="s">
        <v>1371</v>
      </c>
      <c r="B2" s="610"/>
      <c r="C2" s="610"/>
      <c r="D2" s="610"/>
      <c r="E2" s="610"/>
      <c r="F2" s="610"/>
      <c r="G2" s="610"/>
      <c r="H2" s="610"/>
      <c r="I2" s="610"/>
      <c r="J2" s="610"/>
      <c r="K2" s="610"/>
      <c r="L2" s="610"/>
      <c r="M2" s="610"/>
      <c r="N2" s="610"/>
      <c r="O2" s="610"/>
      <c r="P2" s="610"/>
      <c r="Q2" s="610"/>
      <c r="R2" s="610"/>
      <c r="S2" s="610"/>
      <c r="T2" s="610"/>
      <c r="U2" s="610"/>
      <c r="V2" s="610"/>
      <c r="W2" s="611"/>
    </row>
    <row r="3" spans="1:23" ht="18">
      <c r="A3" s="609" t="s">
        <v>236</v>
      </c>
      <c r="B3" s="610"/>
      <c r="C3" s="610"/>
      <c r="D3" s="610"/>
      <c r="E3" s="610"/>
      <c r="F3" s="610"/>
      <c r="G3" s="610"/>
      <c r="H3" s="610"/>
      <c r="I3" s="610"/>
      <c r="J3" s="610"/>
      <c r="K3" s="610"/>
      <c r="L3" s="610"/>
      <c r="M3" s="610"/>
      <c r="N3" s="610"/>
      <c r="O3" s="610"/>
      <c r="P3" s="610"/>
      <c r="Q3" s="610"/>
      <c r="R3" s="610"/>
      <c r="S3" s="610"/>
      <c r="T3" s="610"/>
      <c r="U3" s="610"/>
      <c r="V3" s="610"/>
      <c r="W3" s="611"/>
    </row>
    <row r="4" spans="1:23" ht="18">
      <c r="A4" s="609" t="s">
        <v>2093</v>
      </c>
      <c r="B4" s="610"/>
      <c r="C4" s="610"/>
      <c r="D4" s="610"/>
      <c r="E4" s="610"/>
      <c r="F4" s="610"/>
      <c r="G4" s="610"/>
      <c r="H4" s="610"/>
      <c r="I4" s="610"/>
      <c r="J4" s="610"/>
      <c r="K4" s="610"/>
      <c r="L4" s="610"/>
      <c r="M4" s="610"/>
      <c r="N4" s="610"/>
      <c r="O4" s="610"/>
      <c r="P4" s="610"/>
      <c r="Q4" s="610"/>
      <c r="R4" s="610"/>
      <c r="S4" s="610"/>
      <c r="T4" s="610"/>
      <c r="U4" s="610"/>
      <c r="V4" s="610"/>
      <c r="W4" s="611"/>
    </row>
    <row r="5" spans="1:23" ht="18">
      <c r="A5" s="605"/>
      <c r="B5" s="606"/>
      <c r="C5" s="606"/>
      <c r="D5" s="606"/>
      <c r="E5" s="606"/>
      <c r="F5" s="606"/>
      <c r="G5" s="606"/>
      <c r="H5" s="606"/>
      <c r="I5" s="606"/>
      <c r="J5" s="606"/>
      <c r="K5" s="606"/>
      <c r="L5" s="606"/>
      <c r="M5" s="606"/>
      <c r="N5" s="606"/>
      <c r="O5" s="606"/>
      <c r="P5" s="606"/>
      <c r="Q5" s="606"/>
      <c r="R5" s="606"/>
      <c r="S5" s="606"/>
      <c r="T5" s="606"/>
      <c r="U5" s="606"/>
      <c r="V5" s="606"/>
      <c r="W5" s="607"/>
    </row>
    <row r="6" spans="1:23" ht="15" customHeight="1">
      <c r="A6" s="608" t="s">
        <v>2094</v>
      </c>
      <c r="B6" s="608" t="s">
        <v>188</v>
      </c>
      <c r="C6" s="608" t="s">
        <v>2097</v>
      </c>
      <c r="D6" s="608" t="s">
        <v>2098</v>
      </c>
      <c r="E6" s="608"/>
      <c r="F6" s="608"/>
      <c r="G6" s="608"/>
      <c r="H6" s="608"/>
      <c r="I6" s="608"/>
      <c r="J6" s="608"/>
      <c r="K6" s="608" t="s">
        <v>2099</v>
      </c>
      <c r="L6" s="608"/>
      <c r="M6" s="608"/>
      <c r="N6" s="608"/>
      <c r="O6" s="608"/>
      <c r="P6" s="608"/>
      <c r="Q6" s="608"/>
      <c r="R6" s="608" t="s">
        <v>2100</v>
      </c>
      <c r="S6" s="608"/>
      <c r="T6" s="608"/>
      <c r="U6" s="608"/>
      <c r="V6" s="608"/>
      <c r="W6" s="608" t="s">
        <v>2101</v>
      </c>
    </row>
    <row r="7" spans="1:23" ht="102.75" customHeight="1">
      <c r="A7" s="727"/>
      <c r="B7" s="608"/>
      <c r="C7" s="608"/>
      <c r="D7" s="344" t="s">
        <v>2102</v>
      </c>
      <c r="E7" s="352" t="s">
        <v>2103</v>
      </c>
      <c r="F7" s="344" t="s">
        <v>2107</v>
      </c>
      <c r="G7" s="344" t="s">
        <v>2108</v>
      </c>
      <c r="H7" s="344" t="s">
        <v>2109</v>
      </c>
      <c r="I7" s="344" t="s">
        <v>2104</v>
      </c>
      <c r="J7" s="353" t="s">
        <v>2105</v>
      </c>
      <c r="K7" s="344" t="s">
        <v>2102</v>
      </c>
      <c r="L7" s="344" t="s">
        <v>20</v>
      </c>
      <c r="M7" s="352" t="s">
        <v>2103</v>
      </c>
      <c r="N7" s="344" t="s">
        <v>2107</v>
      </c>
      <c r="O7" s="344" t="s">
        <v>2108</v>
      </c>
      <c r="P7" s="344" t="s">
        <v>2109</v>
      </c>
      <c r="Q7" s="344" t="s">
        <v>2104</v>
      </c>
      <c r="R7" s="344" t="s">
        <v>2110</v>
      </c>
      <c r="S7" s="344">
        <v>2012</v>
      </c>
      <c r="T7" s="344">
        <v>2013</v>
      </c>
      <c r="U7" s="344">
        <v>2014</v>
      </c>
      <c r="V7" s="344">
        <v>2015</v>
      </c>
      <c r="W7" s="608"/>
    </row>
    <row r="8" spans="1:23" ht="30.75" customHeight="1">
      <c r="A8" s="853" t="s">
        <v>2335</v>
      </c>
      <c r="B8" s="888">
        <v>0.15</v>
      </c>
      <c r="C8" s="853" t="s">
        <v>2336</v>
      </c>
      <c r="D8" s="853" t="s">
        <v>2337</v>
      </c>
      <c r="E8" s="853" t="s">
        <v>601</v>
      </c>
      <c r="F8" s="872">
        <f>0.23+0.0175</f>
        <v>0.2475</v>
      </c>
      <c r="G8" s="887">
        <f>+F8+0.0175</f>
        <v>0.265</v>
      </c>
      <c r="H8" s="887">
        <f>+G8+0.0175</f>
        <v>0.28250000000000003</v>
      </c>
      <c r="I8" s="902">
        <f>+H8+0.0175</f>
        <v>0.30000000000000004</v>
      </c>
      <c r="J8" s="387" t="s">
        <v>602</v>
      </c>
      <c r="K8" s="387" t="s">
        <v>603</v>
      </c>
      <c r="L8" s="387" t="s">
        <v>189</v>
      </c>
      <c r="M8" s="396" t="s">
        <v>2338</v>
      </c>
      <c r="N8" s="397">
        <v>1</v>
      </c>
      <c r="O8" s="397">
        <v>2</v>
      </c>
      <c r="P8" s="397">
        <v>3</v>
      </c>
      <c r="Q8" s="397">
        <v>4</v>
      </c>
      <c r="R8" s="398">
        <f>SUM(S8:V8)</f>
        <v>374000</v>
      </c>
      <c r="S8" s="398">
        <v>80000</v>
      </c>
      <c r="T8" s="398">
        <v>90000</v>
      </c>
      <c r="U8" s="398">
        <v>94000</v>
      </c>
      <c r="V8" s="398">
        <v>110000</v>
      </c>
      <c r="W8" s="780" t="s">
        <v>2440</v>
      </c>
    </row>
    <row r="9" spans="1:23" ht="49.5" customHeight="1">
      <c r="A9" s="853"/>
      <c r="B9" s="888"/>
      <c r="C9" s="853"/>
      <c r="D9" s="853"/>
      <c r="E9" s="853"/>
      <c r="F9" s="872"/>
      <c r="G9" s="887"/>
      <c r="H9" s="887"/>
      <c r="I9" s="902"/>
      <c r="J9" s="387" t="s">
        <v>605</v>
      </c>
      <c r="K9" s="387" t="s">
        <v>606</v>
      </c>
      <c r="L9" s="387" t="s">
        <v>189</v>
      </c>
      <c r="M9" s="396">
        <v>120</v>
      </c>
      <c r="N9" s="397">
        <v>100</v>
      </c>
      <c r="O9" s="397">
        <v>200</v>
      </c>
      <c r="P9" s="397">
        <v>300</v>
      </c>
      <c r="Q9" s="397">
        <v>400</v>
      </c>
      <c r="R9" s="398">
        <f aca="true" t="shared" si="0" ref="R9:R72">SUM(S9:V9)</f>
        <v>479000</v>
      </c>
      <c r="S9" s="398">
        <v>100000</v>
      </c>
      <c r="T9" s="398">
        <v>116000</v>
      </c>
      <c r="U9" s="398">
        <v>121000</v>
      </c>
      <c r="V9" s="398">
        <v>142000</v>
      </c>
      <c r="W9" s="780"/>
    </row>
    <row r="10" spans="1:23" ht="45">
      <c r="A10" s="853"/>
      <c r="B10" s="888"/>
      <c r="C10" s="853"/>
      <c r="D10" s="853"/>
      <c r="E10" s="853"/>
      <c r="F10" s="872"/>
      <c r="G10" s="887"/>
      <c r="H10" s="887"/>
      <c r="I10" s="902"/>
      <c r="J10" s="387" t="s">
        <v>2441</v>
      </c>
      <c r="K10" s="387" t="s">
        <v>608</v>
      </c>
      <c r="L10" s="387" t="s">
        <v>189</v>
      </c>
      <c r="M10" s="396">
        <v>20</v>
      </c>
      <c r="N10" s="397">
        <v>15</v>
      </c>
      <c r="O10" s="397">
        <v>20</v>
      </c>
      <c r="P10" s="397">
        <v>25</v>
      </c>
      <c r="Q10" s="397">
        <v>25</v>
      </c>
      <c r="R10" s="398">
        <f t="shared" si="0"/>
        <v>232000</v>
      </c>
      <c r="S10" s="398">
        <v>50000</v>
      </c>
      <c r="T10" s="398">
        <v>56000</v>
      </c>
      <c r="U10" s="398">
        <v>58000</v>
      </c>
      <c r="V10" s="398">
        <v>68000</v>
      </c>
      <c r="W10" s="780"/>
    </row>
    <row r="11" spans="1:23" ht="29.25" customHeight="1">
      <c r="A11" s="853"/>
      <c r="B11" s="888"/>
      <c r="C11" s="853"/>
      <c r="D11" s="853"/>
      <c r="E11" s="853"/>
      <c r="F11" s="872"/>
      <c r="G11" s="887"/>
      <c r="H11" s="887"/>
      <c r="I11" s="902"/>
      <c r="J11" s="387" t="s">
        <v>610</v>
      </c>
      <c r="K11" s="387" t="s">
        <v>2760</v>
      </c>
      <c r="L11" s="387" t="s">
        <v>189</v>
      </c>
      <c r="M11" s="396">
        <v>720</v>
      </c>
      <c r="N11" s="397">
        <v>200</v>
      </c>
      <c r="O11" s="397">
        <v>400</v>
      </c>
      <c r="P11" s="397">
        <v>600</v>
      </c>
      <c r="Q11" s="397">
        <v>800</v>
      </c>
      <c r="R11" s="398">
        <f t="shared" si="0"/>
        <v>952000</v>
      </c>
      <c r="S11" s="398">
        <v>200000</v>
      </c>
      <c r="T11" s="398">
        <v>232000</v>
      </c>
      <c r="U11" s="398">
        <v>240000</v>
      </c>
      <c r="V11" s="398">
        <v>280000</v>
      </c>
      <c r="W11" s="780"/>
    </row>
    <row r="12" spans="1:23" ht="30">
      <c r="A12" s="853"/>
      <c r="B12" s="888"/>
      <c r="C12" s="853"/>
      <c r="D12" s="853"/>
      <c r="E12" s="853"/>
      <c r="F12" s="872"/>
      <c r="G12" s="887"/>
      <c r="H12" s="887"/>
      <c r="I12" s="902"/>
      <c r="J12" s="387" t="s">
        <v>612</v>
      </c>
      <c r="K12" s="387" t="s">
        <v>0</v>
      </c>
      <c r="L12" s="387" t="s">
        <v>189</v>
      </c>
      <c r="M12" s="396" t="s">
        <v>2338</v>
      </c>
      <c r="N12" s="397">
        <v>1</v>
      </c>
      <c r="O12" s="397">
        <v>2</v>
      </c>
      <c r="P12" s="397">
        <v>3</v>
      </c>
      <c r="Q12" s="397">
        <v>4</v>
      </c>
      <c r="R12" s="398">
        <f t="shared" si="0"/>
        <v>431000</v>
      </c>
      <c r="S12" s="398">
        <v>90000</v>
      </c>
      <c r="T12" s="398">
        <v>104000</v>
      </c>
      <c r="U12" s="398">
        <v>109000</v>
      </c>
      <c r="V12" s="398">
        <v>128000</v>
      </c>
      <c r="W12" s="780"/>
    </row>
    <row r="13" spans="1:23" ht="36">
      <c r="A13" s="853"/>
      <c r="B13" s="888"/>
      <c r="C13" s="853"/>
      <c r="D13" s="853"/>
      <c r="E13" s="853"/>
      <c r="F13" s="872"/>
      <c r="G13" s="887"/>
      <c r="H13" s="887"/>
      <c r="I13" s="902"/>
      <c r="J13" s="390" t="s">
        <v>2</v>
      </c>
      <c r="K13" s="387" t="s">
        <v>3</v>
      </c>
      <c r="L13" s="387" t="s">
        <v>189</v>
      </c>
      <c r="M13" s="396" t="s">
        <v>2338</v>
      </c>
      <c r="N13" s="397">
        <v>20</v>
      </c>
      <c r="O13" s="397">
        <v>40</v>
      </c>
      <c r="P13" s="397">
        <v>60</v>
      </c>
      <c r="Q13" s="397">
        <v>80</v>
      </c>
      <c r="R13" s="398">
        <f t="shared" si="0"/>
        <v>717000</v>
      </c>
      <c r="S13" s="398">
        <v>150000</v>
      </c>
      <c r="T13" s="398">
        <v>174000</v>
      </c>
      <c r="U13" s="398">
        <v>181000</v>
      </c>
      <c r="V13" s="398">
        <v>212000</v>
      </c>
      <c r="W13" s="780"/>
    </row>
    <row r="14" spans="1:23" ht="30">
      <c r="A14" s="853"/>
      <c r="B14" s="888"/>
      <c r="C14" s="853"/>
      <c r="D14" s="853"/>
      <c r="E14" s="853"/>
      <c r="F14" s="872"/>
      <c r="G14" s="887"/>
      <c r="H14" s="887"/>
      <c r="I14" s="902"/>
      <c r="J14" s="387" t="s">
        <v>5</v>
      </c>
      <c r="K14" s="387" t="s">
        <v>6</v>
      </c>
      <c r="L14" s="387" t="s">
        <v>189</v>
      </c>
      <c r="M14" s="396">
        <v>629</v>
      </c>
      <c r="N14" s="397">
        <v>100</v>
      </c>
      <c r="O14" s="397">
        <v>200</v>
      </c>
      <c r="P14" s="397">
        <v>300</v>
      </c>
      <c r="Q14" s="397">
        <v>400</v>
      </c>
      <c r="R14" s="398">
        <f t="shared" si="0"/>
        <v>574000</v>
      </c>
      <c r="S14" s="398">
        <v>120000</v>
      </c>
      <c r="T14" s="398">
        <v>139000</v>
      </c>
      <c r="U14" s="398">
        <v>145000</v>
      </c>
      <c r="V14" s="398">
        <v>170000</v>
      </c>
      <c r="W14" s="780"/>
    </row>
    <row r="15" spans="1:23" ht="64.5" customHeight="1">
      <c r="A15" s="853"/>
      <c r="B15" s="888"/>
      <c r="C15" s="853" t="s">
        <v>2754</v>
      </c>
      <c r="D15" s="853" t="s">
        <v>2755</v>
      </c>
      <c r="E15" s="853" t="s">
        <v>604</v>
      </c>
      <c r="F15" s="872">
        <f>0.45+0.0125</f>
        <v>0.4625</v>
      </c>
      <c r="G15" s="887">
        <f>+F15+0.0125</f>
        <v>0.47500000000000003</v>
      </c>
      <c r="H15" s="887">
        <f>+G15+0.0125</f>
        <v>0.48750000000000004</v>
      </c>
      <c r="I15" s="887">
        <f>+H15+0.0125</f>
        <v>0.5</v>
      </c>
      <c r="J15" s="390" t="s">
        <v>2442</v>
      </c>
      <c r="K15" s="387" t="s">
        <v>2443</v>
      </c>
      <c r="L15" s="387" t="s">
        <v>189</v>
      </c>
      <c r="M15" s="396" t="s">
        <v>2338</v>
      </c>
      <c r="N15" s="397">
        <v>0</v>
      </c>
      <c r="O15" s="397">
        <v>1</v>
      </c>
      <c r="P15" s="397">
        <v>1</v>
      </c>
      <c r="Q15" s="397">
        <v>1</v>
      </c>
      <c r="R15" s="398">
        <f t="shared" si="0"/>
        <v>97000</v>
      </c>
      <c r="S15" s="398">
        <v>20000</v>
      </c>
      <c r="T15" s="398">
        <v>23000</v>
      </c>
      <c r="U15" s="398">
        <v>25000</v>
      </c>
      <c r="V15" s="398">
        <v>29000</v>
      </c>
      <c r="W15" s="780"/>
    </row>
    <row r="16" spans="1:23" ht="30">
      <c r="A16" s="853"/>
      <c r="B16" s="888"/>
      <c r="C16" s="853"/>
      <c r="D16" s="853"/>
      <c r="E16" s="853"/>
      <c r="F16" s="872"/>
      <c r="G16" s="887"/>
      <c r="H16" s="887"/>
      <c r="I16" s="887"/>
      <c r="J16" s="387" t="s">
        <v>2444</v>
      </c>
      <c r="K16" s="387" t="s">
        <v>2445</v>
      </c>
      <c r="L16" s="387" t="s">
        <v>189</v>
      </c>
      <c r="M16" s="396" t="s">
        <v>2338</v>
      </c>
      <c r="N16" s="397">
        <v>1</v>
      </c>
      <c r="O16" s="397">
        <v>2</v>
      </c>
      <c r="P16" s="397">
        <v>3</v>
      </c>
      <c r="Q16" s="397">
        <v>4</v>
      </c>
      <c r="R16" s="398">
        <f t="shared" si="0"/>
        <v>238000</v>
      </c>
      <c r="S16" s="398">
        <v>50000</v>
      </c>
      <c r="T16" s="398">
        <v>58000</v>
      </c>
      <c r="U16" s="398">
        <v>60000</v>
      </c>
      <c r="V16" s="398">
        <v>70000</v>
      </c>
      <c r="W16" s="780"/>
    </row>
    <row r="17" spans="1:23" ht="45">
      <c r="A17" s="853"/>
      <c r="B17" s="888"/>
      <c r="C17" s="853"/>
      <c r="D17" s="853"/>
      <c r="E17" s="853"/>
      <c r="F17" s="872"/>
      <c r="G17" s="887"/>
      <c r="H17" s="887"/>
      <c r="I17" s="887"/>
      <c r="J17" s="387" t="s">
        <v>2446</v>
      </c>
      <c r="K17" s="387" t="s">
        <v>2447</v>
      </c>
      <c r="L17" s="387" t="s">
        <v>189</v>
      </c>
      <c r="M17" s="396" t="s">
        <v>2338</v>
      </c>
      <c r="N17" s="397">
        <v>3</v>
      </c>
      <c r="O17" s="397">
        <v>6</v>
      </c>
      <c r="P17" s="397">
        <v>9</v>
      </c>
      <c r="Q17" s="397">
        <v>12</v>
      </c>
      <c r="R17" s="398">
        <f t="shared" si="0"/>
        <v>0</v>
      </c>
      <c r="S17" s="399">
        <v>0</v>
      </c>
      <c r="T17" s="399">
        <v>0</v>
      </c>
      <c r="U17" s="399">
        <v>0</v>
      </c>
      <c r="V17" s="399">
        <v>0</v>
      </c>
      <c r="W17" s="780"/>
    </row>
    <row r="18" spans="1:23" ht="30">
      <c r="A18" s="853"/>
      <c r="B18" s="888"/>
      <c r="C18" s="853"/>
      <c r="D18" s="853"/>
      <c r="E18" s="853"/>
      <c r="F18" s="872"/>
      <c r="G18" s="887"/>
      <c r="H18" s="887"/>
      <c r="I18" s="887"/>
      <c r="J18" s="387" t="s">
        <v>2448</v>
      </c>
      <c r="K18" s="387" t="s">
        <v>2449</v>
      </c>
      <c r="L18" s="387" t="s">
        <v>189</v>
      </c>
      <c r="M18" s="396" t="s">
        <v>2338</v>
      </c>
      <c r="N18" s="397">
        <v>1</v>
      </c>
      <c r="O18" s="397">
        <v>5</v>
      </c>
      <c r="P18" s="397">
        <v>8</v>
      </c>
      <c r="Q18" s="397">
        <v>12</v>
      </c>
      <c r="R18" s="398">
        <f t="shared" si="0"/>
        <v>238000</v>
      </c>
      <c r="S18" s="398">
        <v>50000</v>
      </c>
      <c r="T18" s="398">
        <v>58000</v>
      </c>
      <c r="U18" s="398">
        <v>60000</v>
      </c>
      <c r="V18" s="398">
        <v>70000</v>
      </c>
      <c r="W18" s="780"/>
    </row>
    <row r="19" spans="1:23" ht="30">
      <c r="A19" s="853"/>
      <c r="B19" s="888"/>
      <c r="C19" s="853" t="s">
        <v>2756</v>
      </c>
      <c r="D19" s="853" t="s">
        <v>2757</v>
      </c>
      <c r="E19" s="853" t="s">
        <v>607</v>
      </c>
      <c r="F19" s="872">
        <f>0.4+0.0125</f>
        <v>0.41250000000000003</v>
      </c>
      <c r="G19" s="887">
        <f>+F19+0.0125</f>
        <v>0.42500000000000004</v>
      </c>
      <c r="H19" s="887">
        <f>+G19+0.0125</f>
        <v>0.43750000000000006</v>
      </c>
      <c r="I19" s="887">
        <f>+H19+0.0125</f>
        <v>0.45000000000000007</v>
      </c>
      <c r="J19" s="387" t="s">
        <v>612</v>
      </c>
      <c r="K19" s="387" t="s">
        <v>0</v>
      </c>
      <c r="L19" s="387" t="s">
        <v>189</v>
      </c>
      <c r="M19" s="396" t="s">
        <v>2338</v>
      </c>
      <c r="N19" s="397">
        <v>1</v>
      </c>
      <c r="O19" s="397">
        <v>2</v>
      </c>
      <c r="P19" s="397">
        <v>3</v>
      </c>
      <c r="Q19" s="397">
        <v>4</v>
      </c>
      <c r="R19" s="398">
        <f t="shared" si="0"/>
        <v>574000</v>
      </c>
      <c r="S19" s="398">
        <v>120000</v>
      </c>
      <c r="T19" s="398">
        <v>139000</v>
      </c>
      <c r="U19" s="398">
        <v>145000</v>
      </c>
      <c r="V19" s="398">
        <v>170000</v>
      </c>
      <c r="W19" s="780"/>
    </row>
    <row r="20" spans="1:23" ht="45">
      <c r="A20" s="853"/>
      <c r="B20" s="888"/>
      <c r="C20" s="853"/>
      <c r="D20" s="853"/>
      <c r="E20" s="853"/>
      <c r="F20" s="872"/>
      <c r="G20" s="887"/>
      <c r="H20" s="887"/>
      <c r="I20" s="887"/>
      <c r="J20" s="387" t="s">
        <v>2450</v>
      </c>
      <c r="K20" s="387" t="s">
        <v>2451</v>
      </c>
      <c r="L20" s="387" t="s">
        <v>189</v>
      </c>
      <c r="M20" s="396">
        <v>30</v>
      </c>
      <c r="N20" s="396">
        <v>12</v>
      </c>
      <c r="O20" s="400">
        <v>25</v>
      </c>
      <c r="P20" s="400">
        <v>37</v>
      </c>
      <c r="Q20" s="400">
        <v>50</v>
      </c>
      <c r="R20" s="398">
        <f t="shared" si="0"/>
        <v>384000</v>
      </c>
      <c r="S20" s="398">
        <v>80000</v>
      </c>
      <c r="T20" s="398">
        <v>93000</v>
      </c>
      <c r="U20" s="398">
        <v>97000</v>
      </c>
      <c r="V20" s="398">
        <v>114000</v>
      </c>
      <c r="W20" s="780"/>
    </row>
    <row r="21" spans="1:23" ht="30">
      <c r="A21" s="853"/>
      <c r="B21" s="888"/>
      <c r="C21" s="853"/>
      <c r="D21" s="853"/>
      <c r="E21" s="853"/>
      <c r="F21" s="872"/>
      <c r="G21" s="887"/>
      <c r="H21" s="887"/>
      <c r="I21" s="887"/>
      <c r="J21" s="387" t="s">
        <v>2452</v>
      </c>
      <c r="K21" s="387" t="s">
        <v>2453</v>
      </c>
      <c r="L21" s="387" t="s">
        <v>2809</v>
      </c>
      <c r="M21" s="397">
        <v>20</v>
      </c>
      <c r="N21" s="397">
        <v>6</v>
      </c>
      <c r="O21" s="397">
        <v>12</v>
      </c>
      <c r="P21" s="397">
        <v>18</v>
      </c>
      <c r="Q21" s="397">
        <v>24</v>
      </c>
      <c r="R21" s="398">
        <f t="shared" si="0"/>
        <v>336000</v>
      </c>
      <c r="S21" s="398">
        <v>70000</v>
      </c>
      <c r="T21" s="398">
        <v>81000</v>
      </c>
      <c r="U21" s="398">
        <v>85000</v>
      </c>
      <c r="V21" s="398">
        <v>100000</v>
      </c>
      <c r="W21" s="780"/>
    </row>
    <row r="22" spans="1:23" ht="30">
      <c r="A22" s="853"/>
      <c r="B22" s="888"/>
      <c r="C22" s="853"/>
      <c r="D22" s="853"/>
      <c r="E22" s="853"/>
      <c r="F22" s="872"/>
      <c r="G22" s="887"/>
      <c r="H22" s="887"/>
      <c r="I22" s="887"/>
      <c r="J22" s="387" t="s">
        <v>2454</v>
      </c>
      <c r="K22" s="387" t="s">
        <v>2455</v>
      </c>
      <c r="L22" s="387" t="s">
        <v>189</v>
      </c>
      <c r="M22" s="397" t="s">
        <v>2338</v>
      </c>
      <c r="N22" s="396">
        <v>0</v>
      </c>
      <c r="O22" s="400">
        <v>1</v>
      </c>
      <c r="P22" s="400">
        <v>1</v>
      </c>
      <c r="Q22" s="400">
        <v>1</v>
      </c>
      <c r="R22" s="398">
        <f t="shared" si="0"/>
        <v>336000</v>
      </c>
      <c r="S22" s="398">
        <v>70000</v>
      </c>
      <c r="T22" s="398">
        <v>81000</v>
      </c>
      <c r="U22" s="398">
        <v>85000</v>
      </c>
      <c r="V22" s="398">
        <v>100000</v>
      </c>
      <c r="W22" s="780"/>
    </row>
    <row r="23" spans="1:23" ht="45">
      <c r="A23" s="853"/>
      <c r="B23" s="888"/>
      <c r="C23" s="853"/>
      <c r="D23" s="853"/>
      <c r="E23" s="853"/>
      <c r="F23" s="872"/>
      <c r="G23" s="887"/>
      <c r="H23" s="887"/>
      <c r="I23" s="887"/>
      <c r="J23" s="387" t="s">
        <v>2456</v>
      </c>
      <c r="K23" s="387" t="s">
        <v>2457</v>
      </c>
      <c r="L23" s="387" t="s">
        <v>189</v>
      </c>
      <c r="M23" s="397" t="s">
        <v>2338</v>
      </c>
      <c r="N23" s="396">
        <v>10</v>
      </c>
      <c r="O23" s="400">
        <v>31</v>
      </c>
      <c r="P23" s="400">
        <v>46</v>
      </c>
      <c r="Q23" s="400">
        <v>61</v>
      </c>
      <c r="R23" s="398">
        <f t="shared" si="0"/>
        <v>574000</v>
      </c>
      <c r="S23" s="398">
        <v>120000</v>
      </c>
      <c r="T23" s="398">
        <v>139000</v>
      </c>
      <c r="U23" s="398">
        <v>145000</v>
      </c>
      <c r="V23" s="398">
        <v>170000</v>
      </c>
      <c r="W23" s="780"/>
    </row>
    <row r="24" spans="1:23" ht="30">
      <c r="A24" s="853"/>
      <c r="B24" s="888"/>
      <c r="C24" s="853" t="s">
        <v>2758</v>
      </c>
      <c r="D24" s="853" t="s">
        <v>2759</v>
      </c>
      <c r="E24" s="853" t="s">
        <v>609</v>
      </c>
      <c r="F24" s="872">
        <f>0.38+0.0175</f>
        <v>0.3975</v>
      </c>
      <c r="G24" s="872">
        <f>+F24+0.0175</f>
        <v>0.41500000000000004</v>
      </c>
      <c r="H24" s="872">
        <f>+G24+0.0175</f>
        <v>0.43250000000000005</v>
      </c>
      <c r="I24" s="872">
        <f>+H24+0.0175</f>
        <v>0.45000000000000007</v>
      </c>
      <c r="J24" s="387" t="s">
        <v>2458</v>
      </c>
      <c r="K24" s="387" t="s">
        <v>2459</v>
      </c>
      <c r="L24" s="387" t="s">
        <v>189</v>
      </c>
      <c r="M24" s="396" t="s">
        <v>2338</v>
      </c>
      <c r="N24" s="396">
        <v>1</v>
      </c>
      <c r="O24" s="400">
        <v>1</v>
      </c>
      <c r="P24" s="400">
        <v>1</v>
      </c>
      <c r="Q24" s="400">
        <v>1</v>
      </c>
      <c r="R24" s="398">
        <f t="shared" si="0"/>
        <v>1063000</v>
      </c>
      <c r="S24" s="398">
        <v>250000</v>
      </c>
      <c r="T24" s="398">
        <v>250000</v>
      </c>
      <c r="U24" s="398">
        <v>260000</v>
      </c>
      <c r="V24" s="398">
        <v>303000</v>
      </c>
      <c r="W24" s="780"/>
    </row>
    <row r="25" spans="1:23" ht="30">
      <c r="A25" s="853"/>
      <c r="B25" s="888"/>
      <c r="C25" s="853"/>
      <c r="D25" s="853"/>
      <c r="E25" s="853"/>
      <c r="F25" s="872"/>
      <c r="G25" s="872"/>
      <c r="H25" s="872"/>
      <c r="I25" s="872"/>
      <c r="J25" s="387" t="s">
        <v>2460</v>
      </c>
      <c r="K25" s="387" t="s">
        <v>2461</v>
      </c>
      <c r="L25" s="387" t="s">
        <v>189</v>
      </c>
      <c r="M25" s="396" t="s">
        <v>2338</v>
      </c>
      <c r="N25" s="396">
        <v>1</v>
      </c>
      <c r="O25" s="400">
        <v>3</v>
      </c>
      <c r="P25" s="400">
        <v>5</v>
      </c>
      <c r="Q25" s="400">
        <v>6</v>
      </c>
      <c r="R25" s="398">
        <f t="shared" si="0"/>
        <v>384000</v>
      </c>
      <c r="S25" s="398">
        <v>80000</v>
      </c>
      <c r="T25" s="398">
        <v>93000</v>
      </c>
      <c r="U25" s="398">
        <v>97000</v>
      </c>
      <c r="V25" s="398">
        <v>114000</v>
      </c>
      <c r="W25" s="780"/>
    </row>
    <row r="26" spans="1:23" ht="30">
      <c r="A26" s="853"/>
      <c r="B26" s="888"/>
      <c r="C26" s="853"/>
      <c r="D26" s="853"/>
      <c r="E26" s="853"/>
      <c r="F26" s="872"/>
      <c r="G26" s="872"/>
      <c r="H26" s="872"/>
      <c r="I26" s="872"/>
      <c r="J26" s="387" t="s">
        <v>2462</v>
      </c>
      <c r="K26" s="387" t="s">
        <v>2463</v>
      </c>
      <c r="L26" s="387" t="s">
        <v>189</v>
      </c>
      <c r="M26" s="396" t="s">
        <v>2338</v>
      </c>
      <c r="N26" s="396">
        <v>1</v>
      </c>
      <c r="O26" s="400">
        <v>2</v>
      </c>
      <c r="P26" s="400">
        <v>3</v>
      </c>
      <c r="Q26" s="400">
        <v>3</v>
      </c>
      <c r="R26" s="398">
        <f t="shared" si="0"/>
        <v>190000</v>
      </c>
      <c r="S26" s="398">
        <v>40000</v>
      </c>
      <c r="T26" s="398">
        <v>46000</v>
      </c>
      <c r="U26" s="398">
        <v>48000</v>
      </c>
      <c r="V26" s="398">
        <v>56000</v>
      </c>
      <c r="W26" s="780"/>
    </row>
    <row r="27" spans="1:23" ht="18">
      <c r="A27" s="853"/>
      <c r="B27" s="888"/>
      <c r="C27" s="853"/>
      <c r="D27" s="853"/>
      <c r="E27" s="853"/>
      <c r="F27" s="872"/>
      <c r="G27" s="872"/>
      <c r="H27" s="872"/>
      <c r="I27" s="872"/>
      <c r="J27" s="387" t="s">
        <v>2464</v>
      </c>
      <c r="K27" s="387" t="s">
        <v>2465</v>
      </c>
      <c r="L27" s="387" t="s">
        <v>189</v>
      </c>
      <c r="M27" s="396" t="s">
        <v>2338</v>
      </c>
      <c r="N27" s="396">
        <v>5</v>
      </c>
      <c r="O27" s="400">
        <v>5</v>
      </c>
      <c r="P27" s="400">
        <v>5</v>
      </c>
      <c r="Q27" s="400">
        <v>5</v>
      </c>
      <c r="R27" s="398">
        <f t="shared" si="0"/>
        <v>0</v>
      </c>
      <c r="S27" s="399">
        <v>0</v>
      </c>
      <c r="T27" s="399">
        <v>0</v>
      </c>
      <c r="U27" s="399">
        <v>0</v>
      </c>
      <c r="V27" s="399">
        <v>0</v>
      </c>
      <c r="W27" s="780"/>
    </row>
    <row r="28" spans="1:23" ht="30">
      <c r="A28" s="853"/>
      <c r="B28" s="888"/>
      <c r="C28" s="853" t="s">
        <v>2761</v>
      </c>
      <c r="D28" s="853" t="s">
        <v>2762</v>
      </c>
      <c r="E28" s="853" t="s">
        <v>611</v>
      </c>
      <c r="F28" s="872">
        <f>0.5+0.0125</f>
        <v>0.5125</v>
      </c>
      <c r="G28" s="872">
        <f>+F28+0.0125</f>
        <v>0.5249999999999999</v>
      </c>
      <c r="H28" s="872">
        <f>+G28+0.0125</f>
        <v>0.5374999999999999</v>
      </c>
      <c r="I28" s="872">
        <f>+H28+0.0125</f>
        <v>0.5499999999999998</v>
      </c>
      <c r="J28" s="387" t="s">
        <v>2466</v>
      </c>
      <c r="K28" s="387" t="s">
        <v>2467</v>
      </c>
      <c r="L28" s="387" t="s">
        <v>189</v>
      </c>
      <c r="M28" s="397">
        <v>2182</v>
      </c>
      <c r="N28" s="396">
        <v>2500</v>
      </c>
      <c r="O28" s="400">
        <v>10000</v>
      </c>
      <c r="P28" s="400">
        <v>15000</v>
      </c>
      <c r="Q28" s="400">
        <v>20000</v>
      </c>
      <c r="R28" s="398">
        <f t="shared" si="0"/>
        <v>991000</v>
      </c>
      <c r="S28" s="398">
        <v>180000</v>
      </c>
      <c r="T28" s="398">
        <v>249000</v>
      </c>
      <c r="U28" s="398">
        <v>259000</v>
      </c>
      <c r="V28" s="398">
        <v>303000</v>
      </c>
      <c r="W28" s="780"/>
    </row>
    <row r="29" spans="1:23" ht="30">
      <c r="A29" s="853"/>
      <c r="B29" s="888"/>
      <c r="C29" s="853"/>
      <c r="D29" s="853"/>
      <c r="E29" s="853"/>
      <c r="F29" s="872"/>
      <c r="G29" s="872"/>
      <c r="H29" s="872"/>
      <c r="I29" s="872"/>
      <c r="J29" s="387" t="s">
        <v>2468</v>
      </c>
      <c r="K29" s="387" t="s">
        <v>2469</v>
      </c>
      <c r="L29" s="387" t="s">
        <v>189</v>
      </c>
      <c r="M29" s="397">
        <v>26</v>
      </c>
      <c r="N29" s="396">
        <v>10</v>
      </c>
      <c r="O29" s="400">
        <v>20</v>
      </c>
      <c r="P29" s="400">
        <v>30</v>
      </c>
      <c r="Q29" s="400">
        <v>40</v>
      </c>
      <c r="R29" s="398">
        <f t="shared" si="0"/>
        <v>479000</v>
      </c>
      <c r="S29" s="398">
        <v>100000</v>
      </c>
      <c r="T29" s="398">
        <v>116000</v>
      </c>
      <c r="U29" s="398">
        <v>121000</v>
      </c>
      <c r="V29" s="398">
        <v>142000</v>
      </c>
      <c r="W29" s="780"/>
    </row>
    <row r="30" spans="1:23" ht="30">
      <c r="A30" s="853"/>
      <c r="B30" s="888"/>
      <c r="C30" s="853"/>
      <c r="D30" s="853"/>
      <c r="E30" s="853"/>
      <c r="F30" s="872"/>
      <c r="G30" s="872"/>
      <c r="H30" s="872"/>
      <c r="I30" s="872"/>
      <c r="J30" s="387" t="s">
        <v>2470</v>
      </c>
      <c r="K30" s="387" t="s">
        <v>2471</v>
      </c>
      <c r="L30" s="387" t="s">
        <v>189</v>
      </c>
      <c r="M30" s="397">
        <v>300</v>
      </c>
      <c r="N30" s="396">
        <v>20</v>
      </c>
      <c r="O30" s="400">
        <v>50</v>
      </c>
      <c r="P30" s="400">
        <v>75</v>
      </c>
      <c r="Q30" s="400">
        <v>100</v>
      </c>
      <c r="R30" s="398">
        <f t="shared" si="0"/>
        <v>1196000</v>
      </c>
      <c r="S30" s="398">
        <v>250000</v>
      </c>
      <c r="T30" s="398">
        <v>290000</v>
      </c>
      <c r="U30" s="398">
        <v>302000</v>
      </c>
      <c r="V30" s="398">
        <v>354000</v>
      </c>
      <c r="W30" s="780"/>
    </row>
    <row r="31" spans="1:23" ht="30">
      <c r="A31" s="853"/>
      <c r="B31" s="888"/>
      <c r="C31" s="853" t="s">
        <v>2763</v>
      </c>
      <c r="D31" s="853" t="s">
        <v>2764</v>
      </c>
      <c r="E31" s="853" t="s">
        <v>1</v>
      </c>
      <c r="F31" s="872">
        <f>0.3+0.025</f>
        <v>0.325</v>
      </c>
      <c r="G31" s="872">
        <f>+F31+0.025</f>
        <v>0.35000000000000003</v>
      </c>
      <c r="H31" s="872">
        <f>+G31+0.025</f>
        <v>0.37500000000000006</v>
      </c>
      <c r="I31" s="872">
        <f>+H31+0.025</f>
        <v>0.4000000000000001</v>
      </c>
      <c r="J31" s="387" t="s">
        <v>2472</v>
      </c>
      <c r="K31" s="387" t="s">
        <v>2473</v>
      </c>
      <c r="L31" s="387" t="s">
        <v>189</v>
      </c>
      <c r="M31" s="401" t="s">
        <v>2338</v>
      </c>
      <c r="N31" s="396">
        <v>13</v>
      </c>
      <c r="O31" s="400">
        <v>29</v>
      </c>
      <c r="P31" s="400">
        <v>45</v>
      </c>
      <c r="Q31" s="400">
        <v>61</v>
      </c>
      <c r="R31" s="398">
        <f t="shared" si="0"/>
        <v>1005000</v>
      </c>
      <c r="S31" s="398">
        <v>210000</v>
      </c>
      <c r="T31" s="398">
        <v>244000</v>
      </c>
      <c r="U31" s="398">
        <v>254000</v>
      </c>
      <c r="V31" s="398">
        <v>297000</v>
      </c>
      <c r="W31" s="780"/>
    </row>
    <row r="32" spans="1:23" ht="18">
      <c r="A32" s="853"/>
      <c r="B32" s="888"/>
      <c r="C32" s="853"/>
      <c r="D32" s="853"/>
      <c r="E32" s="853"/>
      <c r="F32" s="872"/>
      <c r="G32" s="872"/>
      <c r="H32" s="872"/>
      <c r="I32" s="872"/>
      <c r="J32" s="387" t="s">
        <v>2474</v>
      </c>
      <c r="K32" s="387" t="s">
        <v>2475</v>
      </c>
      <c r="L32" s="387" t="s">
        <v>2809</v>
      </c>
      <c r="M32" s="401">
        <v>59</v>
      </c>
      <c r="N32" s="396">
        <v>13</v>
      </c>
      <c r="O32" s="401">
        <v>29</v>
      </c>
      <c r="P32" s="400">
        <v>45</v>
      </c>
      <c r="Q32" s="400">
        <v>59</v>
      </c>
      <c r="R32" s="398">
        <f t="shared" si="0"/>
        <v>860000</v>
      </c>
      <c r="S32" s="398">
        <v>180000</v>
      </c>
      <c r="T32" s="398">
        <v>209000</v>
      </c>
      <c r="U32" s="398">
        <v>217000</v>
      </c>
      <c r="V32" s="398">
        <v>254000</v>
      </c>
      <c r="W32" s="780"/>
    </row>
    <row r="33" spans="1:23" ht="30">
      <c r="A33" s="853"/>
      <c r="B33" s="888"/>
      <c r="C33" s="853"/>
      <c r="D33" s="853"/>
      <c r="E33" s="853"/>
      <c r="F33" s="872"/>
      <c r="G33" s="872"/>
      <c r="H33" s="872"/>
      <c r="I33" s="872"/>
      <c r="J33" s="387" t="s">
        <v>2476</v>
      </c>
      <c r="K33" s="387" t="s">
        <v>2477</v>
      </c>
      <c r="L33" s="387" t="s">
        <v>189</v>
      </c>
      <c r="M33" s="401">
        <v>3000</v>
      </c>
      <c r="N33" s="396">
        <v>1000</v>
      </c>
      <c r="O33" s="401">
        <v>2000</v>
      </c>
      <c r="P33" s="400">
        <v>3000</v>
      </c>
      <c r="Q33" s="400">
        <v>4000</v>
      </c>
      <c r="R33" s="398">
        <f t="shared" si="0"/>
        <v>1529000</v>
      </c>
      <c r="S33" s="398">
        <v>320000</v>
      </c>
      <c r="T33" s="398">
        <v>371000</v>
      </c>
      <c r="U33" s="398">
        <v>386000</v>
      </c>
      <c r="V33" s="398">
        <v>452000</v>
      </c>
      <c r="W33" s="780"/>
    </row>
    <row r="34" spans="1:23" ht="30.75" customHeight="1">
      <c r="A34" s="853"/>
      <c r="B34" s="888"/>
      <c r="C34" s="853" t="s">
        <v>2765</v>
      </c>
      <c r="D34" s="853" t="s">
        <v>1680</v>
      </c>
      <c r="E34" s="853" t="s">
        <v>4</v>
      </c>
      <c r="F34" s="872">
        <f>0.41+0.01</f>
        <v>0.42</v>
      </c>
      <c r="G34" s="872">
        <f>+F34+0.01</f>
        <v>0.43</v>
      </c>
      <c r="H34" s="872">
        <f>+G34+0.01</f>
        <v>0.44</v>
      </c>
      <c r="I34" s="872">
        <f>+H34+0.01</f>
        <v>0.45</v>
      </c>
      <c r="J34" s="387" t="s">
        <v>2478</v>
      </c>
      <c r="K34" s="387" t="s">
        <v>2479</v>
      </c>
      <c r="L34" s="387" t="s">
        <v>189</v>
      </c>
      <c r="M34" s="401" t="s">
        <v>2338</v>
      </c>
      <c r="N34" s="396">
        <v>50</v>
      </c>
      <c r="O34" s="401">
        <v>100</v>
      </c>
      <c r="P34" s="400">
        <v>150</v>
      </c>
      <c r="Q34" s="400">
        <v>200</v>
      </c>
      <c r="R34" s="398">
        <f t="shared" si="0"/>
        <v>1434000</v>
      </c>
      <c r="S34" s="398">
        <v>300000</v>
      </c>
      <c r="T34" s="398">
        <v>348000</v>
      </c>
      <c r="U34" s="398">
        <v>362000</v>
      </c>
      <c r="V34" s="398">
        <v>424000</v>
      </c>
      <c r="W34" s="780"/>
    </row>
    <row r="35" spans="1:23" ht="18">
      <c r="A35" s="853"/>
      <c r="B35" s="888"/>
      <c r="C35" s="853"/>
      <c r="D35" s="853"/>
      <c r="E35" s="853"/>
      <c r="F35" s="872"/>
      <c r="G35" s="872"/>
      <c r="H35" s="872"/>
      <c r="I35" s="872"/>
      <c r="J35" s="387" t="s">
        <v>2480</v>
      </c>
      <c r="K35" s="387" t="s">
        <v>2481</v>
      </c>
      <c r="L35" s="387" t="s">
        <v>2809</v>
      </c>
      <c r="M35" s="401">
        <v>1</v>
      </c>
      <c r="N35" s="396">
        <v>1</v>
      </c>
      <c r="O35" s="401">
        <v>2</v>
      </c>
      <c r="P35" s="400">
        <v>3</v>
      </c>
      <c r="Q35" s="400">
        <v>4</v>
      </c>
      <c r="R35" s="398">
        <f t="shared" si="0"/>
        <v>143000</v>
      </c>
      <c r="S35" s="398">
        <v>30000</v>
      </c>
      <c r="T35" s="398">
        <v>35000</v>
      </c>
      <c r="U35" s="398">
        <v>36000</v>
      </c>
      <c r="V35" s="398">
        <v>42000</v>
      </c>
      <c r="W35" s="780"/>
    </row>
    <row r="36" spans="1:23" ht="30">
      <c r="A36" s="853"/>
      <c r="B36" s="888"/>
      <c r="C36" s="853"/>
      <c r="D36" s="853"/>
      <c r="E36" s="853"/>
      <c r="F36" s="872"/>
      <c r="G36" s="872"/>
      <c r="H36" s="872"/>
      <c r="I36" s="872"/>
      <c r="J36" s="387" t="s">
        <v>2482</v>
      </c>
      <c r="K36" s="387" t="s">
        <v>2483</v>
      </c>
      <c r="L36" s="387" t="s">
        <v>2809</v>
      </c>
      <c r="M36" s="397">
        <v>1</v>
      </c>
      <c r="N36" s="396">
        <v>1</v>
      </c>
      <c r="O36" s="401">
        <v>2</v>
      </c>
      <c r="P36" s="400">
        <v>3</v>
      </c>
      <c r="Q36" s="400">
        <v>4</v>
      </c>
      <c r="R36" s="398">
        <f t="shared" si="0"/>
        <v>143000</v>
      </c>
      <c r="S36" s="398">
        <v>30000</v>
      </c>
      <c r="T36" s="398">
        <v>35000</v>
      </c>
      <c r="U36" s="398">
        <v>36000</v>
      </c>
      <c r="V36" s="398">
        <v>42000</v>
      </c>
      <c r="W36" s="780"/>
    </row>
    <row r="37" spans="1:23" ht="18">
      <c r="A37" s="853"/>
      <c r="B37" s="888"/>
      <c r="C37" s="853"/>
      <c r="D37" s="853"/>
      <c r="E37" s="853"/>
      <c r="F37" s="872"/>
      <c r="G37" s="872"/>
      <c r="H37" s="872"/>
      <c r="I37" s="872"/>
      <c r="J37" s="387" t="s">
        <v>2484</v>
      </c>
      <c r="K37" s="387" t="s">
        <v>1687</v>
      </c>
      <c r="L37" s="387" t="s">
        <v>189</v>
      </c>
      <c r="M37" s="401" t="s">
        <v>2338</v>
      </c>
      <c r="N37" s="396">
        <v>1</v>
      </c>
      <c r="O37" s="401">
        <v>2</v>
      </c>
      <c r="P37" s="400">
        <v>3</v>
      </c>
      <c r="Q37" s="400">
        <v>4</v>
      </c>
      <c r="R37" s="398">
        <f t="shared" si="0"/>
        <v>286000</v>
      </c>
      <c r="S37" s="398">
        <v>60000</v>
      </c>
      <c r="T37" s="398">
        <v>70000</v>
      </c>
      <c r="U37" s="398">
        <v>72000</v>
      </c>
      <c r="V37" s="398">
        <v>84000</v>
      </c>
      <c r="W37" s="780"/>
    </row>
    <row r="38" spans="1:23" ht="30">
      <c r="A38" s="885" t="s">
        <v>2485</v>
      </c>
      <c r="B38" s="886">
        <v>0.075</v>
      </c>
      <c r="C38" s="884" t="s">
        <v>2486</v>
      </c>
      <c r="D38" s="868" t="s">
        <v>2487</v>
      </c>
      <c r="E38" s="853">
        <v>0</v>
      </c>
      <c r="F38" s="853">
        <v>30</v>
      </c>
      <c r="G38" s="853">
        <v>60</v>
      </c>
      <c r="H38" s="853">
        <v>90</v>
      </c>
      <c r="I38" s="853">
        <v>120</v>
      </c>
      <c r="J38" s="387" t="s">
        <v>2488</v>
      </c>
      <c r="K38" s="387" t="s">
        <v>2760</v>
      </c>
      <c r="L38" s="387" t="s">
        <v>189</v>
      </c>
      <c r="M38" s="396">
        <v>120</v>
      </c>
      <c r="N38" s="396">
        <v>30</v>
      </c>
      <c r="O38" s="401">
        <v>60</v>
      </c>
      <c r="P38" s="400">
        <v>90</v>
      </c>
      <c r="Q38" s="400">
        <v>120</v>
      </c>
      <c r="R38" s="398">
        <f t="shared" si="0"/>
        <v>1500000</v>
      </c>
      <c r="S38" s="398">
        <v>364000</v>
      </c>
      <c r="T38" s="398">
        <v>371000</v>
      </c>
      <c r="U38" s="398">
        <v>375000</v>
      </c>
      <c r="V38" s="398">
        <v>390000</v>
      </c>
      <c r="W38" s="780"/>
    </row>
    <row r="39" spans="1:23" ht="30">
      <c r="A39" s="885"/>
      <c r="B39" s="886"/>
      <c r="C39" s="884"/>
      <c r="D39" s="868"/>
      <c r="E39" s="853"/>
      <c r="F39" s="853"/>
      <c r="G39" s="853"/>
      <c r="H39" s="853"/>
      <c r="I39" s="853"/>
      <c r="J39" s="387" t="s">
        <v>2489</v>
      </c>
      <c r="K39" s="387" t="s">
        <v>1687</v>
      </c>
      <c r="L39" s="387" t="s">
        <v>189</v>
      </c>
      <c r="M39" s="396" t="s">
        <v>2338</v>
      </c>
      <c r="N39" s="396">
        <v>3</v>
      </c>
      <c r="O39" s="401">
        <v>6</v>
      </c>
      <c r="P39" s="400">
        <v>9</v>
      </c>
      <c r="Q39" s="400">
        <v>12</v>
      </c>
      <c r="R39" s="398">
        <f t="shared" si="0"/>
        <v>200000</v>
      </c>
      <c r="S39" s="398">
        <v>49000</v>
      </c>
      <c r="T39" s="398">
        <v>49000</v>
      </c>
      <c r="U39" s="398">
        <v>50000</v>
      </c>
      <c r="V39" s="398">
        <v>52000</v>
      </c>
      <c r="W39" s="780"/>
    </row>
    <row r="40" spans="1:23" ht="18">
      <c r="A40" s="885"/>
      <c r="B40" s="886"/>
      <c r="C40" s="884"/>
      <c r="D40" s="868"/>
      <c r="E40" s="853"/>
      <c r="F40" s="853"/>
      <c r="G40" s="853"/>
      <c r="H40" s="853"/>
      <c r="I40" s="853"/>
      <c r="J40" s="387" t="s">
        <v>2490</v>
      </c>
      <c r="K40" s="387" t="s">
        <v>1686</v>
      </c>
      <c r="L40" s="387" t="s">
        <v>189</v>
      </c>
      <c r="M40" s="396">
        <v>1</v>
      </c>
      <c r="N40" s="396">
        <v>1</v>
      </c>
      <c r="O40" s="401">
        <v>2</v>
      </c>
      <c r="P40" s="400">
        <v>3</v>
      </c>
      <c r="Q40" s="400">
        <v>4</v>
      </c>
      <c r="R40" s="398">
        <f t="shared" si="0"/>
        <v>300000</v>
      </c>
      <c r="S40" s="398">
        <v>73000</v>
      </c>
      <c r="T40" s="398">
        <v>74000</v>
      </c>
      <c r="U40" s="398">
        <v>75000</v>
      </c>
      <c r="V40" s="398">
        <v>78000</v>
      </c>
      <c r="W40" s="780"/>
    </row>
    <row r="41" spans="1:23" ht="30">
      <c r="A41" s="885"/>
      <c r="B41" s="886"/>
      <c r="C41" s="853" t="s">
        <v>2491</v>
      </c>
      <c r="D41" s="880" t="s">
        <v>2492</v>
      </c>
      <c r="E41" s="881">
        <v>0</v>
      </c>
      <c r="F41" s="853">
        <v>10</v>
      </c>
      <c r="G41" s="853">
        <v>20</v>
      </c>
      <c r="H41" s="853">
        <v>30</v>
      </c>
      <c r="I41" s="853">
        <v>40</v>
      </c>
      <c r="J41" s="387" t="s">
        <v>2493</v>
      </c>
      <c r="K41" s="387" t="s">
        <v>1694</v>
      </c>
      <c r="L41" s="387" t="s">
        <v>189</v>
      </c>
      <c r="M41" s="396">
        <v>20</v>
      </c>
      <c r="N41" s="396">
        <v>10</v>
      </c>
      <c r="O41" s="401">
        <v>20</v>
      </c>
      <c r="P41" s="400">
        <v>30</v>
      </c>
      <c r="Q41" s="400">
        <v>40</v>
      </c>
      <c r="R41" s="398">
        <f t="shared" si="0"/>
        <v>340000</v>
      </c>
      <c r="S41" s="398">
        <v>83000</v>
      </c>
      <c r="T41" s="398">
        <v>84000</v>
      </c>
      <c r="U41" s="398">
        <v>85000</v>
      </c>
      <c r="V41" s="398">
        <v>88000</v>
      </c>
      <c r="W41" s="780"/>
    </row>
    <row r="42" spans="1:23" ht="45">
      <c r="A42" s="885"/>
      <c r="B42" s="886"/>
      <c r="C42" s="853"/>
      <c r="D42" s="880"/>
      <c r="E42" s="881"/>
      <c r="F42" s="853"/>
      <c r="G42" s="853"/>
      <c r="H42" s="853"/>
      <c r="I42" s="853"/>
      <c r="J42" s="387" t="s">
        <v>2494</v>
      </c>
      <c r="K42" s="387" t="s">
        <v>1696</v>
      </c>
      <c r="L42" s="387" t="s">
        <v>2809</v>
      </c>
      <c r="M42" s="396">
        <v>1500</v>
      </c>
      <c r="N42" s="396">
        <v>500</v>
      </c>
      <c r="O42" s="401">
        <v>1000</v>
      </c>
      <c r="P42" s="400">
        <v>1500</v>
      </c>
      <c r="Q42" s="400">
        <v>2000</v>
      </c>
      <c r="R42" s="398">
        <f t="shared" si="0"/>
        <v>1200000</v>
      </c>
      <c r="S42" s="398">
        <v>292000</v>
      </c>
      <c r="T42" s="398">
        <v>296000</v>
      </c>
      <c r="U42" s="398">
        <v>300000</v>
      </c>
      <c r="V42" s="398">
        <v>312000</v>
      </c>
      <c r="W42" s="780"/>
    </row>
    <row r="43" spans="1:23" ht="45">
      <c r="A43" s="885"/>
      <c r="B43" s="886"/>
      <c r="C43" s="853"/>
      <c r="D43" s="880"/>
      <c r="E43" s="881"/>
      <c r="F43" s="853"/>
      <c r="G43" s="853"/>
      <c r="H43" s="853"/>
      <c r="I43" s="853"/>
      <c r="J43" s="387" t="s">
        <v>2495</v>
      </c>
      <c r="K43" s="387" t="s">
        <v>1696</v>
      </c>
      <c r="L43" s="387" t="s">
        <v>189</v>
      </c>
      <c r="M43" s="396">
        <v>253</v>
      </c>
      <c r="N43" s="396">
        <v>750</v>
      </c>
      <c r="O43" s="401">
        <v>1500</v>
      </c>
      <c r="P43" s="400">
        <v>2250</v>
      </c>
      <c r="Q43" s="400">
        <v>3000</v>
      </c>
      <c r="R43" s="398">
        <f t="shared" si="0"/>
        <v>1000000</v>
      </c>
      <c r="S43" s="398">
        <v>243000</v>
      </c>
      <c r="T43" s="398">
        <v>247000</v>
      </c>
      <c r="U43" s="398">
        <v>250000</v>
      </c>
      <c r="V43" s="398">
        <v>260000</v>
      </c>
      <c r="W43" s="780"/>
    </row>
    <row r="44" spans="1:23" ht="60">
      <c r="A44" s="885"/>
      <c r="B44" s="886"/>
      <c r="C44" s="853"/>
      <c r="D44" s="880"/>
      <c r="E44" s="881"/>
      <c r="F44" s="853"/>
      <c r="G44" s="853"/>
      <c r="H44" s="853"/>
      <c r="I44" s="853"/>
      <c r="J44" s="387" t="s">
        <v>2496</v>
      </c>
      <c r="K44" s="387" t="s">
        <v>1700</v>
      </c>
      <c r="L44" s="387" t="s">
        <v>2809</v>
      </c>
      <c r="M44" s="397">
        <v>1500</v>
      </c>
      <c r="N44" s="396">
        <v>500</v>
      </c>
      <c r="O44" s="401">
        <v>1200</v>
      </c>
      <c r="P44" s="400">
        <v>1800</v>
      </c>
      <c r="Q44" s="400">
        <v>2400</v>
      </c>
      <c r="R44" s="398">
        <f t="shared" si="0"/>
        <v>900000</v>
      </c>
      <c r="S44" s="398">
        <v>219000</v>
      </c>
      <c r="T44" s="398">
        <v>222000</v>
      </c>
      <c r="U44" s="398">
        <v>225000</v>
      </c>
      <c r="V44" s="398">
        <v>234000</v>
      </c>
      <c r="W44" s="780"/>
    </row>
    <row r="45" spans="1:23" ht="30">
      <c r="A45" s="885"/>
      <c r="B45" s="886"/>
      <c r="C45" s="853"/>
      <c r="D45" s="880"/>
      <c r="E45" s="881"/>
      <c r="F45" s="853"/>
      <c r="G45" s="853"/>
      <c r="H45" s="853"/>
      <c r="I45" s="853"/>
      <c r="J45" s="387" t="s">
        <v>2497</v>
      </c>
      <c r="K45" s="387" t="s">
        <v>1702</v>
      </c>
      <c r="L45" s="387" t="s">
        <v>189</v>
      </c>
      <c r="M45" s="397">
        <v>1</v>
      </c>
      <c r="N45" s="396">
        <v>0</v>
      </c>
      <c r="O45" s="401">
        <v>1</v>
      </c>
      <c r="P45" s="400">
        <v>1</v>
      </c>
      <c r="Q45" s="400">
        <v>1</v>
      </c>
      <c r="R45" s="398">
        <f t="shared" si="0"/>
        <v>500000</v>
      </c>
      <c r="S45" s="398">
        <v>121000</v>
      </c>
      <c r="T45" s="398">
        <v>124000</v>
      </c>
      <c r="U45" s="398">
        <v>125000</v>
      </c>
      <c r="V45" s="398">
        <v>130000</v>
      </c>
      <c r="W45" s="780"/>
    </row>
    <row r="46" spans="1:23" ht="30">
      <c r="A46" s="885"/>
      <c r="B46" s="886"/>
      <c r="C46" s="853"/>
      <c r="D46" s="880"/>
      <c r="E46" s="881"/>
      <c r="F46" s="853"/>
      <c r="G46" s="853"/>
      <c r="H46" s="853"/>
      <c r="I46" s="853"/>
      <c r="J46" s="387" t="s">
        <v>2498</v>
      </c>
      <c r="K46" s="387" t="s">
        <v>1704</v>
      </c>
      <c r="L46" s="387" t="s">
        <v>2809</v>
      </c>
      <c r="M46" s="397" t="s">
        <v>2338</v>
      </c>
      <c r="N46" s="396">
        <v>10</v>
      </c>
      <c r="O46" s="401">
        <v>30</v>
      </c>
      <c r="P46" s="400">
        <v>50</v>
      </c>
      <c r="Q46" s="400">
        <v>61</v>
      </c>
      <c r="R46" s="398">
        <f t="shared" si="0"/>
        <v>297000</v>
      </c>
      <c r="S46" s="398">
        <v>71000</v>
      </c>
      <c r="T46" s="398">
        <v>73000</v>
      </c>
      <c r="U46" s="398">
        <v>76000</v>
      </c>
      <c r="V46" s="398">
        <v>77000</v>
      </c>
      <c r="W46" s="780"/>
    </row>
    <row r="47" spans="1:23" ht="45">
      <c r="A47" s="885"/>
      <c r="B47" s="886"/>
      <c r="C47" s="853"/>
      <c r="D47" s="880"/>
      <c r="E47" s="881"/>
      <c r="F47" s="853"/>
      <c r="G47" s="853"/>
      <c r="H47" s="853"/>
      <c r="I47" s="853"/>
      <c r="J47" s="387" t="s">
        <v>2499</v>
      </c>
      <c r="K47" s="387" t="s">
        <v>2760</v>
      </c>
      <c r="L47" s="387" t="s">
        <v>189</v>
      </c>
      <c r="M47" s="397" t="s">
        <v>2338</v>
      </c>
      <c r="N47" s="396">
        <v>5</v>
      </c>
      <c r="O47" s="401">
        <v>10</v>
      </c>
      <c r="P47" s="400">
        <v>15</v>
      </c>
      <c r="Q47" s="400">
        <v>20</v>
      </c>
      <c r="R47" s="398">
        <f t="shared" si="0"/>
        <v>1200000</v>
      </c>
      <c r="S47" s="398">
        <v>292000</v>
      </c>
      <c r="T47" s="398">
        <v>296000</v>
      </c>
      <c r="U47" s="398">
        <v>300000</v>
      </c>
      <c r="V47" s="398">
        <v>312000</v>
      </c>
      <c r="W47" s="780"/>
    </row>
    <row r="48" spans="1:23" ht="30">
      <c r="A48" s="885"/>
      <c r="B48" s="886"/>
      <c r="C48" s="853"/>
      <c r="D48" s="880"/>
      <c r="E48" s="881"/>
      <c r="F48" s="853"/>
      <c r="G48" s="853"/>
      <c r="H48" s="853"/>
      <c r="I48" s="853"/>
      <c r="J48" s="387" t="s">
        <v>2500</v>
      </c>
      <c r="K48" s="387" t="s">
        <v>177</v>
      </c>
      <c r="L48" s="387" t="s">
        <v>189</v>
      </c>
      <c r="M48" s="397" t="s">
        <v>2338</v>
      </c>
      <c r="N48" s="396">
        <v>10</v>
      </c>
      <c r="O48" s="401">
        <v>30</v>
      </c>
      <c r="P48" s="400">
        <v>60</v>
      </c>
      <c r="Q48" s="400">
        <v>100</v>
      </c>
      <c r="R48" s="398">
        <f t="shared" si="0"/>
        <v>1500000</v>
      </c>
      <c r="S48" s="398">
        <v>364000</v>
      </c>
      <c r="T48" s="398">
        <v>371000</v>
      </c>
      <c r="U48" s="398">
        <v>375000</v>
      </c>
      <c r="V48" s="398">
        <v>390000</v>
      </c>
      <c r="W48" s="780"/>
    </row>
    <row r="49" spans="1:23" ht="30">
      <c r="A49" s="885"/>
      <c r="B49" s="886"/>
      <c r="C49" s="853"/>
      <c r="D49" s="880"/>
      <c r="E49" s="881"/>
      <c r="F49" s="853"/>
      <c r="G49" s="853"/>
      <c r="H49" s="853"/>
      <c r="I49" s="853"/>
      <c r="J49" s="387" t="s">
        <v>2501</v>
      </c>
      <c r="K49" s="387" t="s">
        <v>180</v>
      </c>
      <c r="L49" s="387" t="s">
        <v>189</v>
      </c>
      <c r="M49" s="397" t="s">
        <v>2338</v>
      </c>
      <c r="N49" s="396">
        <v>3</v>
      </c>
      <c r="O49" s="401">
        <v>9</v>
      </c>
      <c r="P49" s="400">
        <v>16</v>
      </c>
      <c r="Q49" s="400">
        <v>20</v>
      </c>
      <c r="R49" s="398">
        <f t="shared" si="0"/>
        <v>1100000</v>
      </c>
      <c r="S49" s="398">
        <v>266000</v>
      </c>
      <c r="T49" s="398">
        <v>272000</v>
      </c>
      <c r="U49" s="398">
        <v>276000</v>
      </c>
      <c r="V49" s="398">
        <v>286000</v>
      </c>
      <c r="W49" s="780"/>
    </row>
    <row r="50" spans="1:23" ht="18">
      <c r="A50" s="885"/>
      <c r="B50" s="886"/>
      <c r="C50" s="853"/>
      <c r="D50" s="880"/>
      <c r="E50" s="881"/>
      <c r="F50" s="853"/>
      <c r="G50" s="853"/>
      <c r="H50" s="853"/>
      <c r="I50" s="853"/>
      <c r="J50" s="387" t="s">
        <v>2502</v>
      </c>
      <c r="K50" s="387" t="s">
        <v>182</v>
      </c>
      <c r="L50" s="387" t="s">
        <v>189</v>
      </c>
      <c r="M50" s="397" t="s">
        <v>2338</v>
      </c>
      <c r="N50" s="396">
        <v>2</v>
      </c>
      <c r="O50" s="401">
        <v>5</v>
      </c>
      <c r="P50" s="400">
        <v>8</v>
      </c>
      <c r="Q50" s="400">
        <v>10</v>
      </c>
      <c r="R50" s="398">
        <f t="shared" si="0"/>
        <v>600000</v>
      </c>
      <c r="S50" s="398">
        <v>146000</v>
      </c>
      <c r="T50" s="398">
        <v>148000</v>
      </c>
      <c r="U50" s="398">
        <v>150000</v>
      </c>
      <c r="V50" s="398">
        <v>156000</v>
      </c>
      <c r="W50" s="780"/>
    </row>
    <row r="51" spans="1:23" ht="30">
      <c r="A51" s="885"/>
      <c r="B51" s="886"/>
      <c r="C51" s="853"/>
      <c r="D51" s="880"/>
      <c r="E51" s="881"/>
      <c r="F51" s="853"/>
      <c r="G51" s="853"/>
      <c r="H51" s="853"/>
      <c r="I51" s="853"/>
      <c r="J51" s="387" t="s">
        <v>2503</v>
      </c>
      <c r="K51" s="387" t="s">
        <v>184</v>
      </c>
      <c r="L51" s="387" t="s">
        <v>189</v>
      </c>
      <c r="M51" s="397" t="s">
        <v>2338</v>
      </c>
      <c r="N51" s="396">
        <v>4</v>
      </c>
      <c r="O51" s="401">
        <v>10</v>
      </c>
      <c r="P51" s="400">
        <v>15</v>
      </c>
      <c r="Q51" s="400">
        <v>20</v>
      </c>
      <c r="R51" s="398">
        <f t="shared" si="0"/>
        <v>400000</v>
      </c>
      <c r="S51" s="398">
        <v>96000</v>
      </c>
      <c r="T51" s="398">
        <v>99000</v>
      </c>
      <c r="U51" s="398">
        <v>100000</v>
      </c>
      <c r="V51" s="398">
        <v>105000</v>
      </c>
      <c r="W51" s="780"/>
    </row>
    <row r="52" spans="1:23" ht="30">
      <c r="A52" s="885"/>
      <c r="B52" s="886"/>
      <c r="C52" s="853"/>
      <c r="D52" s="880"/>
      <c r="E52" s="881"/>
      <c r="F52" s="853"/>
      <c r="G52" s="853"/>
      <c r="H52" s="853"/>
      <c r="I52" s="853"/>
      <c r="J52" s="387" t="s">
        <v>2504</v>
      </c>
      <c r="K52" s="387" t="s">
        <v>185</v>
      </c>
      <c r="L52" s="387" t="s">
        <v>189</v>
      </c>
      <c r="M52" s="397" t="s">
        <v>2338</v>
      </c>
      <c r="N52" s="396">
        <v>2</v>
      </c>
      <c r="O52" s="401">
        <v>5</v>
      </c>
      <c r="P52" s="400">
        <v>8</v>
      </c>
      <c r="Q52" s="400">
        <v>10</v>
      </c>
      <c r="R52" s="398">
        <f t="shared" si="0"/>
        <v>500000</v>
      </c>
      <c r="S52" s="398">
        <v>121000</v>
      </c>
      <c r="T52" s="398">
        <v>124000</v>
      </c>
      <c r="U52" s="398">
        <v>125000</v>
      </c>
      <c r="V52" s="398">
        <v>130000</v>
      </c>
      <c r="W52" s="780"/>
    </row>
    <row r="53" spans="1:23" ht="30.75" customHeight="1">
      <c r="A53" s="873" t="s">
        <v>186</v>
      </c>
      <c r="B53" s="874">
        <v>0.15</v>
      </c>
      <c r="C53" s="868" t="s">
        <v>187</v>
      </c>
      <c r="D53" s="868" t="s">
        <v>2418</v>
      </c>
      <c r="E53" s="868" t="s">
        <v>2419</v>
      </c>
      <c r="F53" s="872">
        <f>0.9546+0.00635</f>
        <v>0.96095</v>
      </c>
      <c r="G53" s="872">
        <f>+F53+0.00635</f>
        <v>0.9672999999999999</v>
      </c>
      <c r="H53" s="872">
        <f>+G53+0.00635</f>
        <v>0.9736499999999999</v>
      </c>
      <c r="I53" s="872">
        <f>+H53+0.00635</f>
        <v>0.9799999999999999</v>
      </c>
      <c r="J53" s="387" t="s">
        <v>2505</v>
      </c>
      <c r="K53" s="387" t="s">
        <v>2812</v>
      </c>
      <c r="L53" s="387" t="s">
        <v>2809</v>
      </c>
      <c r="M53" s="402">
        <v>6617</v>
      </c>
      <c r="N53" s="396">
        <v>4000</v>
      </c>
      <c r="O53" s="401">
        <v>8000</v>
      </c>
      <c r="P53" s="400">
        <v>12000</v>
      </c>
      <c r="Q53" s="400">
        <v>16000</v>
      </c>
      <c r="R53" s="398">
        <f t="shared" si="0"/>
        <v>200000</v>
      </c>
      <c r="S53" s="398">
        <v>44000</v>
      </c>
      <c r="T53" s="398">
        <v>49000</v>
      </c>
      <c r="U53" s="398">
        <v>52000</v>
      </c>
      <c r="V53" s="398">
        <v>55000</v>
      </c>
      <c r="W53" s="780"/>
    </row>
    <row r="54" spans="1:23" ht="30">
      <c r="A54" s="873"/>
      <c r="B54" s="874"/>
      <c r="C54" s="868"/>
      <c r="D54" s="868"/>
      <c r="E54" s="868"/>
      <c r="F54" s="872"/>
      <c r="G54" s="872"/>
      <c r="H54" s="872"/>
      <c r="I54" s="872"/>
      <c r="J54" s="387" t="s">
        <v>2506</v>
      </c>
      <c r="K54" s="387" t="s">
        <v>2507</v>
      </c>
      <c r="L54" s="387" t="s">
        <v>2809</v>
      </c>
      <c r="M54" s="402">
        <v>5094</v>
      </c>
      <c r="N54" s="402">
        <v>5094</v>
      </c>
      <c r="O54" s="403">
        <v>4000</v>
      </c>
      <c r="P54" s="401">
        <v>6000</v>
      </c>
      <c r="Q54" s="403">
        <v>8000</v>
      </c>
      <c r="R54" s="398">
        <f t="shared" si="0"/>
        <v>200000</v>
      </c>
      <c r="S54" s="398">
        <v>200000</v>
      </c>
      <c r="T54" s="404">
        <v>0</v>
      </c>
      <c r="U54" s="399">
        <v>0</v>
      </c>
      <c r="V54" s="399">
        <v>0</v>
      </c>
      <c r="W54" s="780"/>
    </row>
    <row r="55" spans="1:23" ht="18">
      <c r="A55" s="873"/>
      <c r="B55" s="874"/>
      <c r="C55" s="868" t="s">
        <v>2813</v>
      </c>
      <c r="D55" s="868" t="s">
        <v>2814</v>
      </c>
      <c r="E55" s="868" t="s">
        <v>2815</v>
      </c>
      <c r="F55" s="872">
        <f>0.8286+0.00535</f>
        <v>0.83395</v>
      </c>
      <c r="G55" s="872">
        <f>+F55+0.00535</f>
        <v>0.8392999999999999</v>
      </c>
      <c r="H55" s="872">
        <f>+G55+0.00535</f>
        <v>0.8446499999999999</v>
      </c>
      <c r="I55" s="872">
        <f>+H55+0.00535</f>
        <v>0.8499999999999999</v>
      </c>
      <c r="J55" s="387" t="s">
        <v>2508</v>
      </c>
      <c r="K55" s="387" t="s">
        <v>2822</v>
      </c>
      <c r="L55" s="387" t="s">
        <v>2809</v>
      </c>
      <c r="M55" s="402">
        <v>25596</v>
      </c>
      <c r="N55" s="396">
        <v>5000</v>
      </c>
      <c r="O55" s="401">
        <v>10000</v>
      </c>
      <c r="P55" s="400">
        <v>15000</v>
      </c>
      <c r="Q55" s="400">
        <v>20000</v>
      </c>
      <c r="R55" s="398">
        <f t="shared" si="0"/>
        <v>0</v>
      </c>
      <c r="S55" s="399">
        <v>0</v>
      </c>
      <c r="T55" s="399">
        <v>0</v>
      </c>
      <c r="U55" s="399">
        <v>0</v>
      </c>
      <c r="V55" s="399">
        <v>0</v>
      </c>
      <c r="W55" s="780"/>
    </row>
    <row r="56" spans="1:23" ht="30">
      <c r="A56" s="873"/>
      <c r="B56" s="874"/>
      <c r="C56" s="868"/>
      <c r="D56" s="868"/>
      <c r="E56" s="868"/>
      <c r="F56" s="872"/>
      <c r="G56" s="872"/>
      <c r="H56" s="872"/>
      <c r="I56" s="872"/>
      <c r="J56" s="387" t="s">
        <v>2509</v>
      </c>
      <c r="K56" s="387" t="s">
        <v>2118</v>
      </c>
      <c r="L56" s="387" t="s">
        <v>2809</v>
      </c>
      <c r="M56" s="405" t="s">
        <v>2338</v>
      </c>
      <c r="N56" s="396">
        <v>1100</v>
      </c>
      <c r="O56" s="401">
        <v>2200</v>
      </c>
      <c r="P56" s="400">
        <v>3300</v>
      </c>
      <c r="Q56" s="400">
        <v>4400</v>
      </c>
      <c r="R56" s="398">
        <f t="shared" si="0"/>
        <v>0</v>
      </c>
      <c r="S56" s="399">
        <v>0</v>
      </c>
      <c r="T56" s="399">
        <v>0</v>
      </c>
      <c r="U56" s="399">
        <v>0</v>
      </c>
      <c r="V56" s="399">
        <v>0</v>
      </c>
      <c r="W56" s="780"/>
    </row>
    <row r="57" spans="1:23" ht="30">
      <c r="A57" s="873"/>
      <c r="B57" s="874"/>
      <c r="C57" s="868" t="s">
        <v>2818</v>
      </c>
      <c r="D57" s="868" t="s">
        <v>2819</v>
      </c>
      <c r="E57" s="868" t="s">
        <v>2820</v>
      </c>
      <c r="F57" s="872">
        <f>0.9891+0.015225</f>
        <v>1.004325</v>
      </c>
      <c r="G57" s="872">
        <f>+F57+0.015225</f>
        <v>1.01955</v>
      </c>
      <c r="H57" s="872">
        <f>+G57+0.015225</f>
        <v>1.034775</v>
      </c>
      <c r="I57" s="872">
        <f>+H57+0.015225</f>
        <v>1.05</v>
      </c>
      <c r="J57" s="387" t="s">
        <v>2510</v>
      </c>
      <c r="K57" s="387" t="s">
        <v>2123</v>
      </c>
      <c r="L57" s="387" t="s">
        <v>189</v>
      </c>
      <c r="M57" s="405" t="s">
        <v>2338</v>
      </c>
      <c r="N57" s="396">
        <v>300</v>
      </c>
      <c r="O57" s="401">
        <v>600</v>
      </c>
      <c r="P57" s="400">
        <v>900</v>
      </c>
      <c r="Q57" s="400">
        <v>1200</v>
      </c>
      <c r="R57" s="398">
        <f t="shared" si="0"/>
        <v>0</v>
      </c>
      <c r="S57" s="399">
        <v>0</v>
      </c>
      <c r="T57" s="399">
        <v>0</v>
      </c>
      <c r="U57" s="399">
        <v>0</v>
      </c>
      <c r="V57" s="399">
        <v>0</v>
      </c>
      <c r="W57" s="780"/>
    </row>
    <row r="58" spans="1:23" ht="30">
      <c r="A58" s="873"/>
      <c r="B58" s="874"/>
      <c r="C58" s="868"/>
      <c r="D58" s="868"/>
      <c r="E58" s="868"/>
      <c r="F58" s="872"/>
      <c r="G58" s="872"/>
      <c r="H58" s="872"/>
      <c r="I58" s="872"/>
      <c r="J58" s="387" t="s">
        <v>2511</v>
      </c>
      <c r="K58" s="387" t="s">
        <v>2128</v>
      </c>
      <c r="L58" s="387" t="s">
        <v>189</v>
      </c>
      <c r="M58" s="405" t="s">
        <v>2338</v>
      </c>
      <c r="N58" s="396">
        <v>1000</v>
      </c>
      <c r="O58" s="401">
        <v>2000</v>
      </c>
      <c r="P58" s="400">
        <v>3000</v>
      </c>
      <c r="Q58" s="400">
        <v>4000</v>
      </c>
      <c r="R58" s="398">
        <f t="shared" si="0"/>
        <v>200000</v>
      </c>
      <c r="S58" s="398">
        <v>44000</v>
      </c>
      <c r="T58" s="398">
        <v>49000</v>
      </c>
      <c r="U58" s="398">
        <v>52000</v>
      </c>
      <c r="V58" s="398">
        <v>55000</v>
      </c>
      <c r="W58" s="780"/>
    </row>
    <row r="59" spans="1:23" ht="30">
      <c r="A59" s="873"/>
      <c r="B59" s="874"/>
      <c r="C59" s="868" t="s">
        <v>2114</v>
      </c>
      <c r="D59" s="868" t="s">
        <v>2115</v>
      </c>
      <c r="E59" s="868" t="s">
        <v>2116</v>
      </c>
      <c r="F59" s="872">
        <f>1.0113+0.009675</f>
        <v>1.0209750000000002</v>
      </c>
      <c r="G59" s="872">
        <f>+F59+0.009675</f>
        <v>1.0306500000000003</v>
      </c>
      <c r="H59" s="872">
        <f>+G59+0.009675</f>
        <v>1.0403250000000004</v>
      </c>
      <c r="I59" s="872">
        <f>+H59+0.009675</f>
        <v>1.0500000000000005</v>
      </c>
      <c r="J59" s="387" t="s">
        <v>2512</v>
      </c>
      <c r="K59" s="387" t="s">
        <v>2133</v>
      </c>
      <c r="L59" s="387" t="s">
        <v>2809</v>
      </c>
      <c r="M59" s="405" t="s">
        <v>2338</v>
      </c>
      <c r="N59" s="396">
        <v>250</v>
      </c>
      <c r="O59" s="401">
        <v>500</v>
      </c>
      <c r="P59" s="400">
        <v>750</v>
      </c>
      <c r="Q59" s="400">
        <v>1000</v>
      </c>
      <c r="R59" s="398">
        <f t="shared" si="0"/>
        <v>0</v>
      </c>
      <c r="S59" s="399">
        <v>0</v>
      </c>
      <c r="T59" s="399">
        <v>0</v>
      </c>
      <c r="U59" s="399">
        <v>0</v>
      </c>
      <c r="V59" s="399">
        <v>0</v>
      </c>
      <c r="W59" s="780"/>
    </row>
    <row r="60" spans="1:23" ht="18">
      <c r="A60" s="873"/>
      <c r="B60" s="874"/>
      <c r="C60" s="868"/>
      <c r="D60" s="868"/>
      <c r="E60" s="868"/>
      <c r="F60" s="872"/>
      <c r="G60" s="872"/>
      <c r="H60" s="872"/>
      <c r="I60" s="872"/>
      <c r="J60" s="387" t="s">
        <v>2513</v>
      </c>
      <c r="K60" s="387" t="s">
        <v>2138</v>
      </c>
      <c r="L60" s="387" t="s">
        <v>189</v>
      </c>
      <c r="M60" s="402">
        <v>5525</v>
      </c>
      <c r="N60" s="396">
        <v>900</v>
      </c>
      <c r="O60" s="401">
        <v>1800</v>
      </c>
      <c r="P60" s="400">
        <v>2700</v>
      </c>
      <c r="Q60" s="400">
        <v>3600</v>
      </c>
      <c r="R60" s="398">
        <f t="shared" si="0"/>
        <v>200000</v>
      </c>
      <c r="S60" s="398">
        <v>44000</v>
      </c>
      <c r="T60" s="398">
        <v>49000</v>
      </c>
      <c r="U60" s="398">
        <v>52000</v>
      </c>
      <c r="V60" s="398">
        <v>55000</v>
      </c>
      <c r="W60" s="780"/>
    </row>
    <row r="61" spans="1:23" ht="30">
      <c r="A61" s="873"/>
      <c r="B61" s="874"/>
      <c r="C61" s="868"/>
      <c r="D61" s="868"/>
      <c r="E61" s="868"/>
      <c r="F61" s="872"/>
      <c r="G61" s="872"/>
      <c r="H61" s="872"/>
      <c r="I61" s="872"/>
      <c r="J61" s="387" t="s">
        <v>2514</v>
      </c>
      <c r="K61" s="387" t="s">
        <v>2143</v>
      </c>
      <c r="L61" s="387" t="s">
        <v>189</v>
      </c>
      <c r="M61" s="405" t="s">
        <v>2338</v>
      </c>
      <c r="N61" s="396">
        <v>6000</v>
      </c>
      <c r="O61" s="401">
        <v>12250</v>
      </c>
      <c r="P61" s="400">
        <v>18375</v>
      </c>
      <c r="Q61" s="400">
        <v>24500</v>
      </c>
      <c r="R61" s="398">
        <f t="shared" si="0"/>
        <v>799000</v>
      </c>
      <c r="S61" s="398">
        <v>180000</v>
      </c>
      <c r="T61" s="398">
        <v>194000</v>
      </c>
      <c r="U61" s="398">
        <v>207000</v>
      </c>
      <c r="V61" s="398">
        <v>218000</v>
      </c>
      <c r="W61" s="780"/>
    </row>
    <row r="62" spans="1:23" ht="16.5" customHeight="1">
      <c r="A62" s="873"/>
      <c r="B62" s="874"/>
      <c r="C62" s="868" t="s">
        <v>2119</v>
      </c>
      <c r="D62" s="868" t="s">
        <v>2120</v>
      </c>
      <c r="E62" s="868" t="s">
        <v>2121</v>
      </c>
      <c r="F62" s="872">
        <f>(0.85-0.8157)/4+0.8157</f>
        <v>0.824275</v>
      </c>
      <c r="G62" s="872">
        <f>+F62+0.008575</f>
        <v>0.83285</v>
      </c>
      <c r="H62" s="872">
        <f>+G62+0.008575</f>
        <v>0.841425</v>
      </c>
      <c r="I62" s="872">
        <f>+H62+0.008575</f>
        <v>0.85</v>
      </c>
      <c r="J62" s="387" t="s">
        <v>2515</v>
      </c>
      <c r="K62" s="387" t="s">
        <v>2148</v>
      </c>
      <c r="L62" s="387" t="s">
        <v>189</v>
      </c>
      <c r="M62" s="405" t="s">
        <v>2338</v>
      </c>
      <c r="N62" s="396">
        <v>1200</v>
      </c>
      <c r="O62" s="401">
        <v>2400</v>
      </c>
      <c r="P62" s="400">
        <v>3600</v>
      </c>
      <c r="Q62" s="400">
        <v>4800</v>
      </c>
      <c r="R62" s="398">
        <f t="shared" si="0"/>
        <v>200000</v>
      </c>
      <c r="S62" s="398">
        <v>44000</v>
      </c>
      <c r="T62" s="398">
        <v>49000</v>
      </c>
      <c r="U62" s="398">
        <v>52000</v>
      </c>
      <c r="V62" s="398">
        <v>55000</v>
      </c>
      <c r="W62" s="780"/>
    </row>
    <row r="63" spans="1:23" ht="18">
      <c r="A63" s="873"/>
      <c r="B63" s="874"/>
      <c r="C63" s="868"/>
      <c r="D63" s="868"/>
      <c r="E63" s="868"/>
      <c r="F63" s="872"/>
      <c r="G63" s="872"/>
      <c r="H63" s="872"/>
      <c r="I63" s="872"/>
      <c r="J63" s="387" t="s">
        <v>2516</v>
      </c>
      <c r="K63" s="387" t="s">
        <v>2153</v>
      </c>
      <c r="L63" s="387" t="s">
        <v>189</v>
      </c>
      <c r="M63" s="405" t="s">
        <v>2338</v>
      </c>
      <c r="N63" s="396">
        <v>0</v>
      </c>
      <c r="O63" s="401">
        <v>0</v>
      </c>
      <c r="P63" s="400">
        <v>1</v>
      </c>
      <c r="Q63" s="400">
        <v>1</v>
      </c>
      <c r="R63" s="398">
        <f t="shared" si="0"/>
        <v>200000</v>
      </c>
      <c r="S63" s="398">
        <v>44000</v>
      </c>
      <c r="T63" s="398">
        <v>49000</v>
      </c>
      <c r="U63" s="398">
        <v>52000</v>
      </c>
      <c r="V63" s="398">
        <v>55000</v>
      </c>
      <c r="W63" s="780"/>
    </row>
    <row r="64" spans="1:23" ht="30">
      <c r="A64" s="873"/>
      <c r="B64" s="874"/>
      <c r="C64" s="868" t="s">
        <v>2124</v>
      </c>
      <c r="D64" s="868" t="s">
        <v>2125</v>
      </c>
      <c r="E64" s="868" t="s">
        <v>2126</v>
      </c>
      <c r="F64" s="872">
        <v>0.03</v>
      </c>
      <c r="G64" s="872">
        <v>0.02</v>
      </c>
      <c r="H64" s="872">
        <v>0.01</v>
      </c>
      <c r="I64" s="872">
        <v>0</v>
      </c>
      <c r="J64" s="387" t="s">
        <v>2517</v>
      </c>
      <c r="K64" s="387" t="s">
        <v>2158</v>
      </c>
      <c r="L64" s="387" t="s">
        <v>189</v>
      </c>
      <c r="M64" s="405" t="s">
        <v>2338</v>
      </c>
      <c r="N64" s="396">
        <v>5</v>
      </c>
      <c r="O64" s="401">
        <v>10</v>
      </c>
      <c r="P64" s="400">
        <v>15</v>
      </c>
      <c r="Q64" s="400">
        <v>20</v>
      </c>
      <c r="R64" s="398">
        <f t="shared" si="0"/>
        <v>1000000</v>
      </c>
      <c r="S64" s="398">
        <v>225000</v>
      </c>
      <c r="T64" s="398">
        <v>243000</v>
      </c>
      <c r="U64" s="398">
        <v>259000</v>
      </c>
      <c r="V64" s="398">
        <v>273000</v>
      </c>
      <c r="W64" s="780"/>
    </row>
    <row r="65" spans="1:23" ht="60">
      <c r="A65" s="873"/>
      <c r="B65" s="874"/>
      <c r="C65" s="868"/>
      <c r="D65" s="868"/>
      <c r="E65" s="868"/>
      <c r="F65" s="872"/>
      <c r="G65" s="872"/>
      <c r="H65" s="872"/>
      <c r="I65" s="872"/>
      <c r="J65" s="387" t="s">
        <v>2518</v>
      </c>
      <c r="K65" s="387" t="s">
        <v>2163</v>
      </c>
      <c r="L65" s="387" t="s">
        <v>189</v>
      </c>
      <c r="M65" s="405" t="s">
        <v>2338</v>
      </c>
      <c r="N65" s="396">
        <v>500</v>
      </c>
      <c r="O65" s="401">
        <v>1000</v>
      </c>
      <c r="P65" s="400">
        <v>1500</v>
      </c>
      <c r="Q65" s="400">
        <v>2000</v>
      </c>
      <c r="R65" s="398">
        <f t="shared" si="0"/>
        <v>1604000</v>
      </c>
      <c r="S65" s="398">
        <v>360000</v>
      </c>
      <c r="T65" s="398">
        <v>389000</v>
      </c>
      <c r="U65" s="398">
        <v>418000</v>
      </c>
      <c r="V65" s="398">
        <v>437000</v>
      </c>
      <c r="W65" s="780"/>
    </row>
    <row r="66" spans="1:23" ht="30">
      <c r="A66" s="873"/>
      <c r="B66" s="874"/>
      <c r="C66" s="868" t="s">
        <v>2129</v>
      </c>
      <c r="D66" s="868" t="s">
        <v>2130</v>
      </c>
      <c r="E66" s="868" t="s">
        <v>2131</v>
      </c>
      <c r="F66" s="872">
        <f>(0.02-0.0699)/4+0.0699</f>
        <v>0.057425000000000004</v>
      </c>
      <c r="G66" s="872">
        <f>+F66-0.012475</f>
        <v>0.044950000000000004</v>
      </c>
      <c r="H66" s="872">
        <f>+G66-0.012475</f>
        <v>0.032475000000000004</v>
      </c>
      <c r="I66" s="872">
        <f>+H66-0.012475</f>
        <v>0.020000000000000004</v>
      </c>
      <c r="J66" s="387" t="s">
        <v>2519</v>
      </c>
      <c r="K66" s="387" t="s">
        <v>2169</v>
      </c>
      <c r="L66" s="387" t="s">
        <v>189</v>
      </c>
      <c r="M66" s="402">
        <v>29904549</v>
      </c>
      <c r="N66" s="396">
        <v>9000000</v>
      </c>
      <c r="O66" s="401">
        <v>18000000</v>
      </c>
      <c r="P66" s="400">
        <v>27000000</v>
      </c>
      <c r="Q66" s="400">
        <v>36000000</v>
      </c>
      <c r="R66" s="398">
        <f t="shared" si="0"/>
        <v>28000000</v>
      </c>
      <c r="S66" s="398">
        <v>6306000</v>
      </c>
      <c r="T66" s="398">
        <v>6801000</v>
      </c>
      <c r="U66" s="398">
        <v>7252000</v>
      </c>
      <c r="V66" s="398">
        <v>7641000</v>
      </c>
      <c r="W66" s="780"/>
    </row>
    <row r="67" spans="1:23" ht="75">
      <c r="A67" s="873"/>
      <c r="B67" s="874"/>
      <c r="C67" s="868"/>
      <c r="D67" s="868"/>
      <c r="E67" s="868"/>
      <c r="F67" s="872"/>
      <c r="G67" s="872"/>
      <c r="H67" s="872"/>
      <c r="I67" s="872"/>
      <c r="J67" s="387" t="s">
        <v>2520</v>
      </c>
      <c r="K67" s="387" t="s">
        <v>2174</v>
      </c>
      <c r="L67" s="387" t="s">
        <v>189</v>
      </c>
      <c r="M67" s="402">
        <v>17054</v>
      </c>
      <c r="N67" s="396">
        <v>2500</v>
      </c>
      <c r="O67" s="401">
        <v>5000</v>
      </c>
      <c r="P67" s="400">
        <v>8000</v>
      </c>
      <c r="Q67" s="400">
        <v>11000</v>
      </c>
      <c r="R67" s="398">
        <f t="shared" si="0"/>
        <v>1700000</v>
      </c>
      <c r="S67" s="398">
        <v>383000</v>
      </c>
      <c r="T67" s="398">
        <v>413000</v>
      </c>
      <c r="U67" s="398">
        <v>440000</v>
      </c>
      <c r="V67" s="398">
        <v>464000</v>
      </c>
      <c r="W67" s="780"/>
    </row>
    <row r="68" spans="1:23" ht="30">
      <c r="A68" s="873"/>
      <c r="B68" s="874"/>
      <c r="C68" s="868" t="s">
        <v>2134</v>
      </c>
      <c r="D68" s="868" t="s">
        <v>2135</v>
      </c>
      <c r="E68" s="868" t="s">
        <v>2136</v>
      </c>
      <c r="F68" s="872">
        <f>0.0715-0.012875</f>
        <v>0.058625</v>
      </c>
      <c r="G68" s="872">
        <f>+F68-0.012875</f>
        <v>0.04575</v>
      </c>
      <c r="H68" s="872">
        <f>+G68-0.012875</f>
        <v>0.032875</v>
      </c>
      <c r="I68" s="872">
        <f>+H68-0.012875</f>
        <v>0.020000000000000004</v>
      </c>
      <c r="J68" s="387" t="s">
        <v>2521</v>
      </c>
      <c r="K68" s="387" t="s">
        <v>2178</v>
      </c>
      <c r="L68" s="387" t="s">
        <v>189</v>
      </c>
      <c r="M68" s="405" t="s">
        <v>2338</v>
      </c>
      <c r="N68" s="396">
        <v>4000</v>
      </c>
      <c r="O68" s="401">
        <v>8000</v>
      </c>
      <c r="P68" s="400">
        <v>14000</v>
      </c>
      <c r="Q68" s="400">
        <v>6000</v>
      </c>
      <c r="R68" s="398">
        <f t="shared" si="0"/>
        <v>1286000</v>
      </c>
      <c r="S68" s="398">
        <v>290000</v>
      </c>
      <c r="T68" s="398">
        <v>312000</v>
      </c>
      <c r="U68" s="398">
        <v>333000</v>
      </c>
      <c r="V68" s="398">
        <v>351000</v>
      </c>
      <c r="W68" s="780"/>
    </row>
    <row r="69" spans="1:23" ht="90">
      <c r="A69" s="873"/>
      <c r="B69" s="874"/>
      <c r="C69" s="868"/>
      <c r="D69" s="868"/>
      <c r="E69" s="868"/>
      <c r="F69" s="872"/>
      <c r="G69" s="872"/>
      <c r="H69" s="872"/>
      <c r="I69" s="872"/>
      <c r="J69" s="387" t="s">
        <v>2522</v>
      </c>
      <c r="K69" s="387" t="s">
        <v>2180</v>
      </c>
      <c r="L69" s="387" t="s">
        <v>189</v>
      </c>
      <c r="M69" s="402">
        <v>10291</v>
      </c>
      <c r="N69" s="396">
        <v>3000</v>
      </c>
      <c r="O69" s="401">
        <v>6000</v>
      </c>
      <c r="P69" s="400">
        <v>9400</v>
      </c>
      <c r="Q69" s="400">
        <v>12800</v>
      </c>
      <c r="R69" s="398">
        <f t="shared" si="0"/>
        <v>1600000</v>
      </c>
      <c r="S69" s="398">
        <v>360000</v>
      </c>
      <c r="T69" s="398">
        <v>389000</v>
      </c>
      <c r="U69" s="398">
        <v>414000</v>
      </c>
      <c r="V69" s="398">
        <v>437000</v>
      </c>
      <c r="W69" s="780"/>
    </row>
    <row r="70" spans="1:23" ht="60">
      <c r="A70" s="873"/>
      <c r="B70" s="874"/>
      <c r="C70" s="392" t="s">
        <v>2139</v>
      </c>
      <c r="D70" s="392" t="s">
        <v>2140</v>
      </c>
      <c r="E70" s="392" t="s">
        <v>2141</v>
      </c>
      <c r="F70" s="388">
        <f>0.0704-0.0151</f>
        <v>0.0553</v>
      </c>
      <c r="G70" s="388">
        <f>+F70-0.0151</f>
        <v>0.0402</v>
      </c>
      <c r="H70" s="388">
        <f>+G70-0.0151</f>
        <v>0.025099999999999997</v>
      </c>
      <c r="I70" s="388">
        <f>+H70-0.0151</f>
        <v>0.009999999999999997</v>
      </c>
      <c r="J70" s="387" t="s">
        <v>2523</v>
      </c>
      <c r="K70" s="387" t="s">
        <v>2182</v>
      </c>
      <c r="L70" s="387" t="s">
        <v>189</v>
      </c>
      <c r="M70" s="402">
        <v>274267</v>
      </c>
      <c r="N70" s="396">
        <v>90000</v>
      </c>
      <c r="O70" s="401">
        <v>180000</v>
      </c>
      <c r="P70" s="400">
        <v>270000</v>
      </c>
      <c r="Q70" s="400">
        <v>360000</v>
      </c>
      <c r="R70" s="398">
        <f t="shared" si="0"/>
        <v>18000000</v>
      </c>
      <c r="S70" s="398">
        <v>4054000</v>
      </c>
      <c r="T70" s="398">
        <v>4372000</v>
      </c>
      <c r="U70" s="398">
        <v>4662000</v>
      </c>
      <c r="V70" s="398">
        <v>4912000</v>
      </c>
      <c r="W70" s="780"/>
    </row>
    <row r="71" spans="1:23" ht="30">
      <c r="A71" s="873"/>
      <c r="B71" s="874"/>
      <c r="C71" s="392" t="s">
        <v>2144</v>
      </c>
      <c r="D71" s="392" t="s">
        <v>2145</v>
      </c>
      <c r="E71" s="392" t="s">
        <v>2146</v>
      </c>
      <c r="F71" s="388">
        <f>0.063-0.01075</f>
        <v>0.052250000000000005</v>
      </c>
      <c r="G71" s="388">
        <f>+F71-0.01075</f>
        <v>0.04150000000000001</v>
      </c>
      <c r="H71" s="388">
        <f>+G71-0.01075</f>
        <v>0.03075000000000001</v>
      </c>
      <c r="I71" s="388">
        <f>+H71-0.01075</f>
        <v>0.02000000000000001</v>
      </c>
      <c r="J71" s="387" t="s">
        <v>2524</v>
      </c>
      <c r="K71" s="387" t="s">
        <v>2184</v>
      </c>
      <c r="L71" s="387" t="s">
        <v>189</v>
      </c>
      <c r="M71" s="402" t="s">
        <v>2338</v>
      </c>
      <c r="N71" s="396">
        <v>0</v>
      </c>
      <c r="O71" s="401">
        <v>30</v>
      </c>
      <c r="P71" s="400">
        <v>70</v>
      </c>
      <c r="Q71" s="400">
        <v>115</v>
      </c>
      <c r="R71" s="398">
        <f t="shared" si="0"/>
        <v>700000</v>
      </c>
      <c r="S71" s="398">
        <v>158000</v>
      </c>
      <c r="T71" s="398">
        <v>170000</v>
      </c>
      <c r="U71" s="398">
        <v>181000</v>
      </c>
      <c r="V71" s="398">
        <v>191000</v>
      </c>
      <c r="W71" s="780"/>
    </row>
    <row r="72" spans="1:23" ht="30">
      <c r="A72" s="873"/>
      <c r="B72" s="874"/>
      <c r="C72" s="392"/>
      <c r="D72" s="392"/>
      <c r="E72" s="392"/>
      <c r="F72" s="388"/>
      <c r="G72" s="388"/>
      <c r="H72" s="388"/>
      <c r="I72" s="388"/>
      <c r="J72" s="387" t="s">
        <v>2525</v>
      </c>
      <c r="K72" s="387" t="s">
        <v>2185</v>
      </c>
      <c r="L72" s="387" t="s">
        <v>189</v>
      </c>
      <c r="M72" s="402" t="s">
        <v>2338</v>
      </c>
      <c r="N72" s="396">
        <v>0</v>
      </c>
      <c r="O72" s="401">
        <v>1</v>
      </c>
      <c r="P72" s="400">
        <v>1</v>
      </c>
      <c r="Q72" s="400">
        <v>1</v>
      </c>
      <c r="R72" s="398">
        <f t="shared" si="0"/>
        <v>200000</v>
      </c>
      <c r="S72" s="398">
        <v>44000</v>
      </c>
      <c r="T72" s="398">
        <v>49000</v>
      </c>
      <c r="U72" s="398">
        <v>52000</v>
      </c>
      <c r="V72" s="398">
        <v>55000</v>
      </c>
      <c r="W72" s="780"/>
    </row>
    <row r="73" spans="1:23" ht="60">
      <c r="A73" s="873"/>
      <c r="B73" s="874"/>
      <c r="C73" s="392" t="s">
        <v>2149</v>
      </c>
      <c r="D73" s="392" t="s">
        <v>2150</v>
      </c>
      <c r="E73" s="392" t="s">
        <v>2151</v>
      </c>
      <c r="F73" s="388">
        <f>0.04-0.005</f>
        <v>0.035</v>
      </c>
      <c r="G73" s="388">
        <f>+F73-0.005</f>
        <v>0.030000000000000002</v>
      </c>
      <c r="H73" s="388">
        <f>+G73-0.005</f>
        <v>0.025</v>
      </c>
      <c r="I73" s="388">
        <f>+H73-0.005</f>
        <v>0.02</v>
      </c>
      <c r="J73" s="387" t="s">
        <v>2526</v>
      </c>
      <c r="K73" s="387" t="s">
        <v>2163</v>
      </c>
      <c r="L73" s="387" t="s">
        <v>189</v>
      </c>
      <c r="M73" s="402" t="s">
        <v>2338</v>
      </c>
      <c r="N73" s="396">
        <v>20</v>
      </c>
      <c r="O73" s="401">
        <v>80</v>
      </c>
      <c r="P73" s="400">
        <v>150</v>
      </c>
      <c r="Q73" s="400">
        <v>200</v>
      </c>
      <c r="R73" s="398">
        <f aca="true" t="shared" si="1" ref="R73:R121">SUM(S73:V73)</f>
        <v>500000</v>
      </c>
      <c r="S73" s="398">
        <v>113000</v>
      </c>
      <c r="T73" s="398">
        <v>121000</v>
      </c>
      <c r="U73" s="398">
        <v>130000</v>
      </c>
      <c r="V73" s="398">
        <v>136000</v>
      </c>
      <c r="W73" s="780"/>
    </row>
    <row r="74" spans="1:23" ht="45">
      <c r="A74" s="873"/>
      <c r="B74" s="874"/>
      <c r="C74" s="392"/>
      <c r="D74" s="392"/>
      <c r="E74" s="392"/>
      <c r="F74" s="388"/>
      <c r="G74" s="388"/>
      <c r="H74" s="388"/>
      <c r="I74" s="388"/>
      <c r="J74" s="387" t="s">
        <v>2527</v>
      </c>
      <c r="K74" s="387" t="s">
        <v>2188</v>
      </c>
      <c r="L74" s="387" t="s">
        <v>189</v>
      </c>
      <c r="M74" s="402" t="s">
        <v>2338</v>
      </c>
      <c r="N74" s="396">
        <v>0</v>
      </c>
      <c r="O74" s="401">
        <v>5</v>
      </c>
      <c r="P74" s="400">
        <v>13</v>
      </c>
      <c r="Q74" s="400">
        <v>20</v>
      </c>
      <c r="R74" s="398">
        <f t="shared" si="1"/>
        <v>1500000</v>
      </c>
      <c r="S74" s="398">
        <v>338000</v>
      </c>
      <c r="T74" s="398">
        <v>364000</v>
      </c>
      <c r="U74" s="398">
        <v>389000</v>
      </c>
      <c r="V74" s="398">
        <v>409000</v>
      </c>
      <c r="W74" s="780"/>
    </row>
    <row r="75" spans="1:23" ht="30">
      <c r="A75" s="873"/>
      <c r="B75" s="874"/>
      <c r="C75" s="392" t="s">
        <v>2154</v>
      </c>
      <c r="D75" s="392" t="s">
        <v>2155</v>
      </c>
      <c r="E75" s="392" t="s">
        <v>2156</v>
      </c>
      <c r="F75" s="388">
        <f>0.0478-0.00695</f>
        <v>0.040850000000000004</v>
      </c>
      <c r="G75" s="388">
        <f>+F75-0.00695</f>
        <v>0.033900000000000007</v>
      </c>
      <c r="H75" s="388">
        <f>+G75-0.00695</f>
        <v>0.02695000000000001</v>
      </c>
      <c r="I75" s="388">
        <f>+H75-0.00695</f>
        <v>0.02000000000000001</v>
      </c>
      <c r="J75" s="387" t="s">
        <v>2528</v>
      </c>
      <c r="K75" s="387" t="s">
        <v>2189</v>
      </c>
      <c r="L75" s="387" t="s">
        <v>189</v>
      </c>
      <c r="M75" s="402" t="s">
        <v>2338</v>
      </c>
      <c r="N75" s="396">
        <v>0</v>
      </c>
      <c r="O75" s="401">
        <v>1</v>
      </c>
      <c r="P75" s="400">
        <v>1</v>
      </c>
      <c r="Q75" s="400">
        <v>1</v>
      </c>
      <c r="R75" s="398">
        <f t="shared" si="1"/>
        <v>2000000</v>
      </c>
      <c r="S75" s="398">
        <v>455000</v>
      </c>
      <c r="T75" s="398">
        <v>486000</v>
      </c>
      <c r="U75" s="398">
        <v>518000</v>
      </c>
      <c r="V75" s="398">
        <v>541000</v>
      </c>
      <c r="W75" s="780"/>
    </row>
    <row r="76" spans="1:23" ht="30">
      <c r="A76" s="873"/>
      <c r="B76" s="874"/>
      <c r="C76" s="868" t="s">
        <v>2159</v>
      </c>
      <c r="D76" s="868" t="s">
        <v>2160</v>
      </c>
      <c r="E76" s="868" t="s">
        <v>2161</v>
      </c>
      <c r="F76" s="388">
        <f>0.0401-0.005025</f>
        <v>0.035074999999999995</v>
      </c>
      <c r="G76" s="388">
        <f>+F76-0.005025</f>
        <v>0.030049999999999993</v>
      </c>
      <c r="H76" s="388">
        <f>+G76-0.005025</f>
        <v>0.02502499999999999</v>
      </c>
      <c r="I76" s="388">
        <f>+H76-0.005025</f>
        <v>0.01999999999999999</v>
      </c>
      <c r="J76" s="387" t="s">
        <v>2529</v>
      </c>
      <c r="K76" s="387" t="s">
        <v>2192</v>
      </c>
      <c r="L76" s="387" t="s">
        <v>189</v>
      </c>
      <c r="M76" s="402" t="s">
        <v>2338</v>
      </c>
      <c r="N76" s="396">
        <v>0</v>
      </c>
      <c r="O76" s="401">
        <v>100</v>
      </c>
      <c r="P76" s="400">
        <v>250</v>
      </c>
      <c r="Q76" s="400">
        <v>400</v>
      </c>
      <c r="R76" s="398">
        <f t="shared" si="1"/>
        <v>200000</v>
      </c>
      <c r="S76" s="398">
        <v>44000</v>
      </c>
      <c r="T76" s="398">
        <v>49000</v>
      </c>
      <c r="U76" s="398">
        <v>52000</v>
      </c>
      <c r="V76" s="398">
        <v>55000</v>
      </c>
      <c r="W76" s="780"/>
    </row>
    <row r="77" spans="1:23" ht="18">
      <c r="A77" s="873"/>
      <c r="B77" s="874"/>
      <c r="C77" s="868"/>
      <c r="D77" s="868"/>
      <c r="E77" s="868"/>
      <c r="F77" s="388"/>
      <c r="G77" s="388"/>
      <c r="H77" s="388"/>
      <c r="I77" s="388"/>
      <c r="J77" s="387" t="s">
        <v>2530</v>
      </c>
      <c r="K77" s="387" t="s">
        <v>2194</v>
      </c>
      <c r="L77" s="387" t="s">
        <v>189</v>
      </c>
      <c r="M77" s="402" t="s">
        <v>2338</v>
      </c>
      <c r="N77" s="396">
        <v>0</v>
      </c>
      <c r="O77" s="401">
        <v>1</v>
      </c>
      <c r="P77" s="400">
        <v>2</v>
      </c>
      <c r="Q77" s="400">
        <v>3</v>
      </c>
      <c r="R77" s="398">
        <f t="shared" si="1"/>
        <v>0</v>
      </c>
      <c r="S77" s="399">
        <v>0</v>
      </c>
      <c r="T77" s="399">
        <v>0</v>
      </c>
      <c r="U77" s="399">
        <v>0</v>
      </c>
      <c r="V77" s="399">
        <v>0</v>
      </c>
      <c r="W77" s="780"/>
    </row>
    <row r="78" spans="1:23" ht="30">
      <c r="A78" s="873"/>
      <c r="B78" s="874"/>
      <c r="C78" s="392" t="s">
        <v>2164</v>
      </c>
      <c r="D78" s="392" t="s">
        <v>2165</v>
      </c>
      <c r="E78" s="392" t="s">
        <v>2166</v>
      </c>
      <c r="F78" s="388">
        <f>0.0241-0.003525</f>
        <v>0.020575</v>
      </c>
      <c r="G78" s="388">
        <f>+F78-0.003525</f>
        <v>0.01705</v>
      </c>
      <c r="H78" s="388">
        <f>+G78-0.003525</f>
        <v>0.013524999999999999</v>
      </c>
      <c r="I78" s="388">
        <f>+H78-0.003525</f>
        <v>0.009999999999999998</v>
      </c>
      <c r="J78" s="387" t="s">
        <v>2531</v>
      </c>
      <c r="K78" s="387" t="s">
        <v>2196</v>
      </c>
      <c r="L78" s="387" t="s">
        <v>189</v>
      </c>
      <c r="M78" s="402" t="s">
        <v>2338</v>
      </c>
      <c r="N78" s="396">
        <v>10</v>
      </c>
      <c r="O78" s="401">
        <v>20</v>
      </c>
      <c r="P78" s="400">
        <v>30</v>
      </c>
      <c r="Q78" s="400">
        <v>40</v>
      </c>
      <c r="R78" s="398">
        <f t="shared" si="1"/>
        <v>0</v>
      </c>
      <c r="S78" s="399">
        <v>0</v>
      </c>
      <c r="T78" s="399">
        <v>0</v>
      </c>
      <c r="U78" s="399">
        <v>0</v>
      </c>
      <c r="V78" s="399">
        <v>0</v>
      </c>
      <c r="W78" s="780"/>
    </row>
    <row r="79" spans="1:23" ht="45">
      <c r="A79" s="873"/>
      <c r="B79" s="874"/>
      <c r="C79" s="868" t="s">
        <v>2170</v>
      </c>
      <c r="D79" s="868" t="s">
        <v>2171</v>
      </c>
      <c r="E79" s="868" t="s">
        <v>2172</v>
      </c>
      <c r="F79" s="872">
        <f>0.0401-0.005025</f>
        <v>0.035074999999999995</v>
      </c>
      <c r="G79" s="872">
        <f>+F79-0.005025</f>
        <v>0.030049999999999993</v>
      </c>
      <c r="H79" s="872">
        <f>+G79-0.005025</f>
        <v>0.02502499999999999</v>
      </c>
      <c r="I79" s="872">
        <f>+H79-0.005025</f>
        <v>0.01999999999999999</v>
      </c>
      <c r="J79" s="387" t="s">
        <v>2532</v>
      </c>
      <c r="K79" s="387" t="s">
        <v>2199</v>
      </c>
      <c r="L79" s="387" t="s">
        <v>2809</v>
      </c>
      <c r="M79" s="402">
        <v>2948</v>
      </c>
      <c r="N79" s="396">
        <v>2948</v>
      </c>
      <c r="O79" s="401">
        <v>2948</v>
      </c>
      <c r="P79" s="400">
        <v>2948</v>
      </c>
      <c r="Q79" s="400">
        <v>2948</v>
      </c>
      <c r="R79" s="398">
        <f t="shared" si="1"/>
        <v>439997000</v>
      </c>
      <c r="S79" s="398">
        <f>99098000+4000</f>
        <v>99102000</v>
      </c>
      <c r="T79" s="398">
        <v>106859000</v>
      </c>
      <c r="U79" s="398">
        <v>113960000</v>
      </c>
      <c r="V79" s="398">
        <v>120076000</v>
      </c>
      <c r="W79" s="780"/>
    </row>
    <row r="80" spans="1:23" ht="30">
      <c r="A80" s="873"/>
      <c r="B80" s="874"/>
      <c r="C80" s="868"/>
      <c r="D80" s="868"/>
      <c r="E80" s="868"/>
      <c r="F80" s="872"/>
      <c r="G80" s="872"/>
      <c r="H80" s="872"/>
      <c r="I80" s="872"/>
      <c r="J80" s="387" t="s">
        <v>2533</v>
      </c>
      <c r="K80" s="387" t="s">
        <v>2201</v>
      </c>
      <c r="L80" s="387" t="s">
        <v>2809</v>
      </c>
      <c r="M80" s="402" t="s">
        <v>2338</v>
      </c>
      <c r="N80" s="396">
        <v>39</v>
      </c>
      <c r="O80" s="401">
        <v>39</v>
      </c>
      <c r="P80" s="400">
        <v>39</v>
      </c>
      <c r="Q80" s="400">
        <v>39</v>
      </c>
      <c r="R80" s="398">
        <f t="shared" si="1"/>
        <v>5300000</v>
      </c>
      <c r="S80" s="398">
        <v>1194000</v>
      </c>
      <c r="T80" s="398">
        <v>1287000</v>
      </c>
      <c r="U80" s="398">
        <v>1373000</v>
      </c>
      <c r="V80" s="398">
        <v>1446000</v>
      </c>
      <c r="W80" s="780"/>
    </row>
    <row r="81" spans="1:23" ht="30">
      <c r="A81" s="873"/>
      <c r="B81" s="874"/>
      <c r="C81" s="392" t="s">
        <v>2175</v>
      </c>
      <c r="D81" s="392" t="s">
        <v>2176</v>
      </c>
      <c r="E81" s="393" t="s">
        <v>1683</v>
      </c>
      <c r="F81" s="387">
        <v>0</v>
      </c>
      <c r="G81" s="387">
        <v>1</v>
      </c>
      <c r="H81" s="387">
        <v>0</v>
      </c>
      <c r="I81" s="387">
        <v>0</v>
      </c>
      <c r="J81" s="387" t="s">
        <v>2534</v>
      </c>
      <c r="K81" s="387" t="s">
        <v>2535</v>
      </c>
      <c r="L81" s="387" t="s">
        <v>189</v>
      </c>
      <c r="M81" s="402" t="s">
        <v>2338</v>
      </c>
      <c r="N81" s="396">
        <v>0</v>
      </c>
      <c r="O81" s="401">
        <v>1</v>
      </c>
      <c r="P81" s="401">
        <v>1</v>
      </c>
      <c r="Q81" s="401">
        <v>1</v>
      </c>
      <c r="R81" s="398">
        <f t="shared" si="1"/>
        <v>0</v>
      </c>
      <c r="S81" s="404">
        <v>0</v>
      </c>
      <c r="T81" s="404">
        <v>0</v>
      </c>
      <c r="U81" s="404">
        <v>0</v>
      </c>
      <c r="V81" s="404">
        <v>0</v>
      </c>
      <c r="W81" s="780"/>
    </row>
    <row r="82" spans="1:23" ht="45.75" customHeight="1">
      <c r="A82" s="868" t="s">
        <v>2202</v>
      </c>
      <c r="B82" s="878">
        <v>0.075</v>
      </c>
      <c r="C82" s="868" t="s">
        <v>2203</v>
      </c>
      <c r="D82" s="868" t="s">
        <v>2204</v>
      </c>
      <c r="E82" s="853">
        <v>0</v>
      </c>
      <c r="F82" s="853">
        <v>27</v>
      </c>
      <c r="G82" s="853">
        <f>+F82+28</f>
        <v>55</v>
      </c>
      <c r="H82" s="853">
        <f>+G82+28</f>
        <v>83</v>
      </c>
      <c r="I82" s="853">
        <f>+H82+27</f>
        <v>110</v>
      </c>
      <c r="J82" s="387" t="s">
        <v>2536</v>
      </c>
      <c r="K82" s="387" t="s">
        <v>2207</v>
      </c>
      <c r="L82" s="387" t="s">
        <v>189</v>
      </c>
      <c r="M82" s="406">
        <v>24</v>
      </c>
      <c r="N82" s="396">
        <v>25</v>
      </c>
      <c r="O82" s="401">
        <v>50</v>
      </c>
      <c r="P82" s="400">
        <v>75</v>
      </c>
      <c r="Q82" s="400">
        <v>100</v>
      </c>
      <c r="R82" s="398">
        <f t="shared" si="1"/>
        <v>4100000</v>
      </c>
      <c r="S82" s="398">
        <v>710000</v>
      </c>
      <c r="T82" s="398">
        <v>1167000</v>
      </c>
      <c r="U82" s="398">
        <v>1130000</v>
      </c>
      <c r="V82" s="398">
        <v>1093000</v>
      </c>
      <c r="W82" s="780"/>
    </row>
    <row r="83" spans="1:23" ht="18">
      <c r="A83" s="868"/>
      <c r="B83" s="878"/>
      <c r="C83" s="868"/>
      <c r="D83" s="868"/>
      <c r="E83" s="853"/>
      <c r="F83" s="853"/>
      <c r="G83" s="853"/>
      <c r="H83" s="853"/>
      <c r="I83" s="853"/>
      <c r="J83" s="387" t="s">
        <v>2537</v>
      </c>
      <c r="K83" s="387" t="s">
        <v>2210</v>
      </c>
      <c r="L83" s="387" t="s">
        <v>189</v>
      </c>
      <c r="M83" s="406">
        <v>20</v>
      </c>
      <c r="N83" s="396">
        <v>10</v>
      </c>
      <c r="O83" s="401">
        <v>20</v>
      </c>
      <c r="P83" s="400">
        <v>35</v>
      </c>
      <c r="Q83" s="400">
        <v>50</v>
      </c>
      <c r="R83" s="398">
        <f t="shared" si="1"/>
        <v>7000000</v>
      </c>
      <c r="S83" s="398">
        <v>1210000</v>
      </c>
      <c r="T83" s="398">
        <v>1993000</v>
      </c>
      <c r="U83" s="398">
        <v>1930000</v>
      </c>
      <c r="V83" s="398">
        <v>1867000</v>
      </c>
      <c r="W83" s="780"/>
    </row>
    <row r="84" spans="1:23" ht="18">
      <c r="A84" s="868"/>
      <c r="B84" s="878"/>
      <c r="C84" s="868"/>
      <c r="D84" s="868"/>
      <c r="E84" s="853"/>
      <c r="F84" s="853"/>
      <c r="G84" s="853"/>
      <c r="H84" s="853"/>
      <c r="I84" s="853"/>
      <c r="J84" s="387" t="s">
        <v>2538</v>
      </c>
      <c r="K84" s="387" t="s">
        <v>2211</v>
      </c>
      <c r="L84" s="387" t="s">
        <v>189</v>
      </c>
      <c r="M84" s="406">
        <v>90</v>
      </c>
      <c r="N84" s="396">
        <v>8</v>
      </c>
      <c r="O84" s="401">
        <v>16</v>
      </c>
      <c r="P84" s="400">
        <v>24</v>
      </c>
      <c r="Q84" s="400">
        <v>32</v>
      </c>
      <c r="R84" s="398">
        <f t="shared" si="1"/>
        <v>9000000</v>
      </c>
      <c r="S84" s="398">
        <v>1557000</v>
      </c>
      <c r="T84" s="398">
        <v>2562000</v>
      </c>
      <c r="U84" s="398">
        <v>2481000</v>
      </c>
      <c r="V84" s="398">
        <v>2400000</v>
      </c>
      <c r="W84" s="780"/>
    </row>
    <row r="85" spans="1:23" ht="30">
      <c r="A85" s="868"/>
      <c r="B85" s="878"/>
      <c r="C85" s="868"/>
      <c r="D85" s="868"/>
      <c r="E85" s="853"/>
      <c r="F85" s="853"/>
      <c r="G85" s="853"/>
      <c r="H85" s="853"/>
      <c r="I85" s="853"/>
      <c r="J85" s="387" t="s">
        <v>2539</v>
      </c>
      <c r="K85" s="387" t="s">
        <v>2213</v>
      </c>
      <c r="L85" s="387" t="s">
        <v>189</v>
      </c>
      <c r="M85" s="402" t="s">
        <v>2338</v>
      </c>
      <c r="N85" s="396">
        <v>1</v>
      </c>
      <c r="O85" s="401">
        <v>1</v>
      </c>
      <c r="P85" s="400">
        <v>1</v>
      </c>
      <c r="Q85" s="400">
        <v>1</v>
      </c>
      <c r="R85" s="398">
        <f t="shared" si="1"/>
        <v>0</v>
      </c>
      <c r="S85" s="398">
        <v>0</v>
      </c>
      <c r="T85" s="398">
        <v>0</v>
      </c>
      <c r="U85" s="398">
        <v>0</v>
      </c>
      <c r="V85" s="398">
        <v>0</v>
      </c>
      <c r="W85" s="780"/>
    </row>
    <row r="86" spans="1:23" ht="30">
      <c r="A86" s="868"/>
      <c r="B86" s="878"/>
      <c r="C86" s="868"/>
      <c r="D86" s="868"/>
      <c r="E86" s="853"/>
      <c r="F86" s="853"/>
      <c r="G86" s="853"/>
      <c r="H86" s="853"/>
      <c r="I86" s="853"/>
      <c r="J86" s="387" t="s">
        <v>2540</v>
      </c>
      <c r="K86" s="387" t="s">
        <v>2217</v>
      </c>
      <c r="L86" s="387" t="s">
        <v>189</v>
      </c>
      <c r="M86" s="406">
        <v>1</v>
      </c>
      <c r="N86" s="396">
        <v>0</v>
      </c>
      <c r="O86" s="401">
        <v>5</v>
      </c>
      <c r="P86" s="400">
        <v>10</v>
      </c>
      <c r="Q86" s="400">
        <v>20</v>
      </c>
      <c r="R86" s="398">
        <f t="shared" si="1"/>
        <v>1001000</v>
      </c>
      <c r="S86" s="398">
        <v>173000</v>
      </c>
      <c r="T86" s="398">
        <v>285000</v>
      </c>
      <c r="U86" s="398">
        <v>276000</v>
      </c>
      <c r="V86" s="398">
        <v>267000</v>
      </c>
      <c r="W86" s="780"/>
    </row>
    <row r="87" spans="1:23" ht="18">
      <c r="A87" s="868"/>
      <c r="B87" s="878"/>
      <c r="C87" s="868"/>
      <c r="D87" s="868"/>
      <c r="E87" s="853"/>
      <c r="F87" s="853"/>
      <c r="G87" s="853"/>
      <c r="H87" s="853"/>
      <c r="I87" s="853"/>
      <c r="J87" s="387" t="s">
        <v>2541</v>
      </c>
      <c r="K87" s="387" t="s">
        <v>2219</v>
      </c>
      <c r="L87" s="387" t="s">
        <v>189</v>
      </c>
      <c r="M87" s="406"/>
      <c r="N87" s="396">
        <v>500</v>
      </c>
      <c r="O87" s="401">
        <v>1750</v>
      </c>
      <c r="P87" s="400">
        <v>3000</v>
      </c>
      <c r="Q87" s="400">
        <v>4000</v>
      </c>
      <c r="R87" s="398">
        <f t="shared" si="1"/>
        <v>1999000</v>
      </c>
      <c r="S87" s="398">
        <v>346000</v>
      </c>
      <c r="T87" s="398">
        <v>569000</v>
      </c>
      <c r="U87" s="398">
        <v>551000</v>
      </c>
      <c r="V87" s="398">
        <v>533000</v>
      </c>
      <c r="W87" s="780"/>
    </row>
    <row r="88" spans="1:23" ht="18">
      <c r="A88" s="868"/>
      <c r="B88" s="878"/>
      <c r="C88" s="868"/>
      <c r="D88" s="868"/>
      <c r="E88" s="853"/>
      <c r="F88" s="853"/>
      <c r="G88" s="853"/>
      <c r="H88" s="853"/>
      <c r="I88" s="853"/>
      <c r="J88" s="387" t="s">
        <v>2542</v>
      </c>
      <c r="K88" s="387" t="s">
        <v>2220</v>
      </c>
      <c r="L88" s="387" t="s">
        <v>189</v>
      </c>
      <c r="M88" s="406">
        <v>208</v>
      </c>
      <c r="N88" s="396">
        <v>100</v>
      </c>
      <c r="O88" s="401">
        <v>300</v>
      </c>
      <c r="P88" s="400">
        <v>550</v>
      </c>
      <c r="Q88" s="400">
        <v>800</v>
      </c>
      <c r="R88" s="398">
        <f t="shared" si="1"/>
        <v>1001000</v>
      </c>
      <c r="S88" s="398">
        <v>173000</v>
      </c>
      <c r="T88" s="398">
        <v>285000</v>
      </c>
      <c r="U88" s="398">
        <v>276000</v>
      </c>
      <c r="V88" s="398">
        <v>267000</v>
      </c>
      <c r="W88" s="780"/>
    </row>
    <row r="89" spans="1:23" ht="18">
      <c r="A89" s="868"/>
      <c r="B89" s="878"/>
      <c r="C89" s="868"/>
      <c r="D89" s="868"/>
      <c r="E89" s="853"/>
      <c r="F89" s="853"/>
      <c r="G89" s="853"/>
      <c r="H89" s="853"/>
      <c r="I89" s="853"/>
      <c r="J89" s="387" t="s">
        <v>2543</v>
      </c>
      <c r="K89" s="387" t="s">
        <v>2221</v>
      </c>
      <c r="L89" s="387" t="s">
        <v>189</v>
      </c>
      <c r="M89" s="402" t="s">
        <v>2338</v>
      </c>
      <c r="N89" s="396">
        <v>750</v>
      </c>
      <c r="O89" s="401">
        <v>1500</v>
      </c>
      <c r="P89" s="400">
        <v>2250</v>
      </c>
      <c r="Q89" s="400">
        <v>3000</v>
      </c>
      <c r="R89" s="398">
        <f t="shared" si="1"/>
        <v>1999000</v>
      </c>
      <c r="S89" s="398">
        <v>346000</v>
      </c>
      <c r="T89" s="398">
        <v>569000</v>
      </c>
      <c r="U89" s="398">
        <v>551000</v>
      </c>
      <c r="V89" s="398">
        <v>533000</v>
      </c>
      <c r="W89" s="780"/>
    </row>
    <row r="90" spans="1:23" ht="30">
      <c r="A90" s="868"/>
      <c r="B90" s="878"/>
      <c r="C90" s="868"/>
      <c r="D90" s="868"/>
      <c r="E90" s="853"/>
      <c r="F90" s="853"/>
      <c r="G90" s="853"/>
      <c r="H90" s="853"/>
      <c r="I90" s="853"/>
      <c r="J90" s="387" t="s">
        <v>2895</v>
      </c>
      <c r="K90" s="387" t="s">
        <v>2223</v>
      </c>
      <c r="L90" s="387" t="s">
        <v>189</v>
      </c>
      <c r="M90" s="402" t="s">
        <v>2338</v>
      </c>
      <c r="N90" s="396">
        <v>0</v>
      </c>
      <c r="O90" s="401">
        <v>5</v>
      </c>
      <c r="P90" s="400">
        <v>10</v>
      </c>
      <c r="Q90" s="400">
        <v>20</v>
      </c>
      <c r="R90" s="398">
        <f t="shared" si="1"/>
        <v>1500000</v>
      </c>
      <c r="S90" s="398">
        <v>259000</v>
      </c>
      <c r="T90" s="398">
        <v>427000</v>
      </c>
      <c r="U90" s="398">
        <v>414000</v>
      </c>
      <c r="V90" s="398">
        <v>400000</v>
      </c>
      <c r="W90" s="780"/>
    </row>
    <row r="91" spans="1:23" ht="18">
      <c r="A91" s="868"/>
      <c r="B91" s="878"/>
      <c r="C91" s="392" t="s">
        <v>2208</v>
      </c>
      <c r="D91" s="392" t="s">
        <v>2209</v>
      </c>
      <c r="E91" s="387">
        <v>0</v>
      </c>
      <c r="F91" s="387">
        <v>10</v>
      </c>
      <c r="G91" s="387">
        <v>40</v>
      </c>
      <c r="H91" s="387">
        <v>70</v>
      </c>
      <c r="I91" s="387">
        <v>100</v>
      </c>
      <c r="J91" s="387" t="s">
        <v>2896</v>
      </c>
      <c r="K91" s="387" t="s">
        <v>2215</v>
      </c>
      <c r="L91" s="387" t="s">
        <v>189</v>
      </c>
      <c r="M91" s="406">
        <v>20</v>
      </c>
      <c r="N91" s="396">
        <v>10</v>
      </c>
      <c r="O91" s="401">
        <v>40</v>
      </c>
      <c r="P91" s="400">
        <v>70</v>
      </c>
      <c r="Q91" s="400">
        <v>100</v>
      </c>
      <c r="R91" s="398">
        <f t="shared" si="1"/>
        <v>150000</v>
      </c>
      <c r="S91" s="398">
        <v>26000</v>
      </c>
      <c r="T91" s="398">
        <v>43000</v>
      </c>
      <c r="U91" s="398">
        <v>41000</v>
      </c>
      <c r="V91" s="398">
        <v>40000</v>
      </c>
      <c r="W91" s="780"/>
    </row>
    <row r="92" spans="1:23" ht="45" customHeight="1">
      <c r="A92" s="870" t="s">
        <v>2224</v>
      </c>
      <c r="B92" s="871">
        <v>0.025</v>
      </c>
      <c r="C92" s="870" t="s">
        <v>2225</v>
      </c>
      <c r="D92" s="868" t="s">
        <v>2226</v>
      </c>
      <c r="E92" s="869"/>
      <c r="F92" s="853">
        <v>0</v>
      </c>
      <c r="G92" s="853">
        <v>1</v>
      </c>
      <c r="H92" s="853">
        <v>1</v>
      </c>
      <c r="I92" s="853">
        <v>1</v>
      </c>
      <c r="J92" s="387" t="s">
        <v>2897</v>
      </c>
      <c r="K92" s="387" t="s">
        <v>2163</v>
      </c>
      <c r="L92" s="387" t="s">
        <v>189</v>
      </c>
      <c r="M92" s="402" t="s">
        <v>2338</v>
      </c>
      <c r="N92" s="396">
        <v>500</v>
      </c>
      <c r="O92" s="401">
        <v>1000</v>
      </c>
      <c r="P92" s="400">
        <v>1500</v>
      </c>
      <c r="Q92" s="400">
        <v>2000</v>
      </c>
      <c r="R92" s="398">
        <f t="shared" si="1"/>
        <v>1700000</v>
      </c>
      <c r="S92" s="398">
        <v>412000</v>
      </c>
      <c r="T92" s="398">
        <v>420000</v>
      </c>
      <c r="U92" s="398">
        <v>426000</v>
      </c>
      <c r="V92" s="398">
        <v>442000</v>
      </c>
      <c r="W92" s="780"/>
    </row>
    <row r="93" spans="1:23" ht="60">
      <c r="A93" s="592"/>
      <c r="B93" s="871"/>
      <c r="C93" s="870"/>
      <c r="D93" s="868"/>
      <c r="E93" s="869"/>
      <c r="F93" s="853"/>
      <c r="G93" s="853"/>
      <c r="H93" s="853"/>
      <c r="I93" s="853"/>
      <c r="J93" s="387" t="s">
        <v>2898</v>
      </c>
      <c r="K93" s="387" t="s">
        <v>2163</v>
      </c>
      <c r="L93" s="387" t="s">
        <v>189</v>
      </c>
      <c r="M93" s="402" t="s">
        <v>2338</v>
      </c>
      <c r="N93" s="396">
        <v>750</v>
      </c>
      <c r="O93" s="401">
        <v>1500</v>
      </c>
      <c r="P93" s="400">
        <v>2250</v>
      </c>
      <c r="Q93" s="400">
        <v>3000</v>
      </c>
      <c r="R93" s="398">
        <f t="shared" si="1"/>
        <v>2000000</v>
      </c>
      <c r="S93" s="398">
        <v>485000</v>
      </c>
      <c r="T93" s="398">
        <v>494000</v>
      </c>
      <c r="U93" s="398">
        <v>500000</v>
      </c>
      <c r="V93" s="398">
        <v>521000</v>
      </c>
      <c r="W93" s="780"/>
    </row>
    <row r="94" spans="1:23" ht="30">
      <c r="A94" s="592"/>
      <c r="B94" s="871"/>
      <c r="C94" s="870"/>
      <c r="D94" s="868"/>
      <c r="E94" s="869"/>
      <c r="F94" s="853"/>
      <c r="G94" s="853"/>
      <c r="H94" s="853"/>
      <c r="I94" s="853"/>
      <c r="J94" s="387" t="s">
        <v>2899</v>
      </c>
      <c r="K94" s="387" t="s">
        <v>2231</v>
      </c>
      <c r="L94" s="387" t="s">
        <v>189</v>
      </c>
      <c r="M94" s="402" t="s">
        <v>2338</v>
      </c>
      <c r="N94" s="396">
        <v>0</v>
      </c>
      <c r="O94" s="401">
        <v>1</v>
      </c>
      <c r="P94" s="400">
        <v>1</v>
      </c>
      <c r="Q94" s="400">
        <v>1</v>
      </c>
      <c r="R94" s="398">
        <f t="shared" si="1"/>
        <v>100000</v>
      </c>
      <c r="S94" s="398">
        <v>24000</v>
      </c>
      <c r="T94" s="398">
        <v>25000</v>
      </c>
      <c r="U94" s="398">
        <v>25000</v>
      </c>
      <c r="V94" s="398">
        <v>26000</v>
      </c>
      <c r="W94" s="780"/>
    </row>
    <row r="95" spans="1:23" ht="30">
      <c r="A95" s="592"/>
      <c r="B95" s="871"/>
      <c r="C95" s="870"/>
      <c r="D95" s="868"/>
      <c r="E95" s="869"/>
      <c r="F95" s="853"/>
      <c r="G95" s="853"/>
      <c r="H95" s="853"/>
      <c r="I95" s="853"/>
      <c r="J95" s="387" t="s">
        <v>2900</v>
      </c>
      <c r="K95" s="387" t="s">
        <v>2234</v>
      </c>
      <c r="L95" s="387" t="s">
        <v>189</v>
      </c>
      <c r="M95" s="402" t="s">
        <v>2338</v>
      </c>
      <c r="N95" s="396">
        <v>50</v>
      </c>
      <c r="O95" s="401">
        <v>100</v>
      </c>
      <c r="P95" s="400">
        <v>100</v>
      </c>
      <c r="Q95" s="400">
        <v>100</v>
      </c>
      <c r="R95" s="398">
        <f t="shared" si="1"/>
        <v>2000000</v>
      </c>
      <c r="S95" s="398">
        <v>483000</v>
      </c>
      <c r="T95" s="398">
        <v>494000</v>
      </c>
      <c r="U95" s="398">
        <v>501000</v>
      </c>
      <c r="V95" s="398">
        <v>522000</v>
      </c>
      <c r="W95" s="780"/>
    </row>
    <row r="96" spans="1:23" ht="18">
      <c r="A96" s="592"/>
      <c r="B96" s="871"/>
      <c r="C96" s="870"/>
      <c r="D96" s="868"/>
      <c r="E96" s="869"/>
      <c r="F96" s="853"/>
      <c r="G96" s="853"/>
      <c r="H96" s="853"/>
      <c r="I96" s="853"/>
      <c r="J96" s="387" t="s">
        <v>2901</v>
      </c>
      <c r="K96" s="387" t="s">
        <v>2236</v>
      </c>
      <c r="L96" s="387" t="s">
        <v>189</v>
      </c>
      <c r="M96" s="402" t="s">
        <v>2338</v>
      </c>
      <c r="N96" s="396">
        <v>37</v>
      </c>
      <c r="O96" s="401">
        <v>37</v>
      </c>
      <c r="P96" s="400">
        <v>37</v>
      </c>
      <c r="Q96" s="400">
        <v>37</v>
      </c>
      <c r="R96" s="398">
        <f t="shared" si="1"/>
        <v>874000</v>
      </c>
      <c r="S96" s="398">
        <v>212000</v>
      </c>
      <c r="T96" s="398">
        <v>216000</v>
      </c>
      <c r="U96" s="398">
        <v>219000</v>
      </c>
      <c r="V96" s="398">
        <v>227000</v>
      </c>
      <c r="W96" s="780"/>
    </row>
    <row r="97" spans="1:23" ht="30">
      <c r="A97" s="592"/>
      <c r="B97" s="871"/>
      <c r="C97" s="870"/>
      <c r="D97" s="868"/>
      <c r="E97" s="869"/>
      <c r="F97" s="853"/>
      <c r="G97" s="853"/>
      <c r="H97" s="853"/>
      <c r="I97" s="853"/>
      <c r="J97" s="387" t="s">
        <v>2902</v>
      </c>
      <c r="K97" s="387" t="s">
        <v>2545</v>
      </c>
      <c r="L97" s="387" t="s">
        <v>189</v>
      </c>
      <c r="M97" s="402">
        <v>4</v>
      </c>
      <c r="N97" s="396">
        <v>1</v>
      </c>
      <c r="O97" s="401">
        <v>2</v>
      </c>
      <c r="P97" s="400">
        <v>3</v>
      </c>
      <c r="Q97" s="400">
        <v>4</v>
      </c>
      <c r="R97" s="398">
        <f t="shared" si="1"/>
        <v>1200000</v>
      </c>
      <c r="S97" s="398">
        <v>291000</v>
      </c>
      <c r="T97" s="398">
        <v>296000</v>
      </c>
      <c r="U97" s="398">
        <v>301000</v>
      </c>
      <c r="V97" s="398">
        <v>312000</v>
      </c>
      <c r="W97" s="780"/>
    </row>
    <row r="98" spans="1:23" ht="30">
      <c r="A98" s="592"/>
      <c r="B98" s="871"/>
      <c r="C98" s="870"/>
      <c r="D98" s="868"/>
      <c r="E98" s="869"/>
      <c r="F98" s="853"/>
      <c r="G98" s="853"/>
      <c r="H98" s="853"/>
      <c r="I98" s="853"/>
      <c r="J98" s="387" t="s">
        <v>2903</v>
      </c>
      <c r="K98" s="387" t="s">
        <v>2547</v>
      </c>
      <c r="L98" s="387" t="s">
        <v>189</v>
      </c>
      <c r="M98" s="406">
        <v>35</v>
      </c>
      <c r="N98" s="396">
        <v>15</v>
      </c>
      <c r="O98" s="401">
        <v>30</v>
      </c>
      <c r="P98" s="400">
        <v>45</v>
      </c>
      <c r="Q98" s="400">
        <v>60</v>
      </c>
      <c r="R98" s="398">
        <f t="shared" si="1"/>
        <v>1200000</v>
      </c>
      <c r="S98" s="398">
        <v>292000</v>
      </c>
      <c r="T98" s="398">
        <v>295000</v>
      </c>
      <c r="U98" s="398">
        <v>301000</v>
      </c>
      <c r="V98" s="398">
        <v>312000</v>
      </c>
      <c r="W98" s="780"/>
    </row>
    <row r="99" spans="1:23" ht="30">
      <c r="A99" s="592"/>
      <c r="B99" s="871"/>
      <c r="C99" s="870"/>
      <c r="D99" s="868"/>
      <c r="E99" s="869"/>
      <c r="F99" s="853"/>
      <c r="G99" s="853"/>
      <c r="H99" s="853"/>
      <c r="I99" s="853"/>
      <c r="J99" s="387" t="s">
        <v>2904</v>
      </c>
      <c r="K99" s="387" t="s">
        <v>2548</v>
      </c>
      <c r="L99" s="387" t="s">
        <v>189</v>
      </c>
      <c r="M99" s="406">
        <v>3</v>
      </c>
      <c r="N99" s="396">
        <v>1</v>
      </c>
      <c r="O99" s="401">
        <v>2</v>
      </c>
      <c r="P99" s="400">
        <v>3</v>
      </c>
      <c r="Q99" s="400">
        <v>4</v>
      </c>
      <c r="R99" s="398">
        <f t="shared" si="1"/>
        <v>1000000</v>
      </c>
      <c r="S99" s="398">
        <v>243000</v>
      </c>
      <c r="T99" s="398">
        <v>247000</v>
      </c>
      <c r="U99" s="398">
        <v>250000</v>
      </c>
      <c r="V99" s="398">
        <v>260000</v>
      </c>
      <c r="W99" s="780"/>
    </row>
    <row r="100" spans="1:23" ht="72">
      <c r="A100" s="592"/>
      <c r="B100" s="871"/>
      <c r="C100" s="870"/>
      <c r="D100" s="868"/>
      <c r="E100" s="869"/>
      <c r="F100" s="853"/>
      <c r="G100" s="853"/>
      <c r="H100" s="853"/>
      <c r="I100" s="853"/>
      <c r="J100" s="387" t="s">
        <v>2905</v>
      </c>
      <c r="K100" s="391" t="s">
        <v>2550</v>
      </c>
      <c r="L100" s="391" t="s">
        <v>2809</v>
      </c>
      <c r="M100" s="402">
        <v>1</v>
      </c>
      <c r="N100" s="396">
        <v>1</v>
      </c>
      <c r="O100" s="401">
        <v>1</v>
      </c>
      <c r="P100" s="400">
        <v>1</v>
      </c>
      <c r="Q100" s="400">
        <v>1</v>
      </c>
      <c r="R100" s="398">
        <f t="shared" si="1"/>
        <v>300000</v>
      </c>
      <c r="S100" s="398">
        <v>73000</v>
      </c>
      <c r="T100" s="398">
        <v>74000</v>
      </c>
      <c r="U100" s="398">
        <v>75000</v>
      </c>
      <c r="V100" s="398">
        <v>78000</v>
      </c>
      <c r="W100" s="780"/>
    </row>
    <row r="101" spans="1:23" ht="18">
      <c r="A101" s="870" t="s">
        <v>2551</v>
      </c>
      <c r="B101" s="871">
        <v>0.025</v>
      </c>
      <c r="C101" s="395" t="s">
        <v>2552</v>
      </c>
      <c r="D101" s="392" t="s">
        <v>2553</v>
      </c>
      <c r="E101" s="394"/>
      <c r="F101" s="387">
        <v>550</v>
      </c>
      <c r="G101" s="387">
        <f>+F101+550</f>
        <v>1100</v>
      </c>
      <c r="H101" s="387">
        <f>+G101+550</f>
        <v>1650</v>
      </c>
      <c r="I101" s="387">
        <f>+H101+570</f>
        <v>2220</v>
      </c>
      <c r="J101" s="387" t="s">
        <v>2906</v>
      </c>
      <c r="K101" s="387" t="s">
        <v>2760</v>
      </c>
      <c r="L101" s="387" t="s">
        <v>189</v>
      </c>
      <c r="M101" s="402">
        <v>1020</v>
      </c>
      <c r="N101" s="396">
        <v>550</v>
      </c>
      <c r="O101" s="401">
        <v>1100</v>
      </c>
      <c r="P101" s="400">
        <v>1650</v>
      </c>
      <c r="Q101" s="400">
        <v>2250</v>
      </c>
      <c r="R101" s="398">
        <f t="shared" si="1"/>
        <v>1200000</v>
      </c>
      <c r="S101" s="398">
        <v>229000</v>
      </c>
      <c r="T101" s="398">
        <v>325000</v>
      </c>
      <c r="U101" s="398">
        <v>325000</v>
      </c>
      <c r="V101" s="398">
        <v>321000</v>
      </c>
      <c r="W101" s="780"/>
    </row>
    <row r="102" spans="1:23" ht="30">
      <c r="A102" s="870"/>
      <c r="B102" s="871"/>
      <c r="C102" s="395" t="s">
        <v>2556</v>
      </c>
      <c r="D102" s="392" t="s">
        <v>2557</v>
      </c>
      <c r="E102" s="394"/>
      <c r="F102" s="387">
        <v>0</v>
      </c>
      <c r="G102" s="387">
        <v>1</v>
      </c>
      <c r="H102" s="387">
        <v>2</v>
      </c>
      <c r="I102" s="387">
        <v>2</v>
      </c>
      <c r="J102" s="387" t="s">
        <v>2907</v>
      </c>
      <c r="K102" s="387" t="s">
        <v>2562</v>
      </c>
      <c r="L102" s="387" t="s">
        <v>189</v>
      </c>
      <c r="M102" s="402" t="s">
        <v>2338</v>
      </c>
      <c r="N102" s="396">
        <v>0</v>
      </c>
      <c r="O102" s="401">
        <v>1</v>
      </c>
      <c r="P102" s="400">
        <v>2</v>
      </c>
      <c r="Q102" s="400">
        <v>2</v>
      </c>
      <c r="R102" s="398">
        <f t="shared" si="1"/>
        <v>100000</v>
      </c>
      <c r="S102" s="398">
        <v>19000</v>
      </c>
      <c r="T102" s="398">
        <v>27000</v>
      </c>
      <c r="U102" s="398">
        <v>27000</v>
      </c>
      <c r="V102" s="398">
        <v>27000</v>
      </c>
      <c r="W102" s="780"/>
    </row>
    <row r="103" spans="1:23" ht="18">
      <c r="A103" s="592"/>
      <c r="B103" s="871"/>
      <c r="C103" s="870" t="s">
        <v>2560</v>
      </c>
      <c r="D103" s="868" t="s">
        <v>2561</v>
      </c>
      <c r="E103" s="869"/>
      <c r="F103" s="853">
        <v>10</v>
      </c>
      <c r="G103" s="853">
        <f>+F103+15</f>
        <v>25</v>
      </c>
      <c r="H103" s="853">
        <f>+G103+20</f>
        <v>45</v>
      </c>
      <c r="I103" s="853">
        <f>+H103+16</f>
        <v>61</v>
      </c>
      <c r="J103" s="387" t="s">
        <v>2908</v>
      </c>
      <c r="K103" s="387" t="s">
        <v>2566</v>
      </c>
      <c r="L103" s="387" t="s">
        <v>189</v>
      </c>
      <c r="M103" s="402" t="s">
        <v>2338</v>
      </c>
      <c r="N103" s="396">
        <v>10</v>
      </c>
      <c r="O103" s="401">
        <v>25</v>
      </c>
      <c r="P103" s="400">
        <v>45</v>
      </c>
      <c r="Q103" s="400">
        <v>61</v>
      </c>
      <c r="R103" s="398">
        <f t="shared" si="1"/>
        <v>400000</v>
      </c>
      <c r="S103" s="398">
        <v>77000</v>
      </c>
      <c r="T103" s="398">
        <v>108000</v>
      </c>
      <c r="U103" s="398">
        <v>108000</v>
      </c>
      <c r="V103" s="398">
        <v>107000</v>
      </c>
      <c r="W103" s="780"/>
    </row>
    <row r="104" spans="1:23" ht="30">
      <c r="A104" s="592"/>
      <c r="B104" s="871"/>
      <c r="C104" s="870"/>
      <c r="D104" s="868"/>
      <c r="E104" s="869"/>
      <c r="F104" s="853"/>
      <c r="G104" s="853"/>
      <c r="H104" s="853"/>
      <c r="I104" s="853"/>
      <c r="J104" s="387" t="s">
        <v>2909</v>
      </c>
      <c r="K104" s="387" t="s">
        <v>2559</v>
      </c>
      <c r="L104" s="387" t="s">
        <v>189</v>
      </c>
      <c r="M104" s="402" t="s">
        <v>2338</v>
      </c>
      <c r="N104" s="396">
        <v>1</v>
      </c>
      <c r="O104" s="401">
        <v>2</v>
      </c>
      <c r="P104" s="400">
        <v>4</v>
      </c>
      <c r="Q104" s="400">
        <v>5</v>
      </c>
      <c r="R104" s="398">
        <f t="shared" si="1"/>
        <v>200000</v>
      </c>
      <c r="S104" s="398">
        <v>38000</v>
      </c>
      <c r="T104" s="398">
        <v>54000</v>
      </c>
      <c r="U104" s="398">
        <v>54000</v>
      </c>
      <c r="V104" s="398">
        <v>54000</v>
      </c>
      <c r="W104" s="780"/>
    </row>
    <row r="105" spans="1:23" ht="31.5">
      <c r="A105" s="592"/>
      <c r="B105" s="871"/>
      <c r="C105" s="395" t="s">
        <v>2563</v>
      </c>
      <c r="D105" s="392" t="s">
        <v>2910</v>
      </c>
      <c r="E105" s="394"/>
      <c r="F105" s="387">
        <v>30</v>
      </c>
      <c r="G105" s="387">
        <f>+F105+50</f>
        <v>80</v>
      </c>
      <c r="H105" s="387">
        <f>+G105+70</f>
        <v>150</v>
      </c>
      <c r="I105" s="387">
        <f>+H105+50</f>
        <v>200</v>
      </c>
      <c r="J105" s="387" t="s">
        <v>2911</v>
      </c>
      <c r="K105" s="387" t="s">
        <v>2574</v>
      </c>
      <c r="L105" s="387" t="s">
        <v>189</v>
      </c>
      <c r="M105" s="402">
        <v>43</v>
      </c>
      <c r="N105" s="396">
        <v>30</v>
      </c>
      <c r="O105" s="401">
        <v>80</v>
      </c>
      <c r="P105" s="400">
        <v>150</v>
      </c>
      <c r="Q105" s="400">
        <v>200</v>
      </c>
      <c r="R105" s="398">
        <f t="shared" si="1"/>
        <v>2800000</v>
      </c>
      <c r="S105" s="398">
        <v>534000</v>
      </c>
      <c r="T105" s="398">
        <v>758000</v>
      </c>
      <c r="U105" s="398">
        <v>758000</v>
      </c>
      <c r="V105" s="398">
        <v>750000</v>
      </c>
      <c r="W105" s="780"/>
    </row>
    <row r="106" spans="1:23" ht="18">
      <c r="A106" s="592"/>
      <c r="B106" s="871"/>
      <c r="C106" s="395" t="s">
        <v>2912</v>
      </c>
      <c r="D106" s="392" t="s">
        <v>2564</v>
      </c>
      <c r="E106" s="394"/>
      <c r="F106" s="387">
        <v>500</v>
      </c>
      <c r="G106" s="387">
        <v>1000</v>
      </c>
      <c r="H106" s="387">
        <v>1500</v>
      </c>
      <c r="I106" s="387">
        <v>2000</v>
      </c>
      <c r="J106" s="387" t="s">
        <v>2913</v>
      </c>
      <c r="K106" s="387" t="s">
        <v>2570</v>
      </c>
      <c r="L106" s="387" t="s">
        <v>189</v>
      </c>
      <c r="M106" s="402">
        <v>2513</v>
      </c>
      <c r="N106" s="396">
        <v>500</v>
      </c>
      <c r="O106" s="401">
        <v>1000</v>
      </c>
      <c r="P106" s="400">
        <v>1500</v>
      </c>
      <c r="Q106" s="400">
        <v>2000</v>
      </c>
      <c r="R106" s="398">
        <f t="shared" si="1"/>
        <v>2550000</v>
      </c>
      <c r="S106" s="398">
        <v>485000</v>
      </c>
      <c r="T106" s="398">
        <v>691000</v>
      </c>
      <c r="U106" s="398">
        <v>691000</v>
      </c>
      <c r="V106" s="398">
        <v>683000</v>
      </c>
      <c r="W106" s="780"/>
    </row>
    <row r="107" spans="1:23" ht="54">
      <c r="A107" s="592"/>
      <c r="B107" s="871"/>
      <c r="C107" s="870" t="s">
        <v>2567</v>
      </c>
      <c r="D107" s="868" t="s">
        <v>2568</v>
      </c>
      <c r="E107" s="869"/>
      <c r="F107" s="853">
        <v>10</v>
      </c>
      <c r="G107" s="853">
        <v>30</v>
      </c>
      <c r="H107" s="853">
        <v>40</v>
      </c>
      <c r="I107" s="853">
        <v>61</v>
      </c>
      <c r="J107" s="387" t="s">
        <v>2914</v>
      </c>
      <c r="K107" s="391" t="s">
        <v>2581</v>
      </c>
      <c r="L107" s="391" t="s">
        <v>189</v>
      </c>
      <c r="M107" s="402" t="s">
        <v>2338</v>
      </c>
      <c r="N107" s="396">
        <v>10</v>
      </c>
      <c r="O107" s="401">
        <v>30</v>
      </c>
      <c r="P107" s="400">
        <v>40</v>
      </c>
      <c r="Q107" s="400">
        <v>61</v>
      </c>
      <c r="R107" s="398">
        <f t="shared" si="1"/>
        <v>2000000</v>
      </c>
      <c r="S107" s="398">
        <v>380000</v>
      </c>
      <c r="T107" s="398">
        <v>542000</v>
      </c>
      <c r="U107" s="398">
        <v>542000</v>
      </c>
      <c r="V107" s="398">
        <v>536000</v>
      </c>
      <c r="W107" s="780"/>
    </row>
    <row r="108" spans="1:23" ht="30">
      <c r="A108" s="592"/>
      <c r="B108" s="871"/>
      <c r="C108" s="870"/>
      <c r="D108" s="868"/>
      <c r="E108" s="869"/>
      <c r="F108" s="853"/>
      <c r="G108" s="853"/>
      <c r="H108" s="853"/>
      <c r="I108" s="853"/>
      <c r="J108" s="387" t="s">
        <v>2915</v>
      </c>
      <c r="K108" s="387" t="s">
        <v>2576</v>
      </c>
      <c r="L108" s="387" t="s">
        <v>189</v>
      </c>
      <c r="M108" s="402" t="s">
        <v>2338</v>
      </c>
      <c r="N108" s="396">
        <v>1</v>
      </c>
      <c r="O108" s="401">
        <v>1</v>
      </c>
      <c r="P108" s="400">
        <v>1</v>
      </c>
      <c r="Q108" s="400">
        <v>1</v>
      </c>
      <c r="R108" s="398">
        <f t="shared" si="1"/>
        <v>50000</v>
      </c>
      <c r="S108" s="398">
        <v>50000</v>
      </c>
      <c r="T108" s="407">
        <v>0</v>
      </c>
      <c r="U108" s="407">
        <v>0</v>
      </c>
      <c r="V108" s="407">
        <v>0</v>
      </c>
      <c r="W108" s="780"/>
    </row>
    <row r="109" spans="1:23" ht="30">
      <c r="A109" s="592"/>
      <c r="B109" s="871"/>
      <c r="C109" s="870"/>
      <c r="D109" s="868"/>
      <c r="E109" s="869"/>
      <c r="F109" s="853"/>
      <c r="G109" s="853"/>
      <c r="H109" s="853"/>
      <c r="I109" s="853"/>
      <c r="J109" s="387" t="s">
        <v>2916</v>
      </c>
      <c r="K109" s="387" t="s">
        <v>2760</v>
      </c>
      <c r="L109" s="387" t="s">
        <v>189</v>
      </c>
      <c r="M109" s="402">
        <v>2037</v>
      </c>
      <c r="N109" s="396">
        <v>300</v>
      </c>
      <c r="O109" s="401">
        <v>900</v>
      </c>
      <c r="P109" s="400">
        <v>1500</v>
      </c>
      <c r="Q109" s="400">
        <v>2500</v>
      </c>
      <c r="R109" s="398">
        <f t="shared" si="1"/>
        <v>2000000</v>
      </c>
      <c r="S109" s="398">
        <v>350000</v>
      </c>
      <c r="T109" s="398">
        <v>555000</v>
      </c>
      <c r="U109" s="398">
        <v>555000</v>
      </c>
      <c r="V109" s="398">
        <v>540000</v>
      </c>
      <c r="W109" s="780"/>
    </row>
    <row r="110" spans="1:23" ht="18">
      <c r="A110" s="592"/>
      <c r="B110" s="871"/>
      <c r="C110" s="870"/>
      <c r="D110" s="868"/>
      <c r="E110" s="869"/>
      <c r="F110" s="853"/>
      <c r="G110" s="853"/>
      <c r="H110" s="853"/>
      <c r="I110" s="853"/>
      <c r="J110" s="387" t="s">
        <v>2917</v>
      </c>
      <c r="K110" s="391" t="s">
        <v>2579</v>
      </c>
      <c r="L110" s="391" t="s">
        <v>189</v>
      </c>
      <c r="M110" s="402" t="s">
        <v>2338</v>
      </c>
      <c r="N110" s="396">
        <v>0</v>
      </c>
      <c r="O110" s="401">
        <v>10</v>
      </c>
      <c r="P110" s="400">
        <v>20</v>
      </c>
      <c r="Q110" s="400">
        <v>30</v>
      </c>
      <c r="R110" s="398">
        <f t="shared" si="1"/>
        <v>3500000</v>
      </c>
      <c r="S110" s="398">
        <v>658000</v>
      </c>
      <c r="T110" s="398">
        <v>948000</v>
      </c>
      <c r="U110" s="398">
        <v>948000</v>
      </c>
      <c r="V110" s="398">
        <v>946000</v>
      </c>
      <c r="W110" s="780"/>
    </row>
    <row r="111" spans="1:23" ht="30">
      <c r="A111" s="592"/>
      <c r="B111" s="871"/>
      <c r="C111" s="395" t="s">
        <v>2571</v>
      </c>
      <c r="D111" s="392" t="s">
        <v>2572</v>
      </c>
      <c r="E111" s="394"/>
      <c r="F111" s="387">
        <v>0</v>
      </c>
      <c r="G111" s="387">
        <f>+F111+1000</f>
        <v>1000</v>
      </c>
      <c r="H111" s="387">
        <f>+G111+1000</f>
        <v>2000</v>
      </c>
      <c r="I111" s="387">
        <f>+H111+0</f>
        <v>2000</v>
      </c>
      <c r="J111" s="387" t="s">
        <v>2918</v>
      </c>
      <c r="K111" s="391" t="s">
        <v>2583</v>
      </c>
      <c r="L111" s="391" t="s">
        <v>189</v>
      </c>
      <c r="M111" s="402" t="s">
        <v>2338</v>
      </c>
      <c r="N111" s="396">
        <v>0</v>
      </c>
      <c r="O111" s="401">
        <v>1000</v>
      </c>
      <c r="P111" s="400">
        <v>2000</v>
      </c>
      <c r="Q111" s="400">
        <v>2000</v>
      </c>
      <c r="R111" s="424">
        <f t="shared" si="1"/>
        <v>2000000</v>
      </c>
      <c r="S111" s="398">
        <v>380000</v>
      </c>
      <c r="T111" s="398">
        <v>542000</v>
      </c>
      <c r="U111" s="398">
        <v>542000</v>
      </c>
      <c r="V111" s="398">
        <v>536000</v>
      </c>
      <c r="W111" s="780"/>
    </row>
    <row r="112" spans="1:23" ht="60">
      <c r="A112" s="856" t="s">
        <v>7</v>
      </c>
      <c r="B112" s="855">
        <v>0.075</v>
      </c>
      <c r="C112" s="875" t="s">
        <v>3049</v>
      </c>
      <c r="D112" s="876" t="s">
        <v>3050</v>
      </c>
      <c r="E112" s="877">
        <v>191725</v>
      </c>
      <c r="F112" s="879">
        <v>1</v>
      </c>
      <c r="G112" s="879">
        <v>1</v>
      </c>
      <c r="H112" s="879">
        <v>1</v>
      </c>
      <c r="I112" s="879">
        <v>1</v>
      </c>
      <c r="J112" s="409" t="s">
        <v>3051</v>
      </c>
      <c r="K112" s="410" t="s">
        <v>3052</v>
      </c>
      <c r="L112" s="410" t="s">
        <v>189</v>
      </c>
      <c r="M112" s="411">
        <v>191725</v>
      </c>
      <c r="N112" s="412">
        <v>100</v>
      </c>
      <c r="O112" s="412">
        <v>100</v>
      </c>
      <c r="P112" s="412">
        <v>100</v>
      </c>
      <c r="Q112" s="412">
        <v>100</v>
      </c>
      <c r="R112" s="424">
        <f t="shared" si="1"/>
        <v>236000</v>
      </c>
      <c r="S112" s="413">
        <v>56000</v>
      </c>
      <c r="T112" s="412">
        <v>58000</v>
      </c>
      <c r="U112" s="412">
        <v>60000</v>
      </c>
      <c r="V112" s="412">
        <v>62000</v>
      </c>
      <c r="W112" s="865" t="s">
        <v>3053</v>
      </c>
    </row>
    <row r="113" spans="1:23" ht="75">
      <c r="A113" s="856"/>
      <c r="B113" s="855"/>
      <c r="C113" s="875"/>
      <c r="D113" s="876"/>
      <c r="E113" s="877"/>
      <c r="F113" s="879"/>
      <c r="G113" s="879"/>
      <c r="H113" s="879"/>
      <c r="I113" s="879"/>
      <c r="J113" s="409" t="s">
        <v>3054</v>
      </c>
      <c r="K113" s="410" t="s">
        <v>3052</v>
      </c>
      <c r="L113" s="410" t="s">
        <v>189</v>
      </c>
      <c r="M113" s="411">
        <v>40213</v>
      </c>
      <c r="N113" s="412">
        <v>25</v>
      </c>
      <c r="O113" s="412">
        <v>50</v>
      </c>
      <c r="P113" s="412">
        <v>75</v>
      </c>
      <c r="Q113" s="412">
        <v>100</v>
      </c>
      <c r="R113" s="424">
        <f t="shared" si="1"/>
        <v>150000</v>
      </c>
      <c r="S113" s="413">
        <v>35000</v>
      </c>
      <c r="T113" s="412">
        <v>37000</v>
      </c>
      <c r="U113" s="412">
        <v>38000</v>
      </c>
      <c r="V113" s="412">
        <v>40000</v>
      </c>
      <c r="W113" s="865"/>
    </row>
    <row r="114" spans="1:23" ht="105">
      <c r="A114" s="856"/>
      <c r="B114" s="855"/>
      <c r="C114" s="875"/>
      <c r="D114" s="876"/>
      <c r="E114" s="877"/>
      <c r="F114" s="879"/>
      <c r="G114" s="879"/>
      <c r="H114" s="879"/>
      <c r="I114" s="879"/>
      <c r="J114" s="414" t="s">
        <v>3055</v>
      </c>
      <c r="K114" s="409" t="s">
        <v>3056</v>
      </c>
      <c r="L114" s="409" t="s">
        <v>189</v>
      </c>
      <c r="M114" s="411">
        <v>191725</v>
      </c>
      <c r="N114" s="412">
        <v>201756</v>
      </c>
      <c r="O114" s="412">
        <v>211787</v>
      </c>
      <c r="P114" s="412">
        <v>221818</v>
      </c>
      <c r="Q114" s="412">
        <v>231850</v>
      </c>
      <c r="R114" s="424">
        <f t="shared" si="1"/>
        <v>131005959.45499998</v>
      </c>
      <c r="S114" s="413">
        <v>29280000</v>
      </c>
      <c r="T114" s="412">
        <v>30209662</v>
      </c>
      <c r="U114" s="412">
        <v>32520145.1</v>
      </c>
      <c r="V114" s="412">
        <v>38996152.355</v>
      </c>
      <c r="W114" s="865"/>
    </row>
    <row r="115" spans="1:23" ht="75">
      <c r="A115" s="856"/>
      <c r="B115" s="855"/>
      <c r="C115" s="875"/>
      <c r="D115" s="876"/>
      <c r="E115" s="877"/>
      <c r="F115" s="879"/>
      <c r="G115" s="879"/>
      <c r="H115" s="879"/>
      <c r="I115" s="879"/>
      <c r="J115" s="414" t="s">
        <v>3057</v>
      </c>
      <c r="K115" s="410" t="s">
        <v>3052</v>
      </c>
      <c r="L115" s="410" t="s">
        <v>189</v>
      </c>
      <c r="M115" s="411">
        <v>1</v>
      </c>
      <c r="N115" s="415">
        <v>1</v>
      </c>
      <c r="O115" s="415">
        <v>1</v>
      </c>
      <c r="P115" s="415">
        <v>1</v>
      </c>
      <c r="Q115" s="415">
        <v>1</v>
      </c>
      <c r="R115" s="424">
        <f t="shared" si="1"/>
        <v>660000</v>
      </c>
      <c r="S115" s="413">
        <v>150000</v>
      </c>
      <c r="T115" s="412">
        <v>160000</v>
      </c>
      <c r="U115" s="412">
        <v>170000</v>
      </c>
      <c r="V115" s="412">
        <v>180000</v>
      </c>
      <c r="W115" s="865"/>
    </row>
    <row r="116" spans="1:23" ht="120">
      <c r="A116" s="856" t="s">
        <v>3058</v>
      </c>
      <c r="B116" s="855">
        <v>0.075</v>
      </c>
      <c r="C116" s="890" t="s">
        <v>3059</v>
      </c>
      <c r="D116" s="889" t="s">
        <v>3060</v>
      </c>
      <c r="E116" s="882">
        <v>15</v>
      </c>
      <c r="F116" s="883">
        <v>1</v>
      </c>
      <c r="G116" s="883">
        <v>1</v>
      </c>
      <c r="H116" s="883">
        <v>1</v>
      </c>
      <c r="I116" s="883">
        <v>1</v>
      </c>
      <c r="J116" s="416" t="s">
        <v>3061</v>
      </c>
      <c r="K116" s="409" t="s">
        <v>3056</v>
      </c>
      <c r="L116" s="409" t="s">
        <v>189</v>
      </c>
      <c r="M116" s="417">
        <v>15</v>
      </c>
      <c r="N116" s="418">
        <v>1</v>
      </c>
      <c r="O116" s="418">
        <v>1</v>
      </c>
      <c r="P116" s="418">
        <v>1</v>
      </c>
      <c r="Q116" s="418">
        <v>1</v>
      </c>
      <c r="R116" s="424">
        <f t="shared" si="1"/>
        <v>33000</v>
      </c>
      <c r="S116" s="419">
        <v>7000</v>
      </c>
      <c r="T116" s="420">
        <v>8000</v>
      </c>
      <c r="U116" s="420">
        <v>9000</v>
      </c>
      <c r="V116" s="420">
        <v>9000</v>
      </c>
      <c r="W116" s="865"/>
    </row>
    <row r="117" spans="1:23" ht="165">
      <c r="A117" s="856"/>
      <c r="B117" s="855"/>
      <c r="C117" s="890"/>
      <c r="D117" s="889"/>
      <c r="E117" s="882"/>
      <c r="F117" s="883"/>
      <c r="G117" s="883"/>
      <c r="H117" s="883"/>
      <c r="I117" s="883"/>
      <c r="J117" s="409" t="s">
        <v>3062</v>
      </c>
      <c r="K117" s="409" t="s">
        <v>3056</v>
      </c>
      <c r="L117" s="409" t="s">
        <v>189</v>
      </c>
      <c r="M117" s="417">
        <v>12</v>
      </c>
      <c r="N117" s="418">
        <v>1</v>
      </c>
      <c r="O117" s="418">
        <v>1</v>
      </c>
      <c r="P117" s="418">
        <v>1</v>
      </c>
      <c r="Q117" s="418">
        <v>1</v>
      </c>
      <c r="R117" s="424">
        <f t="shared" si="1"/>
        <v>430000</v>
      </c>
      <c r="S117" s="419">
        <v>100000</v>
      </c>
      <c r="T117" s="420">
        <v>105000</v>
      </c>
      <c r="U117" s="420">
        <v>110000</v>
      </c>
      <c r="V117" s="420">
        <v>115000</v>
      </c>
      <c r="W117" s="865"/>
    </row>
    <row r="118" spans="1:23" ht="90">
      <c r="A118" s="856"/>
      <c r="B118" s="855"/>
      <c r="C118" s="890" t="s">
        <v>40</v>
      </c>
      <c r="D118" s="889" t="s">
        <v>3063</v>
      </c>
      <c r="E118" s="882">
        <v>0</v>
      </c>
      <c r="F118" s="883">
        <v>1</v>
      </c>
      <c r="G118" s="883">
        <v>1</v>
      </c>
      <c r="H118" s="883">
        <v>1</v>
      </c>
      <c r="I118" s="883">
        <v>1</v>
      </c>
      <c r="J118" s="409" t="s">
        <v>1617</v>
      </c>
      <c r="K118" s="410" t="s">
        <v>3052</v>
      </c>
      <c r="L118" s="409" t="s">
        <v>189</v>
      </c>
      <c r="M118" s="417">
        <v>0</v>
      </c>
      <c r="N118" s="418">
        <v>1</v>
      </c>
      <c r="O118" s="418">
        <v>1</v>
      </c>
      <c r="P118" s="418">
        <v>1</v>
      </c>
      <c r="Q118" s="418">
        <v>1</v>
      </c>
      <c r="R118" s="424">
        <f t="shared" si="1"/>
        <v>86000</v>
      </c>
      <c r="S118" s="419">
        <v>20000</v>
      </c>
      <c r="T118" s="420">
        <v>21000</v>
      </c>
      <c r="U118" s="420">
        <v>22000</v>
      </c>
      <c r="V118" s="420">
        <v>23000</v>
      </c>
      <c r="W118" s="865"/>
    </row>
    <row r="119" spans="1:23" ht="90">
      <c r="A119" s="856"/>
      <c r="B119" s="855"/>
      <c r="C119" s="890"/>
      <c r="D119" s="889"/>
      <c r="E119" s="882"/>
      <c r="F119" s="883"/>
      <c r="G119" s="883"/>
      <c r="H119" s="883"/>
      <c r="I119" s="883"/>
      <c r="J119" s="409" t="s">
        <v>1618</v>
      </c>
      <c r="K119" s="410" t="s">
        <v>3052</v>
      </c>
      <c r="L119" s="409" t="s">
        <v>189</v>
      </c>
      <c r="M119" s="417">
        <v>0</v>
      </c>
      <c r="N119" s="418">
        <v>1</v>
      </c>
      <c r="O119" s="418">
        <v>1</v>
      </c>
      <c r="P119" s="418">
        <v>1</v>
      </c>
      <c r="Q119" s="418">
        <v>1</v>
      </c>
      <c r="R119" s="424">
        <f t="shared" si="1"/>
        <v>50000</v>
      </c>
      <c r="S119" s="419">
        <v>11000</v>
      </c>
      <c r="T119" s="420">
        <v>12000</v>
      </c>
      <c r="U119" s="420">
        <v>13000</v>
      </c>
      <c r="V119" s="420">
        <v>14000</v>
      </c>
      <c r="W119" s="865"/>
    </row>
    <row r="120" spans="1:23" ht="150">
      <c r="A120" s="856"/>
      <c r="B120" s="855"/>
      <c r="C120" s="890"/>
      <c r="D120" s="889"/>
      <c r="E120" s="882"/>
      <c r="F120" s="883"/>
      <c r="G120" s="883"/>
      <c r="H120" s="883"/>
      <c r="I120" s="883"/>
      <c r="J120" s="409" t="s">
        <v>1619</v>
      </c>
      <c r="K120" s="410" t="s">
        <v>3052</v>
      </c>
      <c r="L120" s="409" t="s">
        <v>189</v>
      </c>
      <c r="M120" s="417">
        <v>0</v>
      </c>
      <c r="N120" s="418">
        <v>1</v>
      </c>
      <c r="O120" s="418">
        <v>1</v>
      </c>
      <c r="P120" s="418">
        <v>1</v>
      </c>
      <c r="Q120" s="418">
        <v>1</v>
      </c>
      <c r="R120" s="424">
        <f t="shared" si="1"/>
        <v>1328000</v>
      </c>
      <c r="S120" s="419">
        <v>0</v>
      </c>
      <c r="T120" s="420">
        <v>438000</v>
      </c>
      <c r="U120" s="420">
        <v>440000</v>
      </c>
      <c r="V120" s="420">
        <v>450000</v>
      </c>
      <c r="W120" s="865"/>
    </row>
    <row r="121" spans="1:23" ht="75">
      <c r="A121" s="856"/>
      <c r="B121" s="855"/>
      <c r="C121" s="890"/>
      <c r="D121" s="889"/>
      <c r="E121" s="882"/>
      <c r="F121" s="883"/>
      <c r="G121" s="883"/>
      <c r="H121" s="883"/>
      <c r="I121" s="883"/>
      <c r="J121" s="409" t="s">
        <v>1620</v>
      </c>
      <c r="K121" s="409" t="s">
        <v>3056</v>
      </c>
      <c r="L121" s="409" t="s">
        <v>189</v>
      </c>
      <c r="M121" s="420">
        <v>0</v>
      </c>
      <c r="N121" s="420">
        <v>1</v>
      </c>
      <c r="O121" s="420">
        <v>0</v>
      </c>
      <c r="P121" s="420">
        <v>0</v>
      </c>
      <c r="Q121" s="420">
        <v>0</v>
      </c>
      <c r="R121" s="424">
        <f t="shared" si="1"/>
        <v>1200000</v>
      </c>
      <c r="S121" s="419">
        <v>300000</v>
      </c>
      <c r="T121" s="419">
        <v>300000</v>
      </c>
      <c r="U121" s="419">
        <v>300000</v>
      </c>
      <c r="V121" s="419">
        <v>300000</v>
      </c>
      <c r="W121" s="865"/>
    </row>
    <row r="122" spans="1:23" ht="135">
      <c r="A122" s="856"/>
      <c r="B122" s="855"/>
      <c r="C122" s="890" t="s">
        <v>1621</v>
      </c>
      <c r="D122" s="889" t="s">
        <v>1622</v>
      </c>
      <c r="E122" s="883">
        <v>1</v>
      </c>
      <c r="F122" s="883">
        <v>1</v>
      </c>
      <c r="G122" s="883">
        <v>1</v>
      </c>
      <c r="H122" s="883">
        <v>1</v>
      </c>
      <c r="I122" s="883">
        <v>1</v>
      </c>
      <c r="J122" s="409" t="s">
        <v>96</v>
      </c>
      <c r="K122" s="409" t="s">
        <v>3056</v>
      </c>
      <c r="L122" s="409" t="s">
        <v>189</v>
      </c>
      <c r="M122" s="420">
        <v>0</v>
      </c>
      <c r="N122" s="420">
        <v>1</v>
      </c>
      <c r="O122" s="420">
        <v>0</v>
      </c>
      <c r="P122" s="420">
        <v>0</v>
      </c>
      <c r="Q122" s="420">
        <v>0</v>
      </c>
      <c r="R122" s="424">
        <f aca="true" t="shared" si="2" ref="R122:R128">SUM(S122:V122)</f>
        <v>210000</v>
      </c>
      <c r="S122" s="419">
        <v>210000</v>
      </c>
      <c r="T122" s="420">
        <v>0</v>
      </c>
      <c r="U122" s="420">
        <v>0</v>
      </c>
      <c r="V122" s="420">
        <v>0</v>
      </c>
      <c r="W122" s="865"/>
    </row>
    <row r="123" spans="1:23" ht="120">
      <c r="A123" s="856"/>
      <c r="B123" s="855"/>
      <c r="C123" s="890"/>
      <c r="D123" s="889"/>
      <c r="E123" s="883"/>
      <c r="F123" s="883"/>
      <c r="G123" s="883"/>
      <c r="H123" s="883"/>
      <c r="I123" s="883"/>
      <c r="J123" s="409" t="s">
        <v>1623</v>
      </c>
      <c r="K123" s="410" t="s">
        <v>3052</v>
      </c>
      <c r="L123" s="409" t="s">
        <v>189</v>
      </c>
      <c r="M123" s="417">
        <v>52927</v>
      </c>
      <c r="N123" s="418">
        <v>1</v>
      </c>
      <c r="O123" s="418">
        <v>1</v>
      </c>
      <c r="P123" s="418">
        <v>1</v>
      </c>
      <c r="Q123" s="418">
        <v>1</v>
      </c>
      <c r="R123" s="424">
        <f t="shared" si="2"/>
        <v>19899847.125</v>
      </c>
      <c r="S123" s="419">
        <v>4617000</v>
      </c>
      <c r="T123" s="420">
        <v>4847850</v>
      </c>
      <c r="U123" s="420">
        <v>5090242.5</v>
      </c>
      <c r="V123" s="420">
        <v>5344754.625</v>
      </c>
      <c r="W123" s="865"/>
    </row>
    <row r="124" spans="1:23" ht="90">
      <c r="A124" s="866" t="s">
        <v>1624</v>
      </c>
      <c r="B124" s="891">
        <v>0.02</v>
      </c>
      <c r="C124" s="408" t="s">
        <v>101</v>
      </c>
      <c r="D124" s="408" t="s">
        <v>102</v>
      </c>
      <c r="E124" s="421" t="s">
        <v>238</v>
      </c>
      <c r="F124" s="421" t="s">
        <v>1625</v>
      </c>
      <c r="G124" s="421" t="s">
        <v>1625</v>
      </c>
      <c r="H124" s="421" t="s">
        <v>1625</v>
      </c>
      <c r="I124" s="421" t="s">
        <v>1626</v>
      </c>
      <c r="J124" s="408" t="s">
        <v>1934</v>
      </c>
      <c r="K124" s="410" t="s">
        <v>3052</v>
      </c>
      <c r="L124" s="410" t="s">
        <v>2809</v>
      </c>
      <c r="M124" s="422">
        <v>23</v>
      </c>
      <c r="N124" s="423">
        <v>1</v>
      </c>
      <c r="O124" s="423">
        <v>1</v>
      </c>
      <c r="P124" s="423">
        <v>1</v>
      </c>
      <c r="Q124" s="423">
        <v>1</v>
      </c>
      <c r="R124" s="424">
        <f t="shared" si="2"/>
        <v>129623.13</v>
      </c>
      <c r="S124" s="424">
        <v>27930</v>
      </c>
      <c r="T124" s="425">
        <v>30723</v>
      </c>
      <c r="U124" s="425">
        <v>33795.3</v>
      </c>
      <c r="V124" s="425">
        <v>37174.83</v>
      </c>
      <c r="W124" s="865" t="s">
        <v>1935</v>
      </c>
    </row>
    <row r="125" spans="1:23" ht="105">
      <c r="A125" s="866"/>
      <c r="B125" s="856"/>
      <c r="C125" s="408" t="s">
        <v>106</v>
      </c>
      <c r="D125" s="426" t="s">
        <v>245</v>
      </c>
      <c r="E125" s="408" t="s">
        <v>1936</v>
      </c>
      <c r="F125" s="408" t="s">
        <v>1937</v>
      </c>
      <c r="G125" s="408" t="s">
        <v>1937</v>
      </c>
      <c r="H125" s="408" t="s">
        <v>1937</v>
      </c>
      <c r="I125" s="408" t="s">
        <v>1938</v>
      </c>
      <c r="J125" s="408" t="s">
        <v>109</v>
      </c>
      <c r="K125" s="408" t="s">
        <v>3056</v>
      </c>
      <c r="L125" s="408" t="s">
        <v>2809</v>
      </c>
      <c r="M125" s="422">
        <v>20</v>
      </c>
      <c r="N125" s="422">
        <v>6</v>
      </c>
      <c r="O125" s="422">
        <v>13</v>
      </c>
      <c r="P125" s="422">
        <v>19</v>
      </c>
      <c r="Q125" s="422">
        <v>25</v>
      </c>
      <c r="R125" s="424">
        <f t="shared" si="2"/>
        <v>299344.5</v>
      </c>
      <c r="S125" s="424">
        <v>64500</v>
      </c>
      <c r="T125" s="425">
        <v>70950</v>
      </c>
      <c r="U125" s="425">
        <v>78045</v>
      </c>
      <c r="V125" s="425">
        <v>85849.5</v>
      </c>
      <c r="W125" s="865"/>
    </row>
    <row r="126" spans="1:23" ht="60">
      <c r="A126" s="866"/>
      <c r="B126" s="856"/>
      <c r="C126" s="408" t="s">
        <v>111</v>
      </c>
      <c r="D126" s="426" t="s">
        <v>112</v>
      </c>
      <c r="E126" s="421" t="s">
        <v>113</v>
      </c>
      <c r="F126" s="421" t="s">
        <v>1939</v>
      </c>
      <c r="G126" s="421" t="s">
        <v>1939</v>
      </c>
      <c r="H126" s="421" t="s">
        <v>1939</v>
      </c>
      <c r="I126" s="421" t="s">
        <v>1939</v>
      </c>
      <c r="J126" s="408" t="s">
        <v>3064</v>
      </c>
      <c r="K126" s="408" t="s">
        <v>3056</v>
      </c>
      <c r="L126" s="408" t="s">
        <v>2809</v>
      </c>
      <c r="M126" s="422">
        <v>250</v>
      </c>
      <c r="N126" s="422">
        <v>62</v>
      </c>
      <c r="O126" s="422">
        <v>63</v>
      </c>
      <c r="P126" s="422">
        <v>63</v>
      </c>
      <c r="Q126" s="422">
        <v>62</v>
      </c>
      <c r="R126" s="424">
        <f t="shared" si="2"/>
        <v>352716</v>
      </c>
      <c r="S126" s="424">
        <v>76000</v>
      </c>
      <c r="T126" s="425">
        <v>83600</v>
      </c>
      <c r="U126" s="425">
        <v>91960</v>
      </c>
      <c r="V126" s="425">
        <v>101156</v>
      </c>
      <c r="W126" s="865"/>
    </row>
    <row r="127" spans="1:23" ht="60">
      <c r="A127" s="866"/>
      <c r="B127" s="856"/>
      <c r="C127" s="408" t="s">
        <v>123</v>
      </c>
      <c r="D127" s="426" t="s">
        <v>124</v>
      </c>
      <c r="E127" s="421" t="s">
        <v>125</v>
      </c>
      <c r="F127" s="421" t="s">
        <v>3065</v>
      </c>
      <c r="G127" s="421" t="s">
        <v>3066</v>
      </c>
      <c r="H127" s="421" t="s">
        <v>3067</v>
      </c>
      <c r="I127" s="421" t="s">
        <v>3068</v>
      </c>
      <c r="J127" s="408" t="s">
        <v>3069</v>
      </c>
      <c r="K127" s="408" t="s">
        <v>3056</v>
      </c>
      <c r="L127" s="408" t="s">
        <v>19</v>
      </c>
      <c r="M127" s="422">
        <v>30</v>
      </c>
      <c r="N127" s="422">
        <v>7.5</v>
      </c>
      <c r="O127" s="422">
        <v>16</v>
      </c>
      <c r="P127" s="422">
        <v>24</v>
      </c>
      <c r="Q127" s="422">
        <v>30</v>
      </c>
      <c r="R127" s="424">
        <f t="shared" si="2"/>
        <v>83538</v>
      </c>
      <c r="S127" s="424">
        <v>18000</v>
      </c>
      <c r="T127" s="425">
        <v>19800</v>
      </c>
      <c r="U127" s="425">
        <v>21780</v>
      </c>
      <c r="V127" s="425">
        <v>23958</v>
      </c>
      <c r="W127" s="865"/>
    </row>
    <row r="128" spans="1:23" ht="45">
      <c r="A128" s="866"/>
      <c r="B128" s="856"/>
      <c r="C128" s="408" t="s">
        <v>127</v>
      </c>
      <c r="D128" s="426" t="s">
        <v>128</v>
      </c>
      <c r="E128" s="427" t="s">
        <v>3070</v>
      </c>
      <c r="F128" s="421" t="s">
        <v>3071</v>
      </c>
      <c r="G128" s="421" t="s">
        <v>3071</v>
      </c>
      <c r="H128" s="421" t="s">
        <v>3071</v>
      </c>
      <c r="I128" s="421" t="s">
        <v>3071</v>
      </c>
      <c r="J128" s="408" t="s">
        <v>129</v>
      </c>
      <c r="K128" s="410" t="s">
        <v>3052</v>
      </c>
      <c r="L128" s="410" t="s">
        <v>189</v>
      </c>
      <c r="M128" s="422">
        <v>30</v>
      </c>
      <c r="N128" s="428">
        <v>1</v>
      </c>
      <c r="O128" s="428">
        <v>1</v>
      </c>
      <c r="P128" s="428">
        <v>1</v>
      </c>
      <c r="Q128" s="428">
        <v>1</v>
      </c>
      <c r="R128" s="424">
        <f t="shared" si="2"/>
        <v>401539.32</v>
      </c>
      <c r="S128" s="424">
        <v>86520</v>
      </c>
      <c r="T128" s="425">
        <f>S128*10%+S128</f>
        <v>95172</v>
      </c>
      <c r="U128" s="425">
        <f>T128*10%+T128</f>
        <v>104689.2</v>
      </c>
      <c r="V128" s="425">
        <f>U128*10%+U128</f>
        <v>115158.12</v>
      </c>
      <c r="W128" s="865"/>
    </row>
    <row r="129" spans="1:23" ht="60">
      <c r="A129" s="866"/>
      <c r="B129" s="856"/>
      <c r="C129" s="408" t="s">
        <v>131</v>
      </c>
      <c r="D129" s="426" t="s">
        <v>132</v>
      </c>
      <c r="E129" s="427" t="s">
        <v>3072</v>
      </c>
      <c r="F129" s="421" t="s">
        <v>3071</v>
      </c>
      <c r="G129" s="421" t="s">
        <v>3071</v>
      </c>
      <c r="H129" s="421" t="s">
        <v>3071</v>
      </c>
      <c r="I129" s="421" t="s">
        <v>3071</v>
      </c>
      <c r="J129" s="387" t="s">
        <v>3073</v>
      </c>
      <c r="K129" s="408" t="s">
        <v>3052</v>
      </c>
      <c r="L129" s="892" t="s">
        <v>189</v>
      </c>
      <c r="M129" s="893">
        <v>4</v>
      </c>
      <c r="N129" s="894">
        <v>1</v>
      </c>
      <c r="O129" s="894">
        <v>1</v>
      </c>
      <c r="P129" s="894">
        <v>1</v>
      </c>
      <c r="Q129" s="894">
        <v>1</v>
      </c>
      <c r="R129" s="895">
        <f>SUM(S129:V130)</f>
        <v>185640</v>
      </c>
      <c r="S129" s="896">
        <v>40000</v>
      </c>
      <c r="T129" s="897">
        <v>44000</v>
      </c>
      <c r="U129" s="897">
        <v>48400</v>
      </c>
      <c r="V129" s="897">
        <v>53240</v>
      </c>
      <c r="W129" s="865"/>
    </row>
    <row r="130" spans="1:23" ht="75">
      <c r="A130" s="866"/>
      <c r="B130" s="856"/>
      <c r="C130" s="408" t="s">
        <v>135</v>
      </c>
      <c r="D130" s="426" t="s">
        <v>136</v>
      </c>
      <c r="E130" s="427" t="s">
        <v>3072</v>
      </c>
      <c r="F130" s="421" t="s">
        <v>3071</v>
      </c>
      <c r="G130" s="421" t="s">
        <v>3071</v>
      </c>
      <c r="H130" s="421" t="s">
        <v>3071</v>
      </c>
      <c r="I130" s="421" t="s">
        <v>3071</v>
      </c>
      <c r="J130" s="387" t="s">
        <v>3074</v>
      </c>
      <c r="K130" s="408" t="s">
        <v>3052</v>
      </c>
      <c r="L130" s="892"/>
      <c r="M130" s="893"/>
      <c r="N130" s="894"/>
      <c r="O130" s="894"/>
      <c r="P130" s="894"/>
      <c r="Q130" s="894"/>
      <c r="R130" s="895"/>
      <c r="S130" s="896"/>
      <c r="T130" s="897"/>
      <c r="U130" s="897"/>
      <c r="V130" s="897"/>
      <c r="W130" s="865"/>
    </row>
    <row r="131" spans="1:23" ht="60">
      <c r="A131" s="866"/>
      <c r="B131" s="856"/>
      <c r="C131" s="408" t="s">
        <v>137</v>
      </c>
      <c r="D131" s="426" t="s">
        <v>138</v>
      </c>
      <c r="E131" s="427" t="s">
        <v>3072</v>
      </c>
      <c r="F131" s="421" t="s">
        <v>3071</v>
      </c>
      <c r="G131" s="421" t="s">
        <v>3071</v>
      </c>
      <c r="H131" s="421" t="s">
        <v>3071</v>
      </c>
      <c r="I131" s="421" t="s">
        <v>3071</v>
      </c>
      <c r="J131" s="387" t="s">
        <v>3075</v>
      </c>
      <c r="K131" s="408" t="s">
        <v>3056</v>
      </c>
      <c r="L131" s="408" t="s">
        <v>189</v>
      </c>
      <c r="M131" s="893">
        <v>1</v>
      </c>
      <c r="N131" s="893">
        <v>1</v>
      </c>
      <c r="O131" s="893">
        <v>2</v>
      </c>
      <c r="P131" s="893">
        <v>2</v>
      </c>
      <c r="Q131" s="893">
        <v>2</v>
      </c>
      <c r="R131" s="895">
        <f>SUM(S131:V132)</f>
        <v>561561</v>
      </c>
      <c r="S131" s="895">
        <v>121000</v>
      </c>
      <c r="T131" s="898">
        <f>S131*10%+S131</f>
        <v>133100</v>
      </c>
      <c r="U131" s="898">
        <f>T131*10%+T131</f>
        <v>146410</v>
      </c>
      <c r="V131" s="898">
        <f>U131*10%+U131</f>
        <v>161051</v>
      </c>
      <c r="W131" s="865"/>
    </row>
    <row r="132" spans="1:23" ht="75">
      <c r="A132" s="866"/>
      <c r="B132" s="856"/>
      <c r="C132" s="408" t="s">
        <v>141</v>
      </c>
      <c r="D132" s="426" t="s">
        <v>142</v>
      </c>
      <c r="E132" s="427" t="s">
        <v>3076</v>
      </c>
      <c r="F132" s="421" t="s">
        <v>3071</v>
      </c>
      <c r="G132" s="421" t="s">
        <v>3071</v>
      </c>
      <c r="H132" s="421" t="s">
        <v>3071</v>
      </c>
      <c r="I132" s="421" t="s">
        <v>3071</v>
      </c>
      <c r="J132" s="387" t="s">
        <v>3077</v>
      </c>
      <c r="K132" s="408" t="s">
        <v>3056</v>
      </c>
      <c r="L132" s="408" t="s">
        <v>189</v>
      </c>
      <c r="M132" s="893"/>
      <c r="N132" s="893"/>
      <c r="O132" s="893"/>
      <c r="P132" s="893"/>
      <c r="Q132" s="893"/>
      <c r="R132" s="895"/>
      <c r="S132" s="895"/>
      <c r="T132" s="898"/>
      <c r="U132" s="898"/>
      <c r="V132" s="898"/>
      <c r="W132" s="865"/>
    </row>
    <row r="133" spans="1:23" ht="75">
      <c r="A133" s="866"/>
      <c r="B133" s="856"/>
      <c r="C133" s="408" t="s">
        <v>143</v>
      </c>
      <c r="D133" s="426" t="s">
        <v>144</v>
      </c>
      <c r="E133" s="427" t="s">
        <v>3078</v>
      </c>
      <c r="F133" s="421" t="s">
        <v>3071</v>
      </c>
      <c r="G133" s="421" t="s">
        <v>3071</v>
      </c>
      <c r="H133" s="421" t="s">
        <v>3071</v>
      </c>
      <c r="I133" s="421" t="s">
        <v>3071</v>
      </c>
      <c r="J133" s="387" t="s">
        <v>3079</v>
      </c>
      <c r="K133" s="408" t="s">
        <v>3056</v>
      </c>
      <c r="L133" s="408" t="s">
        <v>189</v>
      </c>
      <c r="M133" s="893">
        <v>4</v>
      </c>
      <c r="N133" s="893">
        <v>3</v>
      </c>
      <c r="O133" s="893">
        <v>3</v>
      </c>
      <c r="P133" s="893">
        <v>3</v>
      </c>
      <c r="Q133" s="893">
        <v>3</v>
      </c>
      <c r="R133" s="898">
        <f>SUM(S133:V135)</f>
        <v>242896</v>
      </c>
      <c r="S133" s="898">
        <v>56000</v>
      </c>
      <c r="T133" s="898">
        <v>57600</v>
      </c>
      <c r="U133" s="898">
        <v>60760</v>
      </c>
      <c r="V133" s="898">
        <v>68536</v>
      </c>
      <c r="W133" s="865"/>
    </row>
    <row r="134" spans="1:23" ht="90">
      <c r="A134" s="866"/>
      <c r="B134" s="856"/>
      <c r="C134" s="408" t="s">
        <v>147</v>
      </c>
      <c r="D134" s="426" t="s">
        <v>1350</v>
      </c>
      <c r="E134" s="427" t="s">
        <v>3080</v>
      </c>
      <c r="F134" s="421" t="s">
        <v>3071</v>
      </c>
      <c r="G134" s="421" t="s">
        <v>3071</v>
      </c>
      <c r="H134" s="421" t="s">
        <v>3071</v>
      </c>
      <c r="I134" s="421" t="s">
        <v>3071</v>
      </c>
      <c r="J134" s="387" t="s">
        <v>3081</v>
      </c>
      <c r="K134" s="408" t="s">
        <v>3056</v>
      </c>
      <c r="L134" s="408" t="s">
        <v>189</v>
      </c>
      <c r="M134" s="893"/>
      <c r="N134" s="893"/>
      <c r="O134" s="893"/>
      <c r="P134" s="893"/>
      <c r="Q134" s="893"/>
      <c r="R134" s="898"/>
      <c r="S134" s="898"/>
      <c r="T134" s="898"/>
      <c r="U134" s="898"/>
      <c r="V134" s="898"/>
      <c r="W134" s="865"/>
    </row>
    <row r="135" spans="1:23" ht="60">
      <c r="A135" s="866"/>
      <c r="B135" s="856"/>
      <c r="C135" s="408" t="s">
        <v>1351</v>
      </c>
      <c r="D135" s="426" t="s">
        <v>365</v>
      </c>
      <c r="E135" s="427" t="s">
        <v>3082</v>
      </c>
      <c r="F135" s="421" t="s">
        <v>3071</v>
      </c>
      <c r="G135" s="421" t="s">
        <v>3071</v>
      </c>
      <c r="H135" s="421" t="s">
        <v>3071</v>
      </c>
      <c r="I135" s="421" t="s">
        <v>3071</v>
      </c>
      <c r="J135" s="387" t="s">
        <v>3083</v>
      </c>
      <c r="K135" s="408" t="s">
        <v>3056</v>
      </c>
      <c r="L135" s="408" t="s">
        <v>189</v>
      </c>
      <c r="M135" s="893"/>
      <c r="N135" s="893"/>
      <c r="O135" s="893"/>
      <c r="P135" s="893"/>
      <c r="Q135" s="893"/>
      <c r="R135" s="898"/>
      <c r="S135" s="898"/>
      <c r="T135" s="898"/>
      <c r="U135" s="898"/>
      <c r="V135" s="898"/>
      <c r="W135" s="865"/>
    </row>
    <row r="136" spans="1:23" ht="45">
      <c r="A136" s="776" t="s">
        <v>374</v>
      </c>
      <c r="B136" s="887">
        <v>0.02</v>
      </c>
      <c r="C136" s="858" t="s">
        <v>375</v>
      </c>
      <c r="D136" s="858" t="s">
        <v>376</v>
      </c>
      <c r="E136" s="858" t="s">
        <v>3084</v>
      </c>
      <c r="F136" s="899">
        <v>1</v>
      </c>
      <c r="G136" s="899">
        <v>1</v>
      </c>
      <c r="H136" s="899">
        <v>1</v>
      </c>
      <c r="I136" s="899">
        <v>1</v>
      </c>
      <c r="J136" s="430" t="s">
        <v>3085</v>
      </c>
      <c r="K136" s="431" t="s">
        <v>3052</v>
      </c>
      <c r="L136" s="387" t="s">
        <v>2809</v>
      </c>
      <c r="M136" s="432">
        <v>322056</v>
      </c>
      <c r="N136" s="433">
        <v>0.6</v>
      </c>
      <c r="O136" s="433">
        <v>0.6</v>
      </c>
      <c r="P136" s="433">
        <v>0.6</v>
      </c>
      <c r="Q136" s="433">
        <v>0.6</v>
      </c>
      <c r="R136" s="434">
        <v>355036.5</v>
      </c>
      <c r="S136" s="435">
        <v>76500</v>
      </c>
      <c r="T136" s="436">
        <v>84150</v>
      </c>
      <c r="U136" s="436">
        <v>92565</v>
      </c>
      <c r="V136" s="436">
        <v>101821.5</v>
      </c>
      <c r="W136" s="858" t="s">
        <v>1935</v>
      </c>
    </row>
    <row r="137" spans="1:23" ht="45">
      <c r="A137" s="776"/>
      <c r="B137" s="853"/>
      <c r="C137" s="858"/>
      <c r="D137" s="858"/>
      <c r="E137" s="858"/>
      <c r="F137" s="899"/>
      <c r="G137" s="899"/>
      <c r="H137" s="899"/>
      <c r="I137" s="899"/>
      <c r="J137" s="430" t="s">
        <v>3086</v>
      </c>
      <c r="K137" s="431" t="s">
        <v>3056</v>
      </c>
      <c r="L137" s="387" t="s">
        <v>189</v>
      </c>
      <c r="M137" s="432">
        <v>2</v>
      </c>
      <c r="N137" s="438">
        <v>1</v>
      </c>
      <c r="O137" s="438">
        <v>1</v>
      </c>
      <c r="P137" s="438">
        <v>1</v>
      </c>
      <c r="Q137" s="438">
        <v>1</v>
      </c>
      <c r="R137" s="522">
        <f aca="true" t="shared" si="3" ref="R137:R173">SUM(S137:V137)</f>
        <v>9282</v>
      </c>
      <c r="S137" s="435">
        <v>2000</v>
      </c>
      <c r="T137" s="436">
        <v>2200</v>
      </c>
      <c r="U137" s="436">
        <v>2420</v>
      </c>
      <c r="V137" s="436">
        <v>2662</v>
      </c>
      <c r="W137" s="858"/>
    </row>
    <row r="138" spans="1:23" ht="135">
      <c r="A138" s="776"/>
      <c r="B138" s="853"/>
      <c r="C138" s="858"/>
      <c r="D138" s="858"/>
      <c r="E138" s="858"/>
      <c r="F138" s="899"/>
      <c r="G138" s="899"/>
      <c r="H138" s="899"/>
      <c r="I138" s="899"/>
      <c r="J138" s="430" t="s">
        <v>3087</v>
      </c>
      <c r="K138" s="431" t="s">
        <v>3052</v>
      </c>
      <c r="L138" s="387" t="s">
        <v>2809</v>
      </c>
      <c r="M138" s="434">
        <v>36</v>
      </c>
      <c r="N138" s="433">
        <v>1</v>
      </c>
      <c r="O138" s="433">
        <v>1</v>
      </c>
      <c r="P138" s="433">
        <v>1</v>
      </c>
      <c r="Q138" s="433">
        <v>1</v>
      </c>
      <c r="R138" s="522">
        <f t="shared" si="3"/>
        <v>68200</v>
      </c>
      <c r="S138" s="425">
        <v>2000</v>
      </c>
      <c r="T138" s="439">
        <v>20000</v>
      </c>
      <c r="U138" s="439">
        <v>22000</v>
      </c>
      <c r="V138" s="439">
        <v>24200</v>
      </c>
      <c r="W138" s="858"/>
    </row>
    <row r="139" spans="1:23" ht="105">
      <c r="A139" s="776"/>
      <c r="B139" s="853"/>
      <c r="C139" s="858"/>
      <c r="D139" s="858"/>
      <c r="E139" s="858"/>
      <c r="F139" s="899"/>
      <c r="G139" s="899"/>
      <c r="H139" s="899"/>
      <c r="I139" s="899"/>
      <c r="J139" s="430" t="s">
        <v>3088</v>
      </c>
      <c r="K139" s="431" t="s">
        <v>3052</v>
      </c>
      <c r="L139" s="387" t="s">
        <v>2809</v>
      </c>
      <c r="M139" s="434">
        <v>40</v>
      </c>
      <c r="N139" s="433">
        <v>1</v>
      </c>
      <c r="O139" s="433">
        <v>1</v>
      </c>
      <c r="P139" s="433">
        <v>1</v>
      </c>
      <c r="Q139" s="433">
        <v>1</v>
      </c>
      <c r="R139" s="522">
        <f t="shared" si="3"/>
        <v>51650</v>
      </c>
      <c r="S139" s="425">
        <v>2000</v>
      </c>
      <c r="T139" s="439">
        <v>15000</v>
      </c>
      <c r="U139" s="439">
        <v>16500</v>
      </c>
      <c r="V139" s="439">
        <v>18150</v>
      </c>
      <c r="W139" s="858"/>
    </row>
    <row r="140" spans="1:23" ht="90">
      <c r="A140" s="776"/>
      <c r="B140" s="853"/>
      <c r="C140" s="858"/>
      <c r="D140" s="858"/>
      <c r="E140" s="858"/>
      <c r="F140" s="899"/>
      <c r="G140" s="899"/>
      <c r="H140" s="899"/>
      <c r="I140" s="899"/>
      <c r="J140" s="430" t="s">
        <v>3089</v>
      </c>
      <c r="K140" s="431" t="s">
        <v>3056</v>
      </c>
      <c r="L140" s="387" t="s">
        <v>189</v>
      </c>
      <c r="M140" s="434">
        <v>2</v>
      </c>
      <c r="N140" s="438">
        <v>2</v>
      </c>
      <c r="O140" s="438">
        <v>2</v>
      </c>
      <c r="P140" s="438">
        <v>2</v>
      </c>
      <c r="Q140" s="438">
        <v>2</v>
      </c>
      <c r="R140" s="522">
        <f t="shared" si="3"/>
        <v>35100</v>
      </c>
      <c r="S140" s="425">
        <v>2000</v>
      </c>
      <c r="T140" s="439">
        <v>10000</v>
      </c>
      <c r="U140" s="439">
        <v>11000</v>
      </c>
      <c r="V140" s="439">
        <v>12100</v>
      </c>
      <c r="W140" s="858"/>
    </row>
    <row r="141" spans="1:23" ht="60">
      <c r="A141" s="776"/>
      <c r="B141" s="853"/>
      <c r="C141" s="437" t="s">
        <v>380</v>
      </c>
      <c r="D141" s="437" t="s">
        <v>239</v>
      </c>
      <c r="E141" s="389">
        <v>0.8208</v>
      </c>
      <c r="F141" s="430" t="s">
        <v>3090</v>
      </c>
      <c r="G141" s="430" t="s">
        <v>3090</v>
      </c>
      <c r="H141" s="430" t="s">
        <v>3090</v>
      </c>
      <c r="I141" s="430" t="s">
        <v>3090</v>
      </c>
      <c r="J141" s="440" t="s">
        <v>3091</v>
      </c>
      <c r="K141" s="441" t="s">
        <v>3092</v>
      </c>
      <c r="L141" s="441" t="s">
        <v>189</v>
      </c>
      <c r="M141" s="434">
        <v>6781</v>
      </c>
      <c r="N141" s="433">
        <v>0.9</v>
      </c>
      <c r="O141" s="433">
        <v>0.9</v>
      </c>
      <c r="P141" s="433">
        <v>0.9</v>
      </c>
      <c r="Q141" s="433">
        <v>0.9</v>
      </c>
      <c r="R141" s="522">
        <f t="shared" si="3"/>
        <v>4302</v>
      </c>
      <c r="S141" s="442">
        <v>510</v>
      </c>
      <c r="T141" s="436">
        <v>1146</v>
      </c>
      <c r="U141" s="436">
        <v>1260</v>
      </c>
      <c r="V141" s="436">
        <v>1386</v>
      </c>
      <c r="W141" s="858"/>
    </row>
    <row r="142" spans="1:23" ht="60">
      <c r="A142" s="776"/>
      <c r="B142" s="853"/>
      <c r="C142" s="437" t="s">
        <v>388</v>
      </c>
      <c r="D142" s="437" t="s">
        <v>3093</v>
      </c>
      <c r="E142" s="389">
        <v>0.9896</v>
      </c>
      <c r="F142" s="430" t="s">
        <v>3071</v>
      </c>
      <c r="G142" s="430" t="s">
        <v>3071</v>
      </c>
      <c r="H142" s="430" t="s">
        <v>3071</v>
      </c>
      <c r="I142" s="430" t="s">
        <v>3071</v>
      </c>
      <c r="J142" s="440" t="s">
        <v>3094</v>
      </c>
      <c r="K142" s="441" t="s">
        <v>3052</v>
      </c>
      <c r="L142" s="441" t="s">
        <v>189</v>
      </c>
      <c r="M142" s="434">
        <v>11</v>
      </c>
      <c r="N142" s="433">
        <v>1</v>
      </c>
      <c r="O142" s="433">
        <v>1</v>
      </c>
      <c r="P142" s="433">
        <v>1</v>
      </c>
      <c r="Q142" s="433">
        <v>1</v>
      </c>
      <c r="R142" s="522">
        <f t="shared" si="3"/>
        <v>4302</v>
      </c>
      <c r="S142" s="442">
        <v>510</v>
      </c>
      <c r="T142" s="436">
        <v>1146</v>
      </c>
      <c r="U142" s="436">
        <v>1260</v>
      </c>
      <c r="V142" s="436">
        <v>1386</v>
      </c>
      <c r="W142" s="858"/>
    </row>
    <row r="143" spans="1:23" ht="75">
      <c r="A143" s="776"/>
      <c r="B143" s="853"/>
      <c r="C143" s="858" t="s">
        <v>392</v>
      </c>
      <c r="D143" s="858" t="s">
        <v>393</v>
      </c>
      <c r="E143" s="858" t="s">
        <v>3095</v>
      </c>
      <c r="F143" s="900">
        <v>0.34</v>
      </c>
      <c r="G143" s="900">
        <v>0.34</v>
      </c>
      <c r="H143" s="900">
        <v>0.34</v>
      </c>
      <c r="I143" s="900">
        <v>0.34</v>
      </c>
      <c r="J143" s="440" t="s">
        <v>3096</v>
      </c>
      <c r="K143" s="441" t="s">
        <v>3052</v>
      </c>
      <c r="L143" s="441" t="s">
        <v>2809</v>
      </c>
      <c r="M143" s="434">
        <v>6781</v>
      </c>
      <c r="N143" s="433">
        <v>1</v>
      </c>
      <c r="O143" s="433">
        <v>1</v>
      </c>
      <c r="P143" s="433">
        <v>1</v>
      </c>
      <c r="Q143" s="433">
        <v>1</v>
      </c>
      <c r="R143" s="522">
        <f t="shared" si="3"/>
        <v>4302</v>
      </c>
      <c r="S143" s="442">
        <v>510</v>
      </c>
      <c r="T143" s="436">
        <v>1146</v>
      </c>
      <c r="U143" s="436">
        <v>1260</v>
      </c>
      <c r="V143" s="436">
        <v>1386</v>
      </c>
      <c r="W143" s="858"/>
    </row>
    <row r="144" spans="1:23" ht="60">
      <c r="A144" s="776"/>
      <c r="B144" s="853"/>
      <c r="C144" s="858"/>
      <c r="D144" s="858"/>
      <c r="E144" s="858"/>
      <c r="F144" s="900"/>
      <c r="G144" s="900"/>
      <c r="H144" s="900"/>
      <c r="I144" s="900"/>
      <c r="J144" s="440" t="s">
        <v>3097</v>
      </c>
      <c r="K144" s="441" t="s">
        <v>3052</v>
      </c>
      <c r="L144" s="441" t="s">
        <v>2809</v>
      </c>
      <c r="M144" s="434">
        <v>23</v>
      </c>
      <c r="N144" s="433" t="s">
        <v>3098</v>
      </c>
      <c r="O144" s="433">
        <v>1</v>
      </c>
      <c r="P144" s="433">
        <v>1</v>
      </c>
      <c r="Q144" s="433">
        <v>1</v>
      </c>
      <c r="R144" s="522">
        <f t="shared" si="3"/>
        <v>4302</v>
      </c>
      <c r="S144" s="442">
        <v>510</v>
      </c>
      <c r="T144" s="436">
        <v>1146</v>
      </c>
      <c r="U144" s="436">
        <v>1260</v>
      </c>
      <c r="V144" s="436">
        <v>1386</v>
      </c>
      <c r="W144" s="858"/>
    </row>
    <row r="145" spans="1:23" ht="60">
      <c r="A145" s="776"/>
      <c r="B145" s="853"/>
      <c r="C145" s="858" t="s">
        <v>399</v>
      </c>
      <c r="D145" s="858" t="s">
        <v>400</v>
      </c>
      <c r="E145" s="887" t="s">
        <v>3099</v>
      </c>
      <c r="F145" s="887" t="s">
        <v>3099</v>
      </c>
      <c r="G145" s="887" t="s">
        <v>3099</v>
      </c>
      <c r="H145" s="887" t="s">
        <v>3099</v>
      </c>
      <c r="I145" s="887" t="s">
        <v>3099</v>
      </c>
      <c r="J145" s="440" t="s">
        <v>3100</v>
      </c>
      <c r="K145" s="441" t="s">
        <v>3052</v>
      </c>
      <c r="L145" s="441" t="s">
        <v>189</v>
      </c>
      <c r="M145" s="434">
        <v>9800</v>
      </c>
      <c r="N145" s="433">
        <v>1</v>
      </c>
      <c r="O145" s="433">
        <v>1</v>
      </c>
      <c r="P145" s="433">
        <v>1</v>
      </c>
      <c r="Q145" s="433">
        <v>1</v>
      </c>
      <c r="R145" s="522">
        <f t="shared" si="3"/>
        <v>113008.35</v>
      </c>
      <c r="S145" s="435">
        <v>24350</v>
      </c>
      <c r="T145" s="436">
        <v>26785</v>
      </c>
      <c r="U145" s="436">
        <v>29463.5</v>
      </c>
      <c r="V145" s="436">
        <v>32409.85</v>
      </c>
      <c r="W145" s="858"/>
    </row>
    <row r="146" spans="1:23" ht="75">
      <c r="A146" s="776"/>
      <c r="B146" s="853"/>
      <c r="C146" s="858"/>
      <c r="D146" s="858"/>
      <c r="E146" s="887"/>
      <c r="F146" s="887"/>
      <c r="G146" s="887"/>
      <c r="H146" s="887"/>
      <c r="I146" s="887"/>
      <c r="J146" s="440" t="s">
        <v>3101</v>
      </c>
      <c r="K146" s="441" t="s">
        <v>3056</v>
      </c>
      <c r="L146" s="441" t="s">
        <v>189</v>
      </c>
      <c r="M146" s="434">
        <v>12</v>
      </c>
      <c r="N146" s="438">
        <v>15</v>
      </c>
      <c r="O146" s="438">
        <v>30</v>
      </c>
      <c r="P146" s="438">
        <v>45</v>
      </c>
      <c r="Q146" s="438">
        <v>60</v>
      </c>
      <c r="R146" s="522">
        <f t="shared" si="3"/>
        <v>13923</v>
      </c>
      <c r="S146" s="435">
        <v>3000</v>
      </c>
      <c r="T146" s="436">
        <v>3300</v>
      </c>
      <c r="U146" s="436">
        <v>3630</v>
      </c>
      <c r="V146" s="436">
        <v>3993</v>
      </c>
      <c r="W146" s="858"/>
    </row>
    <row r="147" spans="1:23" ht="90">
      <c r="A147" s="776"/>
      <c r="B147" s="853"/>
      <c r="C147" s="437" t="s">
        <v>403</v>
      </c>
      <c r="D147" s="437" t="s">
        <v>2362</v>
      </c>
      <c r="E147" s="443">
        <v>0.081</v>
      </c>
      <c r="F147" s="430" t="s">
        <v>3102</v>
      </c>
      <c r="G147" s="430" t="s">
        <v>3102</v>
      </c>
      <c r="H147" s="430" t="s">
        <v>3102</v>
      </c>
      <c r="I147" s="430" t="s">
        <v>3102</v>
      </c>
      <c r="J147" s="431" t="s">
        <v>2363</v>
      </c>
      <c r="K147" s="441" t="s">
        <v>3052</v>
      </c>
      <c r="L147" s="441" t="s">
        <v>189</v>
      </c>
      <c r="M147" s="434">
        <v>11</v>
      </c>
      <c r="N147" s="433">
        <v>1</v>
      </c>
      <c r="O147" s="433">
        <v>1</v>
      </c>
      <c r="P147" s="433">
        <v>1</v>
      </c>
      <c r="Q147" s="433">
        <v>1</v>
      </c>
      <c r="R147" s="522">
        <f t="shared" si="3"/>
        <v>52368</v>
      </c>
      <c r="S147" s="435">
        <v>6118</v>
      </c>
      <c r="T147" s="436">
        <v>14000</v>
      </c>
      <c r="U147" s="436">
        <v>15250</v>
      </c>
      <c r="V147" s="436">
        <v>17000</v>
      </c>
      <c r="W147" s="858"/>
    </row>
    <row r="148" spans="1:23" ht="60">
      <c r="A148" s="776"/>
      <c r="B148" s="853"/>
      <c r="C148" s="437" t="s">
        <v>2365</v>
      </c>
      <c r="D148" s="437" t="s">
        <v>2366</v>
      </c>
      <c r="E148" s="443">
        <v>0.075</v>
      </c>
      <c r="F148" s="430" t="s">
        <v>3102</v>
      </c>
      <c r="G148" s="430" t="s">
        <v>3102</v>
      </c>
      <c r="H148" s="430" t="s">
        <v>3102</v>
      </c>
      <c r="I148" s="430" t="s">
        <v>3102</v>
      </c>
      <c r="J148" s="431" t="s">
        <v>3103</v>
      </c>
      <c r="K148" s="441" t="s">
        <v>3052</v>
      </c>
      <c r="L148" s="441" t="s">
        <v>189</v>
      </c>
      <c r="M148" s="434">
        <v>23</v>
      </c>
      <c r="N148" s="433">
        <v>1</v>
      </c>
      <c r="O148" s="433">
        <v>1</v>
      </c>
      <c r="P148" s="433">
        <v>1</v>
      </c>
      <c r="Q148" s="433">
        <v>1</v>
      </c>
      <c r="R148" s="522">
        <f t="shared" si="3"/>
        <v>50893</v>
      </c>
      <c r="S148" s="435">
        <v>6118</v>
      </c>
      <c r="T148" s="436">
        <v>13500</v>
      </c>
      <c r="U148" s="436">
        <v>15000</v>
      </c>
      <c r="V148" s="436">
        <v>16275</v>
      </c>
      <c r="W148" s="858"/>
    </row>
    <row r="149" spans="1:23" ht="90">
      <c r="A149" s="776"/>
      <c r="B149" s="853"/>
      <c r="C149" s="858" t="s">
        <v>1354</v>
      </c>
      <c r="D149" s="858" t="s">
        <v>1355</v>
      </c>
      <c r="E149" s="858" t="s">
        <v>3104</v>
      </c>
      <c r="F149" s="899" t="s">
        <v>3105</v>
      </c>
      <c r="G149" s="899" t="s">
        <v>3105</v>
      </c>
      <c r="H149" s="899" t="s">
        <v>3105</v>
      </c>
      <c r="I149" s="899" t="s">
        <v>3105</v>
      </c>
      <c r="J149" s="431" t="s">
        <v>3106</v>
      </c>
      <c r="K149" s="441" t="s">
        <v>3052</v>
      </c>
      <c r="L149" s="441" t="s">
        <v>2809</v>
      </c>
      <c r="M149" s="434">
        <v>145567</v>
      </c>
      <c r="N149" s="433">
        <v>1</v>
      </c>
      <c r="O149" s="433">
        <v>1</v>
      </c>
      <c r="P149" s="433">
        <v>1</v>
      </c>
      <c r="Q149" s="433">
        <v>1</v>
      </c>
      <c r="R149" s="522">
        <f t="shared" si="3"/>
        <v>156703.365</v>
      </c>
      <c r="S149" s="435">
        <v>33765</v>
      </c>
      <c r="T149" s="436">
        <v>37141.5</v>
      </c>
      <c r="U149" s="436">
        <v>40855.65</v>
      </c>
      <c r="V149" s="436">
        <v>44941.215000000004</v>
      </c>
      <c r="W149" s="858"/>
    </row>
    <row r="150" spans="1:23" ht="45">
      <c r="A150" s="776"/>
      <c r="B150" s="853"/>
      <c r="C150" s="858"/>
      <c r="D150" s="858"/>
      <c r="E150" s="858"/>
      <c r="F150" s="899"/>
      <c r="G150" s="899"/>
      <c r="H150" s="899"/>
      <c r="I150" s="899"/>
      <c r="J150" s="431" t="s">
        <v>3107</v>
      </c>
      <c r="K150" s="441" t="s">
        <v>3052</v>
      </c>
      <c r="L150" s="441" t="s">
        <v>2809</v>
      </c>
      <c r="M150" s="434">
        <v>27</v>
      </c>
      <c r="N150" s="433">
        <v>1</v>
      </c>
      <c r="O150" s="433">
        <v>1</v>
      </c>
      <c r="P150" s="433">
        <v>1</v>
      </c>
      <c r="Q150" s="433">
        <v>1</v>
      </c>
      <c r="R150" s="522">
        <f t="shared" si="3"/>
        <v>34420.770000000004</v>
      </c>
      <c r="S150" s="435">
        <v>4078</v>
      </c>
      <c r="T150" s="444">
        <v>9167</v>
      </c>
      <c r="U150" s="436">
        <v>10083.7</v>
      </c>
      <c r="V150" s="436">
        <v>11092.070000000002</v>
      </c>
      <c r="W150" s="858"/>
    </row>
    <row r="151" spans="1:23" ht="90">
      <c r="A151" s="776"/>
      <c r="B151" s="853"/>
      <c r="C151" s="858" t="s">
        <v>1359</v>
      </c>
      <c r="D151" s="858" t="s">
        <v>1360</v>
      </c>
      <c r="E151" s="901">
        <v>271.1</v>
      </c>
      <c r="F151" s="899" t="s">
        <v>3108</v>
      </c>
      <c r="G151" s="899" t="s">
        <v>3108</v>
      </c>
      <c r="H151" s="899" t="s">
        <v>3108</v>
      </c>
      <c r="I151" s="899" t="s">
        <v>3108</v>
      </c>
      <c r="J151" s="431" t="s">
        <v>3109</v>
      </c>
      <c r="K151" s="441" t="s">
        <v>3052</v>
      </c>
      <c r="L151" s="441" t="s">
        <v>2809</v>
      </c>
      <c r="M151" s="434">
        <v>441333</v>
      </c>
      <c r="N151" s="433">
        <v>1</v>
      </c>
      <c r="O151" s="433">
        <v>1</v>
      </c>
      <c r="P151" s="433">
        <v>1</v>
      </c>
      <c r="Q151" s="433">
        <v>1</v>
      </c>
      <c r="R151" s="522">
        <f t="shared" si="3"/>
        <v>162435</v>
      </c>
      <c r="S151" s="435">
        <v>35000</v>
      </c>
      <c r="T151" s="436">
        <v>38500</v>
      </c>
      <c r="U151" s="436">
        <v>42350</v>
      </c>
      <c r="V151" s="436">
        <v>46585</v>
      </c>
      <c r="W151" s="858"/>
    </row>
    <row r="152" spans="1:23" ht="45">
      <c r="A152" s="776"/>
      <c r="B152" s="853"/>
      <c r="C152" s="858"/>
      <c r="D152" s="858"/>
      <c r="E152" s="901"/>
      <c r="F152" s="899"/>
      <c r="G152" s="899"/>
      <c r="H152" s="899"/>
      <c r="I152" s="899"/>
      <c r="J152" s="431" t="s">
        <v>1364</v>
      </c>
      <c r="K152" s="441" t="s">
        <v>3052</v>
      </c>
      <c r="L152" s="441" t="s">
        <v>2809</v>
      </c>
      <c r="M152" s="434">
        <v>36</v>
      </c>
      <c r="N152" s="433">
        <v>1</v>
      </c>
      <c r="O152" s="433">
        <v>1</v>
      </c>
      <c r="P152" s="433">
        <v>1</v>
      </c>
      <c r="Q152" s="433">
        <v>1</v>
      </c>
      <c r="R152" s="522">
        <f t="shared" si="3"/>
        <v>35838</v>
      </c>
      <c r="S152" s="435">
        <v>4156</v>
      </c>
      <c r="T152" s="436">
        <v>9333</v>
      </c>
      <c r="U152" s="436">
        <v>10166</v>
      </c>
      <c r="V152" s="436">
        <v>12183</v>
      </c>
      <c r="W152" s="858"/>
    </row>
    <row r="153" spans="1:23" ht="60">
      <c r="A153" s="776"/>
      <c r="B153" s="853"/>
      <c r="C153" s="437" t="s">
        <v>1362</v>
      </c>
      <c r="D153" s="437" t="s">
        <v>1363</v>
      </c>
      <c r="E153" s="437" t="s">
        <v>394</v>
      </c>
      <c r="F153" s="445">
        <v>0.885</v>
      </c>
      <c r="G153" s="445">
        <v>0.885</v>
      </c>
      <c r="H153" s="445">
        <v>0.885</v>
      </c>
      <c r="I153" s="445">
        <v>0.885</v>
      </c>
      <c r="J153" s="440" t="s">
        <v>3110</v>
      </c>
      <c r="K153" s="441" t="s">
        <v>3052</v>
      </c>
      <c r="L153" s="441" t="s">
        <v>189</v>
      </c>
      <c r="M153" s="434">
        <v>18</v>
      </c>
      <c r="N153" s="433" t="s">
        <v>3098</v>
      </c>
      <c r="O153" s="433">
        <v>1</v>
      </c>
      <c r="P153" s="433">
        <v>1</v>
      </c>
      <c r="Q153" s="433">
        <v>1</v>
      </c>
      <c r="R153" s="522">
        <f t="shared" si="3"/>
        <v>33000</v>
      </c>
      <c r="S153" s="435">
        <v>4000</v>
      </c>
      <c r="T153" s="436">
        <v>9000</v>
      </c>
      <c r="U153" s="436">
        <v>10000</v>
      </c>
      <c r="V153" s="436">
        <v>10000</v>
      </c>
      <c r="W153" s="858"/>
    </row>
    <row r="154" spans="1:23" ht="75">
      <c r="A154" s="776"/>
      <c r="B154" s="853"/>
      <c r="C154" s="858" t="s">
        <v>1366</v>
      </c>
      <c r="D154" s="858" t="s">
        <v>1367</v>
      </c>
      <c r="E154" s="888">
        <v>0.8</v>
      </c>
      <c r="F154" s="899" t="s">
        <v>3071</v>
      </c>
      <c r="G154" s="899" t="s">
        <v>3071</v>
      </c>
      <c r="H154" s="899" t="s">
        <v>3071</v>
      </c>
      <c r="I154" s="899" t="s">
        <v>3071</v>
      </c>
      <c r="J154" s="431" t="s">
        <v>3111</v>
      </c>
      <c r="K154" s="441" t="s">
        <v>3052</v>
      </c>
      <c r="L154" s="441" t="s">
        <v>189</v>
      </c>
      <c r="M154" s="434">
        <v>23</v>
      </c>
      <c r="N154" s="433">
        <v>1</v>
      </c>
      <c r="O154" s="433">
        <v>1</v>
      </c>
      <c r="P154" s="433">
        <v>1</v>
      </c>
      <c r="Q154" s="433">
        <v>1</v>
      </c>
      <c r="R154" s="522">
        <f t="shared" si="3"/>
        <v>17208.73</v>
      </c>
      <c r="S154" s="442">
        <v>2039</v>
      </c>
      <c r="T154" s="436">
        <v>4583</v>
      </c>
      <c r="U154" s="436">
        <v>5041.3</v>
      </c>
      <c r="V154" s="436">
        <v>5545.43</v>
      </c>
      <c r="W154" s="858"/>
    </row>
    <row r="155" spans="1:23" ht="60">
      <c r="A155" s="776"/>
      <c r="B155" s="853"/>
      <c r="C155" s="858"/>
      <c r="D155" s="858"/>
      <c r="E155" s="888"/>
      <c r="F155" s="899"/>
      <c r="G155" s="899"/>
      <c r="H155" s="899"/>
      <c r="I155" s="899"/>
      <c r="J155" s="440" t="s">
        <v>3097</v>
      </c>
      <c r="K155" s="441" t="s">
        <v>3052</v>
      </c>
      <c r="L155" s="441" t="s">
        <v>189</v>
      </c>
      <c r="M155" s="434">
        <v>23</v>
      </c>
      <c r="N155" s="433" t="s">
        <v>3098</v>
      </c>
      <c r="O155" s="433">
        <v>1</v>
      </c>
      <c r="P155" s="433">
        <v>1</v>
      </c>
      <c r="Q155" s="433">
        <v>1</v>
      </c>
      <c r="R155" s="522">
        <f t="shared" si="3"/>
        <v>0</v>
      </c>
      <c r="S155" s="442">
        <v>0</v>
      </c>
      <c r="T155" s="436">
        <v>0</v>
      </c>
      <c r="U155" s="436">
        <v>0</v>
      </c>
      <c r="V155" s="436">
        <v>0</v>
      </c>
      <c r="W155" s="858"/>
    </row>
    <row r="156" spans="1:23" ht="60">
      <c r="A156" s="776"/>
      <c r="B156" s="853"/>
      <c r="C156" s="858" t="s">
        <v>1372</v>
      </c>
      <c r="D156" s="858" t="s">
        <v>1373</v>
      </c>
      <c r="E156" s="858" t="s">
        <v>3112</v>
      </c>
      <c r="F156" s="899" t="s">
        <v>3113</v>
      </c>
      <c r="G156" s="899" t="s">
        <v>3113</v>
      </c>
      <c r="H156" s="899" t="s">
        <v>3113</v>
      </c>
      <c r="I156" s="899" t="s">
        <v>3113</v>
      </c>
      <c r="J156" s="440" t="s">
        <v>3114</v>
      </c>
      <c r="K156" s="441" t="s">
        <v>3052</v>
      </c>
      <c r="L156" s="441" t="s">
        <v>2809</v>
      </c>
      <c r="M156" s="434">
        <v>5424</v>
      </c>
      <c r="N156" s="433">
        <v>1</v>
      </c>
      <c r="O156" s="433">
        <v>1</v>
      </c>
      <c r="P156" s="433">
        <v>1</v>
      </c>
      <c r="Q156" s="433">
        <v>1</v>
      </c>
      <c r="R156" s="522">
        <f t="shared" si="3"/>
        <v>0</v>
      </c>
      <c r="S156" s="442">
        <v>0</v>
      </c>
      <c r="T156" s="436">
        <v>0</v>
      </c>
      <c r="U156" s="436">
        <v>0</v>
      </c>
      <c r="V156" s="436">
        <v>0</v>
      </c>
      <c r="W156" s="858"/>
    </row>
    <row r="157" spans="1:23" ht="45">
      <c r="A157" s="776"/>
      <c r="B157" s="853"/>
      <c r="C157" s="858"/>
      <c r="D157" s="858"/>
      <c r="E157" s="858"/>
      <c r="F157" s="899"/>
      <c r="G157" s="899"/>
      <c r="H157" s="899"/>
      <c r="I157" s="899"/>
      <c r="J157" s="440" t="s">
        <v>3115</v>
      </c>
      <c r="K157" s="441" t="s">
        <v>3052</v>
      </c>
      <c r="L157" s="441" t="s">
        <v>2809</v>
      </c>
      <c r="M157" s="434">
        <v>1</v>
      </c>
      <c r="N157" s="433">
        <v>1</v>
      </c>
      <c r="O157" s="433">
        <v>1</v>
      </c>
      <c r="P157" s="433">
        <v>1</v>
      </c>
      <c r="Q157" s="433">
        <v>1</v>
      </c>
      <c r="R157" s="522">
        <f t="shared" si="3"/>
        <v>17208.73</v>
      </c>
      <c r="S157" s="435">
        <v>2039</v>
      </c>
      <c r="T157" s="436">
        <v>4583</v>
      </c>
      <c r="U157" s="436">
        <v>5041.3</v>
      </c>
      <c r="V157" s="436">
        <v>5545.43</v>
      </c>
      <c r="W157" s="858"/>
    </row>
    <row r="158" spans="1:23" ht="90">
      <c r="A158" s="776"/>
      <c r="B158" s="853"/>
      <c r="C158" s="437" t="s">
        <v>1377</v>
      </c>
      <c r="D158" s="437" t="s">
        <v>1378</v>
      </c>
      <c r="E158" s="389">
        <v>0.2015</v>
      </c>
      <c r="F158" s="430" t="s">
        <v>3116</v>
      </c>
      <c r="G158" s="430" t="s">
        <v>3116</v>
      </c>
      <c r="H158" s="430" t="s">
        <v>3116</v>
      </c>
      <c r="I158" s="430" t="s">
        <v>3116</v>
      </c>
      <c r="J158" s="430" t="s">
        <v>2427</v>
      </c>
      <c r="K158" s="441" t="s">
        <v>3052</v>
      </c>
      <c r="L158" s="441" t="s">
        <v>2809</v>
      </c>
      <c r="M158" s="434">
        <v>24346</v>
      </c>
      <c r="N158" s="433">
        <v>1</v>
      </c>
      <c r="O158" s="433">
        <v>1</v>
      </c>
      <c r="P158" s="433">
        <v>1</v>
      </c>
      <c r="Q158" s="433">
        <v>1</v>
      </c>
      <c r="R158" s="522">
        <f t="shared" si="3"/>
        <v>211165.5</v>
      </c>
      <c r="S158" s="435">
        <v>45500</v>
      </c>
      <c r="T158" s="436">
        <v>50050</v>
      </c>
      <c r="U158" s="436">
        <v>55055</v>
      </c>
      <c r="V158" s="436">
        <v>60560.5</v>
      </c>
      <c r="W158" s="858"/>
    </row>
    <row r="159" spans="1:23" ht="60">
      <c r="A159" s="776"/>
      <c r="B159" s="853"/>
      <c r="C159" s="858" t="s">
        <v>1381</v>
      </c>
      <c r="D159" s="858" t="s">
        <v>1382</v>
      </c>
      <c r="E159" s="858" t="s">
        <v>2428</v>
      </c>
      <c r="F159" s="899" t="s">
        <v>3071</v>
      </c>
      <c r="G159" s="899" t="s">
        <v>3071</v>
      </c>
      <c r="H159" s="899" t="s">
        <v>3071</v>
      </c>
      <c r="I159" s="899" t="s">
        <v>3071</v>
      </c>
      <c r="J159" s="440" t="s">
        <v>3114</v>
      </c>
      <c r="K159" s="441" t="s">
        <v>3052</v>
      </c>
      <c r="L159" s="441" t="s">
        <v>2809</v>
      </c>
      <c r="M159" s="434">
        <v>5424</v>
      </c>
      <c r="N159" s="433">
        <v>0.8</v>
      </c>
      <c r="O159" s="433">
        <v>0.8</v>
      </c>
      <c r="P159" s="433">
        <v>0.8</v>
      </c>
      <c r="Q159" s="433">
        <v>0.8</v>
      </c>
      <c r="R159" s="522">
        <f t="shared" si="3"/>
        <v>17208.73</v>
      </c>
      <c r="S159" s="435">
        <v>2039</v>
      </c>
      <c r="T159" s="436">
        <v>4583</v>
      </c>
      <c r="U159" s="436">
        <v>5041.3</v>
      </c>
      <c r="V159" s="436">
        <v>5545.43</v>
      </c>
      <c r="W159" s="858"/>
    </row>
    <row r="160" spans="1:23" ht="60">
      <c r="A160" s="776"/>
      <c r="B160" s="853"/>
      <c r="C160" s="858"/>
      <c r="D160" s="858"/>
      <c r="E160" s="858"/>
      <c r="F160" s="899"/>
      <c r="G160" s="899"/>
      <c r="H160" s="899"/>
      <c r="I160" s="899"/>
      <c r="J160" s="440" t="s">
        <v>2429</v>
      </c>
      <c r="K160" s="441" t="s">
        <v>3052</v>
      </c>
      <c r="L160" s="441" t="s">
        <v>2809</v>
      </c>
      <c r="M160" s="434">
        <v>19</v>
      </c>
      <c r="N160" s="433">
        <v>1</v>
      </c>
      <c r="O160" s="433">
        <v>1</v>
      </c>
      <c r="P160" s="433">
        <v>1</v>
      </c>
      <c r="Q160" s="433">
        <v>1</v>
      </c>
      <c r="R160" s="522">
        <f t="shared" si="3"/>
        <v>17208.73</v>
      </c>
      <c r="S160" s="435">
        <v>2039</v>
      </c>
      <c r="T160" s="436">
        <v>4583</v>
      </c>
      <c r="U160" s="436">
        <v>5041.3</v>
      </c>
      <c r="V160" s="436">
        <v>5545.43</v>
      </c>
      <c r="W160" s="858"/>
    </row>
    <row r="161" spans="1:23" ht="60">
      <c r="A161" s="776"/>
      <c r="B161" s="853"/>
      <c r="C161" s="858" t="s">
        <v>1385</v>
      </c>
      <c r="D161" s="858" t="s">
        <v>1386</v>
      </c>
      <c r="E161" s="858" t="s">
        <v>2430</v>
      </c>
      <c r="F161" s="899" t="s">
        <v>2431</v>
      </c>
      <c r="G161" s="899" t="s">
        <v>2431</v>
      </c>
      <c r="H161" s="899" t="s">
        <v>2431</v>
      </c>
      <c r="I161" s="899" t="s">
        <v>2431</v>
      </c>
      <c r="J161" s="440" t="s">
        <v>3114</v>
      </c>
      <c r="K161" s="441" t="s">
        <v>3052</v>
      </c>
      <c r="L161" s="441" t="s">
        <v>2809</v>
      </c>
      <c r="M161" s="434">
        <v>5424</v>
      </c>
      <c r="N161" s="433">
        <v>0.8</v>
      </c>
      <c r="O161" s="433">
        <v>0.8</v>
      </c>
      <c r="P161" s="433">
        <v>0.8</v>
      </c>
      <c r="Q161" s="433">
        <v>0.8</v>
      </c>
      <c r="R161" s="522">
        <f t="shared" si="3"/>
        <v>17208.73</v>
      </c>
      <c r="S161" s="435">
        <v>2039</v>
      </c>
      <c r="T161" s="436">
        <v>4583</v>
      </c>
      <c r="U161" s="436">
        <v>5041.3</v>
      </c>
      <c r="V161" s="436">
        <v>5545.43</v>
      </c>
      <c r="W161" s="858"/>
    </row>
    <row r="162" spans="1:23" ht="60">
      <c r="A162" s="776"/>
      <c r="B162" s="853"/>
      <c r="C162" s="858"/>
      <c r="D162" s="858"/>
      <c r="E162" s="858"/>
      <c r="F162" s="899"/>
      <c r="G162" s="899"/>
      <c r="H162" s="899"/>
      <c r="I162" s="899"/>
      <c r="J162" s="440" t="s">
        <v>2429</v>
      </c>
      <c r="K162" s="441" t="s">
        <v>3052</v>
      </c>
      <c r="L162" s="441" t="s">
        <v>2809</v>
      </c>
      <c r="M162" s="434">
        <v>19</v>
      </c>
      <c r="N162" s="433">
        <v>1</v>
      </c>
      <c r="O162" s="433">
        <v>1</v>
      </c>
      <c r="P162" s="433">
        <v>1</v>
      </c>
      <c r="Q162" s="433">
        <v>1</v>
      </c>
      <c r="R162" s="522">
        <f t="shared" si="3"/>
        <v>103260</v>
      </c>
      <c r="S162" s="435">
        <v>12235</v>
      </c>
      <c r="T162" s="436">
        <v>27500</v>
      </c>
      <c r="U162" s="436">
        <v>30250</v>
      </c>
      <c r="V162" s="436">
        <v>33275</v>
      </c>
      <c r="W162" s="858"/>
    </row>
    <row r="163" spans="1:23" ht="63">
      <c r="A163" s="859" t="s">
        <v>464</v>
      </c>
      <c r="B163" s="855">
        <v>0.015</v>
      </c>
      <c r="C163" s="421" t="s">
        <v>465</v>
      </c>
      <c r="D163" s="421" t="s">
        <v>240</v>
      </c>
      <c r="E163" s="427" t="s">
        <v>2432</v>
      </c>
      <c r="F163" s="446">
        <v>0.85</v>
      </c>
      <c r="G163" s="446">
        <v>0.85</v>
      </c>
      <c r="H163" s="446">
        <v>0.85</v>
      </c>
      <c r="I163" s="446">
        <v>0.85</v>
      </c>
      <c r="J163" s="447" t="s">
        <v>2433</v>
      </c>
      <c r="K163" s="447" t="s">
        <v>2434</v>
      </c>
      <c r="L163" s="447" t="s">
        <v>189</v>
      </c>
      <c r="M163" s="448">
        <v>260</v>
      </c>
      <c r="N163" s="449">
        <v>0.8</v>
      </c>
      <c r="O163" s="449">
        <v>0.8</v>
      </c>
      <c r="P163" s="449">
        <v>0.8</v>
      </c>
      <c r="Q163" s="449">
        <v>0.8</v>
      </c>
      <c r="R163" s="522">
        <f t="shared" si="3"/>
        <v>54578.16</v>
      </c>
      <c r="S163" s="450">
        <v>11760</v>
      </c>
      <c r="T163" s="451">
        <v>12936</v>
      </c>
      <c r="U163" s="451">
        <v>14229.6</v>
      </c>
      <c r="V163" s="451">
        <v>15652.560000000001</v>
      </c>
      <c r="W163" s="865" t="s">
        <v>1935</v>
      </c>
    </row>
    <row r="164" spans="1:23" ht="90">
      <c r="A164" s="860"/>
      <c r="B164" s="855"/>
      <c r="C164" s="426" t="s">
        <v>474</v>
      </c>
      <c r="D164" s="426" t="s">
        <v>475</v>
      </c>
      <c r="E164" s="421" t="s">
        <v>476</v>
      </c>
      <c r="F164" s="446" t="s">
        <v>2435</v>
      </c>
      <c r="G164" s="446" t="s">
        <v>2435</v>
      </c>
      <c r="H164" s="446" t="s">
        <v>2435</v>
      </c>
      <c r="I164" s="446" t="s">
        <v>2435</v>
      </c>
      <c r="J164" s="452" t="s">
        <v>2436</v>
      </c>
      <c r="K164" s="447" t="s">
        <v>3056</v>
      </c>
      <c r="L164" s="447" t="s">
        <v>2809</v>
      </c>
      <c r="M164" s="448">
        <v>2</v>
      </c>
      <c r="N164" s="453">
        <v>1</v>
      </c>
      <c r="O164" s="453">
        <v>1</v>
      </c>
      <c r="P164" s="453">
        <v>1</v>
      </c>
      <c r="Q164" s="453">
        <v>1</v>
      </c>
      <c r="R164" s="522">
        <f t="shared" si="3"/>
        <v>68222.7</v>
      </c>
      <c r="S164" s="450">
        <v>14700</v>
      </c>
      <c r="T164" s="451">
        <v>16170</v>
      </c>
      <c r="U164" s="451">
        <v>17787</v>
      </c>
      <c r="V164" s="451">
        <v>19565.7</v>
      </c>
      <c r="W164" s="865"/>
    </row>
    <row r="165" spans="1:23" ht="60">
      <c r="A165" s="860"/>
      <c r="B165" s="855"/>
      <c r="C165" s="421" t="s">
        <v>477</v>
      </c>
      <c r="D165" s="421" t="s">
        <v>478</v>
      </c>
      <c r="E165" s="421" t="s">
        <v>2437</v>
      </c>
      <c r="F165" s="452" t="s">
        <v>2438</v>
      </c>
      <c r="G165" s="452" t="s">
        <v>2438</v>
      </c>
      <c r="H165" s="452" t="s">
        <v>2438</v>
      </c>
      <c r="I165" s="452" t="s">
        <v>2438</v>
      </c>
      <c r="J165" s="447" t="s">
        <v>2439</v>
      </c>
      <c r="K165" s="447" t="s">
        <v>2434</v>
      </c>
      <c r="L165" s="447" t="s">
        <v>2809</v>
      </c>
      <c r="M165" s="448">
        <v>23</v>
      </c>
      <c r="N165" s="453">
        <v>1</v>
      </c>
      <c r="O165" s="453">
        <v>1</v>
      </c>
      <c r="P165" s="453">
        <v>1</v>
      </c>
      <c r="Q165" s="453">
        <v>1</v>
      </c>
      <c r="R165" s="522">
        <f t="shared" si="3"/>
        <v>18951</v>
      </c>
      <c r="S165" s="450">
        <v>4083</v>
      </c>
      <c r="T165" s="451">
        <v>4492</v>
      </c>
      <c r="U165" s="451">
        <v>4941</v>
      </c>
      <c r="V165" s="451">
        <v>5435</v>
      </c>
      <c r="W165" s="865"/>
    </row>
    <row r="166" spans="1:23" ht="90">
      <c r="A166" s="860"/>
      <c r="B166" s="855"/>
      <c r="C166" s="421" t="s">
        <v>477</v>
      </c>
      <c r="D166" s="421" t="s">
        <v>478</v>
      </c>
      <c r="E166" s="421" t="s">
        <v>2437</v>
      </c>
      <c r="F166" s="452" t="s">
        <v>2438</v>
      </c>
      <c r="G166" s="452" t="s">
        <v>2438</v>
      </c>
      <c r="H166" s="452" t="s">
        <v>2438</v>
      </c>
      <c r="I166" s="452" t="s">
        <v>2438</v>
      </c>
      <c r="J166" s="452" t="s">
        <v>1738</v>
      </c>
      <c r="K166" s="447" t="s">
        <v>3052</v>
      </c>
      <c r="L166" s="447" t="s">
        <v>2809</v>
      </c>
      <c r="M166" s="448">
        <v>36</v>
      </c>
      <c r="N166" s="453">
        <v>1</v>
      </c>
      <c r="O166" s="453">
        <v>1</v>
      </c>
      <c r="P166" s="453">
        <v>1</v>
      </c>
      <c r="Q166" s="453">
        <v>1</v>
      </c>
      <c r="R166" s="522">
        <f t="shared" si="3"/>
        <v>18951</v>
      </c>
      <c r="S166" s="450">
        <v>4083</v>
      </c>
      <c r="T166" s="451">
        <v>4492</v>
      </c>
      <c r="U166" s="451">
        <v>4941</v>
      </c>
      <c r="V166" s="451">
        <v>5435</v>
      </c>
      <c r="W166" s="865"/>
    </row>
    <row r="167" spans="1:23" ht="90">
      <c r="A167" s="860"/>
      <c r="B167" s="855"/>
      <c r="C167" s="864" t="s">
        <v>469</v>
      </c>
      <c r="D167" s="864" t="s">
        <v>470</v>
      </c>
      <c r="E167" s="864" t="s">
        <v>471</v>
      </c>
      <c r="F167" s="903" t="s">
        <v>1739</v>
      </c>
      <c r="G167" s="903" t="s">
        <v>1739</v>
      </c>
      <c r="H167" s="903" t="s">
        <v>1739</v>
      </c>
      <c r="I167" s="903" t="s">
        <v>1739</v>
      </c>
      <c r="J167" s="454" t="s">
        <v>1740</v>
      </c>
      <c r="K167" s="455" t="s">
        <v>3052</v>
      </c>
      <c r="L167" s="447" t="s">
        <v>2809</v>
      </c>
      <c r="M167" s="451">
        <v>40</v>
      </c>
      <c r="N167" s="456">
        <v>1</v>
      </c>
      <c r="O167" s="456">
        <v>1</v>
      </c>
      <c r="P167" s="456">
        <v>1</v>
      </c>
      <c r="Q167" s="456">
        <v>1</v>
      </c>
      <c r="R167" s="522">
        <f t="shared" si="3"/>
        <v>18951</v>
      </c>
      <c r="S167" s="450">
        <v>4083</v>
      </c>
      <c r="T167" s="451">
        <v>4492</v>
      </c>
      <c r="U167" s="451">
        <v>4941</v>
      </c>
      <c r="V167" s="451">
        <v>5435</v>
      </c>
      <c r="W167" s="865"/>
    </row>
    <row r="168" spans="1:23" ht="105">
      <c r="A168" s="860"/>
      <c r="B168" s="855"/>
      <c r="C168" s="864"/>
      <c r="D168" s="864"/>
      <c r="E168" s="864"/>
      <c r="F168" s="903"/>
      <c r="G168" s="903"/>
      <c r="H168" s="903"/>
      <c r="I168" s="903"/>
      <c r="J168" s="455" t="s">
        <v>1741</v>
      </c>
      <c r="K168" s="455" t="s">
        <v>3056</v>
      </c>
      <c r="L168" s="447" t="s">
        <v>2809</v>
      </c>
      <c r="M168" s="451" t="s">
        <v>2978</v>
      </c>
      <c r="N168" s="451">
        <v>15</v>
      </c>
      <c r="O168" s="451">
        <v>15</v>
      </c>
      <c r="P168" s="451">
        <v>15</v>
      </c>
      <c r="Q168" s="451">
        <v>15</v>
      </c>
      <c r="R168" s="522">
        <f t="shared" si="3"/>
        <v>113704.5</v>
      </c>
      <c r="S168" s="450">
        <v>24500</v>
      </c>
      <c r="T168" s="451">
        <v>26950</v>
      </c>
      <c r="U168" s="451">
        <v>29645</v>
      </c>
      <c r="V168" s="451">
        <v>32609.5</v>
      </c>
      <c r="W168" s="865"/>
    </row>
    <row r="169" spans="1:23" ht="45">
      <c r="A169" s="860"/>
      <c r="B169" s="855"/>
      <c r="C169" s="864"/>
      <c r="D169" s="864"/>
      <c r="E169" s="864"/>
      <c r="F169" s="903"/>
      <c r="G169" s="903"/>
      <c r="H169" s="903"/>
      <c r="I169" s="903"/>
      <c r="J169" s="447" t="s">
        <v>1742</v>
      </c>
      <c r="K169" s="447" t="s">
        <v>2434</v>
      </c>
      <c r="L169" s="447" t="s">
        <v>2809</v>
      </c>
      <c r="M169" s="448">
        <v>23</v>
      </c>
      <c r="N169" s="453">
        <v>1</v>
      </c>
      <c r="O169" s="453">
        <v>1</v>
      </c>
      <c r="P169" s="453">
        <v>1</v>
      </c>
      <c r="Q169" s="453">
        <v>1</v>
      </c>
      <c r="R169" s="522">
        <f t="shared" si="3"/>
        <v>18951</v>
      </c>
      <c r="S169" s="450">
        <v>4083</v>
      </c>
      <c r="T169" s="451">
        <v>4492</v>
      </c>
      <c r="U169" s="451">
        <v>4941</v>
      </c>
      <c r="V169" s="451">
        <v>5435</v>
      </c>
      <c r="W169" s="865"/>
    </row>
    <row r="170" spans="1:23" ht="90">
      <c r="A170" s="860"/>
      <c r="B170" s="855"/>
      <c r="C170" s="864"/>
      <c r="D170" s="864"/>
      <c r="E170" s="864"/>
      <c r="F170" s="903"/>
      <c r="G170" s="903"/>
      <c r="H170" s="903"/>
      <c r="I170" s="903"/>
      <c r="J170" s="452" t="s">
        <v>1743</v>
      </c>
      <c r="K170" s="447" t="s">
        <v>3052</v>
      </c>
      <c r="L170" s="447" t="s">
        <v>2809</v>
      </c>
      <c r="M170" s="448">
        <v>36</v>
      </c>
      <c r="N170" s="453">
        <v>1</v>
      </c>
      <c r="O170" s="453">
        <v>1</v>
      </c>
      <c r="P170" s="453">
        <v>1</v>
      </c>
      <c r="Q170" s="453">
        <v>1</v>
      </c>
      <c r="R170" s="522">
        <f t="shared" si="3"/>
        <v>18951</v>
      </c>
      <c r="S170" s="450">
        <v>4083</v>
      </c>
      <c r="T170" s="451">
        <v>4492</v>
      </c>
      <c r="U170" s="451">
        <v>4941</v>
      </c>
      <c r="V170" s="451">
        <v>5435</v>
      </c>
      <c r="W170" s="865"/>
    </row>
    <row r="171" spans="1:23" ht="105">
      <c r="A171" s="860"/>
      <c r="B171" s="855"/>
      <c r="C171" s="864"/>
      <c r="D171" s="864"/>
      <c r="E171" s="864"/>
      <c r="F171" s="903"/>
      <c r="G171" s="903"/>
      <c r="H171" s="903"/>
      <c r="I171" s="903"/>
      <c r="J171" s="447" t="s">
        <v>1744</v>
      </c>
      <c r="K171" s="447" t="s">
        <v>3056</v>
      </c>
      <c r="L171" s="447" t="s">
        <v>2809</v>
      </c>
      <c r="M171" s="448" t="s">
        <v>1745</v>
      </c>
      <c r="N171" s="448">
        <v>15</v>
      </c>
      <c r="O171" s="448">
        <v>15</v>
      </c>
      <c r="P171" s="448">
        <v>15</v>
      </c>
      <c r="Q171" s="448">
        <v>15</v>
      </c>
      <c r="R171" s="522">
        <f t="shared" si="3"/>
        <v>18951</v>
      </c>
      <c r="S171" s="451">
        <v>4083</v>
      </c>
      <c r="T171" s="451">
        <v>4492</v>
      </c>
      <c r="U171" s="451">
        <v>4941</v>
      </c>
      <c r="V171" s="451">
        <v>5435</v>
      </c>
      <c r="W171" s="865"/>
    </row>
    <row r="172" spans="1:23" ht="30">
      <c r="A172" s="861"/>
      <c r="B172" s="855"/>
      <c r="C172" s="864"/>
      <c r="D172" s="864"/>
      <c r="E172" s="864"/>
      <c r="F172" s="903"/>
      <c r="G172" s="903"/>
      <c r="H172" s="903"/>
      <c r="I172" s="903"/>
      <c r="J172" s="447" t="s">
        <v>1746</v>
      </c>
      <c r="K172" s="447" t="s">
        <v>2434</v>
      </c>
      <c r="L172" s="447" t="s">
        <v>2809</v>
      </c>
      <c r="M172" s="448">
        <v>6</v>
      </c>
      <c r="N172" s="453">
        <v>1</v>
      </c>
      <c r="O172" s="453">
        <v>1</v>
      </c>
      <c r="P172" s="453">
        <v>1</v>
      </c>
      <c r="Q172" s="453">
        <v>1</v>
      </c>
      <c r="R172" s="522">
        <f t="shared" si="3"/>
        <v>468741</v>
      </c>
      <c r="S172" s="451">
        <v>101000</v>
      </c>
      <c r="T172" s="451">
        <v>111100</v>
      </c>
      <c r="U172" s="451">
        <v>122210</v>
      </c>
      <c r="V172" s="451">
        <v>134431</v>
      </c>
      <c r="W172" s="865"/>
    </row>
    <row r="173" spans="1:23" ht="120">
      <c r="A173" s="866" t="s">
        <v>484</v>
      </c>
      <c r="B173" s="855">
        <v>0.015</v>
      </c>
      <c r="C173" s="904" t="s">
        <v>485</v>
      </c>
      <c r="D173" s="856" t="s">
        <v>1747</v>
      </c>
      <c r="E173" s="864" t="s">
        <v>1748</v>
      </c>
      <c r="F173" s="864" t="s">
        <v>1749</v>
      </c>
      <c r="G173" s="864" t="s">
        <v>1749</v>
      </c>
      <c r="H173" s="864" t="s">
        <v>1749</v>
      </c>
      <c r="I173" s="864" t="s">
        <v>1749</v>
      </c>
      <c r="J173" s="421" t="s">
        <v>1750</v>
      </c>
      <c r="K173" s="408" t="s">
        <v>3052</v>
      </c>
      <c r="L173" s="447" t="s">
        <v>2809</v>
      </c>
      <c r="M173" s="422">
        <v>36</v>
      </c>
      <c r="N173" s="457">
        <v>1</v>
      </c>
      <c r="O173" s="457">
        <v>1</v>
      </c>
      <c r="P173" s="457">
        <v>1</v>
      </c>
      <c r="Q173" s="457">
        <v>1</v>
      </c>
      <c r="R173" s="522">
        <f t="shared" si="3"/>
        <v>72520</v>
      </c>
      <c r="S173" s="459">
        <f>35510/3</f>
        <v>11836.666666666666</v>
      </c>
      <c r="T173" s="458">
        <f>55000/3</f>
        <v>18333.333333333332</v>
      </c>
      <c r="U173" s="458">
        <f>60500/3</f>
        <v>20166.666666666668</v>
      </c>
      <c r="V173" s="458">
        <f>66550/3</f>
        <v>22183.333333333332</v>
      </c>
      <c r="W173" s="865" t="s">
        <v>1935</v>
      </c>
    </row>
    <row r="174" spans="1:23" ht="150">
      <c r="A174" s="866"/>
      <c r="B174" s="855"/>
      <c r="C174" s="904"/>
      <c r="D174" s="856"/>
      <c r="E174" s="864"/>
      <c r="F174" s="864"/>
      <c r="G174" s="864"/>
      <c r="H174" s="864"/>
      <c r="I174" s="864"/>
      <c r="J174" s="421" t="s">
        <v>1751</v>
      </c>
      <c r="K174" s="408" t="s">
        <v>3052</v>
      </c>
      <c r="L174" s="447" t="s">
        <v>2809</v>
      </c>
      <c r="M174" s="422">
        <v>2</v>
      </c>
      <c r="N174" s="457">
        <v>1</v>
      </c>
      <c r="O174" s="457">
        <v>1</v>
      </c>
      <c r="P174" s="457">
        <v>1</v>
      </c>
      <c r="Q174" s="457">
        <v>1</v>
      </c>
      <c r="R174" s="522">
        <f aca="true" t="shared" si="4" ref="R174:R200">SUM(S174:V174)</f>
        <v>72520</v>
      </c>
      <c r="S174" s="459">
        <v>11837</v>
      </c>
      <c r="T174" s="458">
        <v>18333</v>
      </c>
      <c r="U174" s="458">
        <v>20167</v>
      </c>
      <c r="V174" s="458">
        <v>22183</v>
      </c>
      <c r="W174" s="865"/>
    </row>
    <row r="175" spans="1:23" ht="120">
      <c r="A175" s="866"/>
      <c r="B175" s="855"/>
      <c r="C175" s="904"/>
      <c r="D175" s="856"/>
      <c r="E175" s="864"/>
      <c r="F175" s="864"/>
      <c r="G175" s="864"/>
      <c r="H175" s="864"/>
      <c r="I175" s="864"/>
      <c r="J175" s="421" t="s">
        <v>2823</v>
      </c>
      <c r="K175" s="408" t="s">
        <v>3056</v>
      </c>
      <c r="L175" s="447" t="s">
        <v>2809</v>
      </c>
      <c r="M175" s="422">
        <v>2</v>
      </c>
      <c r="N175" s="458">
        <v>2</v>
      </c>
      <c r="O175" s="458">
        <v>2</v>
      </c>
      <c r="P175" s="458">
        <v>2</v>
      </c>
      <c r="Q175" s="458">
        <v>2</v>
      </c>
      <c r="R175" s="522">
        <f t="shared" si="4"/>
        <v>72520</v>
      </c>
      <c r="S175" s="459">
        <v>11837</v>
      </c>
      <c r="T175" s="458">
        <v>18333</v>
      </c>
      <c r="U175" s="458">
        <v>20167</v>
      </c>
      <c r="V175" s="458">
        <v>22183</v>
      </c>
      <c r="W175" s="865"/>
    </row>
    <row r="176" spans="1:23" ht="45">
      <c r="A176" s="866"/>
      <c r="B176" s="855"/>
      <c r="C176" s="904"/>
      <c r="D176" s="856"/>
      <c r="E176" s="864"/>
      <c r="F176" s="864"/>
      <c r="G176" s="864"/>
      <c r="H176" s="864"/>
      <c r="I176" s="864"/>
      <c r="J176" s="460" t="s">
        <v>2824</v>
      </c>
      <c r="K176" s="461" t="s">
        <v>3052</v>
      </c>
      <c r="L176" s="447" t="s">
        <v>2809</v>
      </c>
      <c r="M176" s="462">
        <v>23</v>
      </c>
      <c r="N176" s="463">
        <v>1</v>
      </c>
      <c r="O176" s="463">
        <v>1</v>
      </c>
      <c r="P176" s="463">
        <v>1</v>
      </c>
      <c r="Q176" s="463">
        <v>1</v>
      </c>
      <c r="R176" s="522">
        <f t="shared" si="4"/>
        <v>37039.666666666664</v>
      </c>
      <c r="S176" s="464">
        <f>22023/3</f>
        <v>7341</v>
      </c>
      <c r="T176" s="462">
        <f>26917/3</f>
        <v>8972.333333333334</v>
      </c>
      <c r="U176" s="462">
        <f>29609/3</f>
        <v>9869.666666666666</v>
      </c>
      <c r="V176" s="462">
        <f>32570/3</f>
        <v>10856.666666666666</v>
      </c>
      <c r="W176" s="865"/>
    </row>
    <row r="177" spans="1:23" ht="60">
      <c r="A177" s="866"/>
      <c r="B177" s="855"/>
      <c r="C177" s="904"/>
      <c r="D177" s="856"/>
      <c r="E177" s="864"/>
      <c r="F177" s="864"/>
      <c r="G177" s="864"/>
      <c r="H177" s="864"/>
      <c r="I177" s="864"/>
      <c r="J177" s="460" t="s">
        <v>2825</v>
      </c>
      <c r="K177" s="461" t="s">
        <v>3052</v>
      </c>
      <c r="L177" s="447" t="s">
        <v>2809</v>
      </c>
      <c r="M177" s="463">
        <v>0.5</v>
      </c>
      <c r="N177" s="463">
        <v>1</v>
      </c>
      <c r="O177" s="463">
        <v>1</v>
      </c>
      <c r="P177" s="463">
        <v>1</v>
      </c>
      <c r="Q177" s="463">
        <v>1</v>
      </c>
      <c r="R177" s="522">
        <f t="shared" si="4"/>
        <v>37040</v>
      </c>
      <c r="S177" s="464">
        <v>7341</v>
      </c>
      <c r="T177" s="462">
        <v>8972</v>
      </c>
      <c r="U177" s="462">
        <v>9870</v>
      </c>
      <c r="V177" s="462">
        <v>10857</v>
      </c>
      <c r="W177" s="865"/>
    </row>
    <row r="178" spans="1:23" ht="45">
      <c r="A178" s="866"/>
      <c r="B178" s="855"/>
      <c r="C178" s="904"/>
      <c r="D178" s="856"/>
      <c r="E178" s="864"/>
      <c r="F178" s="864"/>
      <c r="G178" s="864"/>
      <c r="H178" s="864"/>
      <c r="I178" s="864"/>
      <c r="J178" s="460" t="s">
        <v>2826</v>
      </c>
      <c r="K178" s="461" t="s">
        <v>3052</v>
      </c>
      <c r="L178" s="447" t="s">
        <v>2809</v>
      </c>
      <c r="M178" s="463">
        <v>1</v>
      </c>
      <c r="N178" s="463">
        <v>1</v>
      </c>
      <c r="O178" s="463">
        <v>1</v>
      </c>
      <c r="P178" s="463">
        <v>1</v>
      </c>
      <c r="Q178" s="463">
        <v>1</v>
      </c>
      <c r="R178" s="522">
        <f t="shared" si="4"/>
        <v>37040</v>
      </c>
      <c r="S178" s="464">
        <v>7341</v>
      </c>
      <c r="T178" s="462">
        <v>8972</v>
      </c>
      <c r="U178" s="462">
        <v>9870</v>
      </c>
      <c r="V178" s="462">
        <v>10857</v>
      </c>
      <c r="W178" s="865"/>
    </row>
    <row r="179" spans="1:23" ht="30">
      <c r="A179" s="866"/>
      <c r="B179" s="855"/>
      <c r="C179" s="904"/>
      <c r="D179" s="856"/>
      <c r="E179" s="864"/>
      <c r="F179" s="864"/>
      <c r="G179" s="864"/>
      <c r="H179" s="864"/>
      <c r="I179" s="864"/>
      <c r="J179" s="465" t="s">
        <v>2827</v>
      </c>
      <c r="K179" s="460" t="s">
        <v>3056</v>
      </c>
      <c r="L179" s="447" t="s">
        <v>189</v>
      </c>
      <c r="M179" s="462">
        <v>20</v>
      </c>
      <c r="N179" s="462">
        <v>3</v>
      </c>
      <c r="O179" s="462">
        <v>9</v>
      </c>
      <c r="P179" s="462">
        <v>18</v>
      </c>
      <c r="Q179" s="462">
        <v>27</v>
      </c>
      <c r="R179" s="522">
        <f t="shared" si="4"/>
        <v>64974</v>
      </c>
      <c r="S179" s="464">
        <v>14000</v>
      </c>
      <c r="T179" s="462">
        <v>15400</v>
      </c>
      <c r="U179" s="462">
        <v>16940</v>
      </c>
      <c r="V179" s="462">
        <v>18634</v>
      </c>
      <c r="W179" s="865" t="s">
        <v>1935</v>
      </c>
    </row>
    <row r="180" spans="1:23" ht="30">
      <c r="A180" s="866"/>
      <c r="B180" s="855"/>
      <c r="C180" s="904"/>
      <c r="D180" s="856"/>
      <c r="E180" s="864"/>
      <c r="F180" s="864"/>
      <c r="G180" s="864"/>
      <c r="H180" s="864"/>
      <c r="I180" s="864"/>
      <c r="J180" s="465" t="s">
        <v>2828</v>
      </c>
      <c r="K180" s="460" t="s">
        <v>2829</v>
      </c>
      <c r="L180" s="447" t="s">
        <v>189</v>
      </c>
      <c r="M180" s="462">
        <v>0</v>
      </c>
      <c r="N180" s="462">
        <v>600</v>
      </c>
      <c r="O180" s="462">
        <v>1200</v>
      </c>
      <c r="P180" s="462">
        <v>1800</v>
      </c>
      <c r="Q180" s="462">
        <v>2400</v>
      </c>
      <c r="R180" s="522">
        <f t="shared" si="4"/>
        <v>46410</v>
      </c>
      <c r="S180" s="464">
        <v>10000</v>
      </c>
      <c r="T180" s="462">
        <v>11000</v>
      </c>
      <c r="U180" s="462">
        <v>12100</v>
      </c>
      <c r="V180" s="462">
        <v>13310</v>
      </c>
      <c r="W180" s="865"/>
    </row>
    <row r="181" spans="1:23" ht="45">
      <c r="A181" s="866"/>
      <c r="B181" s="855"/>
      <c r="C181" s="904"/>
      <c r="D181" s="856"/>
      <c r="E181" s="864"/>
      <c r="F181" s="864"/>
      <c r="G181" s="864"/>
      <c r="H181" s="864"/>
      <c r="I181" s="864"/>
      <c r="J181" s="528" t="s">
        <v>2830</v>
      </c>
      <c r="K181" s="460" t="s">
        <v>2829</v>
      </c>
      <c r="L181" s="447" t="s">
        <v>189</v>
      </c>
      <c r="M181" s="466">
        <v>2</v>
      </c>
      <c r="N181" s="466">
        <v>1</v>
      </c>
      <c r="O181" s="466">
        <v>2</v>
      </c>
      <c r="P181" s="466">
        <v>3</v>
      </c>
      <c r="Q181" s="466">
        <v>4</v>
      </c>
      <c r="R181" s="522">
        <f t="shared" si="4"/>
        <v>125307</v>
      </c>
      <c r="S181" s="464">
        <v>27000</v>
      </c>
      <c r="T181" s="462">
        <v>29700</v>
      </c>
      <c r="U181" s="462">
        <v>32670</v>
      </c>
      <c r="V181" s="462">
        <v>35937</v>
      </c>
      <c r="W181" s="865"/>
    </row>
    <row r="182" spans="1:23" ht="90">
      <c r="A182" s="866"/>
      <c r="B182" s="855"/>
      <c r="C182" s="426" t="s">
        <v>493</v>
      </c>
      <c r="D182" s="408" t="s">
        <v>494</v>
      </c>
      <c r="E182" s="421" t="s">
        <v>495</v>
      </c>
      <c r="F182" s="421" t="s">
        <v>2831</v>
      </c>
      <c r="G182" s="421" t="s">
        <v>2831</v>
      </c>
      <c r="H182" s="421" t="s">
        <v>2831</v>
      </c>
      <c r="I182" s="421" t="s">
        <v>2831</v>
      </c>
      <c r="J182" s="461" t="s">
        <v>2832</v>
      </c>
      <c r="K182" s="410" t="s">
        <v>3052</v>
      </c>
      <c r="L182" s="447" t="s">
        <v>2809</v>
      </c>
      <c r="M182" s="462">
        <v>441333</v>
      </c>
      <c r="N182" s="463">
        <v>0.94</v>
      </c>
      <c r="O182" s="463">
        <v>0.94</v>
      </c>
      <c r="P182" s="463">
        <v>0.94</v>
      </c>
      <c r="Q182" s="463">
        <v>0.94</v>
      </c>
      <c r="R182" s="522">
        <f t="shared" si="4"/>
        <v>156286</v>
      </c>
      <c r="S182" s="462">
        <v>33675</v>
      </c>
      <c r="T182" s="462">
        <v>37043</v>
      </c>
      <c r="U182" s="462">
        <v>40747</v>
      </c>
      <c r="V182" s="462">
        <v>44821</v>
      </c>
      <c r="W182" s="865"/>
    </row>
    <row r="183" spans="1:23" ht="90">
      <c r="A183" s="866"/>
      <c r="B183" s="855"/>
      <c r="C183" s="426" t="s">
        <v>497</v>
      </c>
      <c r="D183" s="408" t="s">
        <v>498</v>
      </c>
      <c r="E183" s="421" t="s">
        <v>499</v>
      </c>
      <c r="F183" s="421" t="s">
        <v>2833</v>
      </c>
      <c r="G183" s="421" t="s">
        <v>2833</v>
      </c>
      <c r="H183" s="421" t="s">
        <v>2833</v>
      </c>
      <c r="I183" s="421" t="s">
        <v>2833</v>
      </c>
      <c r="J183" s="460" t="s">
        <v>2834</v>
      </c>
      <c r="K183" s="461" t="s">
        <v>3056</v>
      </c>
      <c r="L183" s="461" t="s">
        <v>2809</v>
      </c>
      <c r="M183" s="466">
        <v>38</v>
      </c>
      <c r="N183" s="466">
        <v>1</v>
      </c>
      <c r="O183" s="466">
        <v>1</v>
      </c>
      <c r="P183" s="466">
        <v>1</v>
      </c>
      <c r="Q183" s="466">
        <v>1</v>
      </c>
      <c r="R183" s="522">
        <f t="shared" si="4"/>
        <v>372950</v>
      </c>
      <c r="S183" s="462">
        <v>40500</v>
      </c>
      <c r="T183" s="462">
        <v>44550</v>
      </c>
      <c r="U183" s="462">
        <v>48995</v>
      </c>
      <c r="V183" s="462">
        <v>238905</v>
      </c>
      <c r="W183" s="865"/>
    </row>
    <row r="184" spans="1:23" ht="45">
      <c r="A184" s="866"/>
      <c r="B184" s="855"/>
      <c r="C184" s="426" t="s">
        <v>501</v>
      </c>
      <c r="D184" s="408" t="s">
        <v>502</v>
      </c>
      <c r="E184" s="421" t="s">
        <v>503</v>
      </c>
      <c r="F184" s="421" t="s">
        <v>2835</v>
      </c>
      <c r="G184" s="421" t="s">
        <v>2835</v>
      </c>
      <c r="H184" s="421" t="s">
        <v>2835</v>
      </c>
      <c r="I184" s="421" t="s">
        <v>2835</v>
      </c>
      <c r="J184" s="467" t="s">
        <v>2836</v>
      </c>
      <c r="K184" s="465" t="s">
        <v>2829</v>
      </c>
      <c r="L184" s="465" t="s">
        <v>2809</v>
      </c>
      <c r="M184" s="466">
        <v>18</v>
      </c>
      <c r="N184" s="466">
        <v>83</v>
      </c>
      <c r="O184" s="466">
        <v>166</v>
      </c>
      <c r="P184" s="466">
        <v>249</v>
      </c>
      <c r="Q184" s="466">
        <v>332</v>
      </c>
      <c r="R184" s="522">
        <f t="shared" si="4"/>
        <v>77041</v>
      </c>
      <c r="S184" s="462">
        <v>16600</v>
      </c>
      <c r="T184" s="462">
        <v>18260</v>
      </c>
      <c r="U184" s="462">
        <v>20086</v>
      </c>
      <c r="V184" s="462">
        <v>22095</v>
      </c>
      <c r="W184" s="865"/>
    </row>
    <row r="185" spans="1:23" ht="90">
      <c r="A185" s="866" t="s">
        <v>506</v>
      </c>
      <c r="B185" s="891">
        <v>0.01</v>
      </c>
      <c r="C185" s="856" t="s">
        <v>507</v>
      </c>
      <c r="D185" s="892" t="s">
        <v>508</v>
      </c>
      <c r="E185" s="892" t="s">
        <v>509</v>
      </c>
      <c r="F185" s="905" t="s">
        <v>2837</v>
      </c>
      <c r="G185" s="905" t="s">
        <v>2837</v>
      </c>
      <c r="H185" s="905" t="s">
        <v>2837</v>
      </c>
      <c r="I185" s="905" t="s">
        <v>2837</v>
      </c>
      <c r="J185" s="421" t="s">
        <v>2838</v>
      </c>
      <c r="K185" s="410" t="s">
        <v>3052</v>
      </c>
      <c r="L185" s="465" t="s">
        <v>2809</v>
      </c>
      <c r="M185" s="422">
        <v>23</v>
      </c>
      <c r="N185" s="457">
        <v>1</v>
      </c>
      <c r="O185" s="457">
        <v>1</v>
      </c>
      <c r="P185" s="457">
        <v>1</v>
      </c>
      <c r="Q185" s="457">
        <v>1</v>
      </c>
      <c r="R185" s="522">
        <f t="shared" si="4"/>
        <v>0</v>
      </c>
      <c r="S185" s="429">
        <v>0</v>
      </c>
      <c r="T185" s="422">
        <v>0</v>
      </c>
      <c r="U185" s="422">
        <v>0</v>
      </c>
      <c r="V185" s="422">
        <v>0</v>
      </c>
      <c r="W185" s="865" t="s">
        <v>1935</v>
      </c>
    </row>
    <row r="186" spans="1:23" ht="60">
      <c r="A186" s="866"/>
      <c r="B186" s="891"/>
      <c r="C186" s="856"/>
      <c r="D186" s="892"/>
      <c r="E186" s="892"/>
      <c r="F186" s="905"/>
      <c r="G186" s="905"/>
      <c r="H186" s="905"/>
      <c r="I186" s="905"/>
      <c r="J186" s="468" t="s">
        <v>2839</v>
      </c>
      <c r="K186" s="410" t="s">
        <v>3052</v>
      </c>
      <c r="L186" s="465" t="s">
        <v>2809</v>
      </c>
      <c r="M186" s="422">
        <v>23</v>
      </c>
      <c r="N186" s="457">
        <v>1</v>
      </c>
      <c r="O186" s="457">
        <v>1</v>
      </c>
      <c r="P186" s="457">
        <v>1</v>
      </c>
      <c r="Q186" s="457">
        <v>1</v>
      </c>
      <c r="R186" s="522">
        <f t="shared" si="4"/>
        <v>0</v>
      </c>
      <c r="S186" s="429">
        <v>0</v>
      </c>
      <c r="T186" s="422">
        <v>0</v>
      </c>
      <c r="U186" s="422">
        <v>0</v>
      </c>
      <c r="V186" s="422">
        <v>0</v>
      </c>
      <c r="W186" s="865"/>
    </row>
    <row r="187" spans="1:23" ht="45">
      <c r="A187" s="866"/>
      <c r="B187" s="891"/>
      <c r="C187" s="856"/>
      <c r="D187" s="892"/>
      <c r="E187" s="892"/>
      <c r="F187" s="905"/>
      <c r="G187" s="905"/>
      <c r="H187" s="905"/>
      <c r="I187" s="905"/>
      <c r="J187" s="468" t="s">
        <v>2840</v>
      </c>
      <c r="K187" s="410" t="s">
        <v>3052</v>
      </c>
      <c r="L187" s="465" t="s">
        <v>2809</v>
      </c>
      <c r="M187" s="422">
        <v>23</v>
      </c>
      <c r="N187" s="457">
        <v>1</v>
      </c>
      <c r="O187" s="457">
        <v>1</v>
      </c>
      <c r="P187" s="457">
        <v>1</v>
      </c>
      <c r="Q187" s="457">
        <v>1</v>
      </c>
      <c r="R187" s="522">
        <f t="shared" si="4"/>
        <v>0</v>
      </c>
      <c r="S187" s="429">
        <v>0</v>
      </c>
      <c r="T187" s="422">
        <v>0</v>
      </c>
      <c r="U187" s="422">
        <v>0</v>
      </c>
      <c r="V187" s="422">
        <v>0</v>
      </c>
      <c r="W187" s="865"/>
    </row>
    <row r="188" spans="1:23" ht="45">
      <c r="A188" s="866"/>
      <c r="B188" s="891"/>
      <c r="C188" s="856"/>
      <c r="D188" s="892"/>
      <c r="E188" s="892"/>
      <c r="F188" s="905"/>
      <c r="G188" s="905"/>
      <c r="H188" s="905"/>
      <c r="I188" s="905"/>
      <c r="J188" s="421" t="s">
        <v>2841</v>
      </c>
      <c r="K188" s="410" t="s">
        <v>3056</v>
      </c>
      <c r="L188" s="465" t="s">
        <v>189</v>
      </c>
      <c r="M188" s="499">
        <v>40</v>
      </c>
      <c r="N188" s="469">
        <v>10000</v>
      </c>
      <c r="O188" s="469">
        <v>20000</v>
      </c>
      <c r="P188" s="469">
        <v>30000</v>
      </c>
      <c r="Q188" s="469">
        <v>40000</v>
      </c>
      <c r="R188" s="522">
        <f t="shared" si="4"/>
        <v>262309</v>
      </c>
      <c r="S188" s="422">
        <v>56520</v>
      </c>
      <c r="T188" s="422">
        <v>62172</v>
      </c>
      <c r="U188" s="422">
        <v>68389</v>
      </c>
      <c r="V188" s="422">
        <v>75228</v>
      </c>
      <c r="W188" s="865"/>
    </row>
    <row r="189" spans="1:23" ht="90">
      <c r="A189" s="866"/>
      <c r="B189" s="891"/>
      <c r="C189" s="892" t="s">
        <v>2842</v>
      </c>
      <c r="D189" s="892" t="s">
        <v>513</v>
      </c>
      <c r="E189" s="892" t="s">
        <v>514</v>
      </c>
      <c r="F189" s="905" t="s">
        <v>2843</v>
      </c>
      <c r="G189" s="905" t="s">
        <v>2843</v>
      </c>
      <c r="H189" s="905" t="s">
        <v>2843</v>
      </c>
      <c r="I189" s="905" t="s">
        <v>2843</v>
      </c>
      <c r="J189" s="421" t="s">
        <v>2838</v>
      </c>
      <c r="K189" s="410" t="s">
        <v>3052</v>
      </c>
      <c r="L189" s="470" t="s">
        <v>2809</v>
      </c>
      <c r="M189" s="422">
        <v>23</v>
      </c>
      <c r="N189" s="457">
        <v>1</v>
      </c>
      <c r="O189" s="457">
        <v>1</v>
      </c>
      <c r="P189" s="457">
        <v>1</v>
      </c>
      <c r="Q189" s="457">
        <v>1</v>
      </c>
      <c r="R189" s="522">
        <f t="shared" si="4"/>
        <v>0</v>
      </c>
      <c r="S189" s="429">
        <v>0</v>
      </c>
      <c r="T189" s="422">
        <v>0</v>
      </c>
      <c r="U189" s="422">
        <v>0</v>
      </c>
      <c r="V189" s="422">
        <v>0</v>
      </c>
      <c r="W189" s="865"/>
    </row>
    <row r="190" spans="1:23" ht="60">
      <c r="A190" s="866"/>
      <c r="B190" s="891"/>
      <c r="C190" s="892"/>
      <c r="D190" s="892"/>
      <c r="E190" s="892"/>
      <c r="F190" s="905"/>
      <c r="G190" s="905"/>
      <c r="H190" s="905"/>
      <c r="I190" s="905"/>
      <c r="J190" s="468" t="s">
        <v>2839</v>
      </c>
      <c r="K190" s="410" t="s">
        <v>3052</v>
      </c>
      <c r="L190" s="470" t="s">
        <v>2809</v>
      </c>
      <c r="M190" s="422">
        <v>23</v>
      </c>
      <c r="N190" s="457">
        <v>1</v>
      </c>
      <c r="O190" s="457">
        <v>1</v>
      </c>
      <c r="P190" s="457">
        <v>1</v>
      </c>
      <c r="Q190" s="457">
        <v>1</v>
      </c>
      <c r="R190" s="522">
        <f t="shared" si="4"/>
        <v>0</v>
      </c>
      <c r="S190" s="429">
        <v>0</v>
      </c>
      <c r="T190" s="422">
        <v>0</v>
      </c>
      <c r="U190" s="422">
        <v>0</v>
      </c>
      <c r="V190" s="422">
        <v>0</v>
      </c>
      <c r="W190" s="865"/>
    </row>
    <row r="191" spans="1:23" ht="45">
      <c r="A191" s="866"/>
      <c r="B191" s="891"/>
      <c r="C191" s="892"/>
      <c r="D191" s="892"/>
      <c r="E191" s="892"/>
      <c r="F191" s="905"/>
      <c r="G191" s="905"/>
      <c r="H191" s="905"/>
      <c r="I191" s="905"/>
      <c r="J191" s="468" t="s">
        <v>2840</v>
      </c>
      <c r="K191" s="410" t="s">
        <v>3052</v>
      </c>
      <c r="L191" s="470" t="s">
        <v>2809</v>
      </c>
      <c r="M191" s="422">
        <v>23</v>
      </c>
      <c r="N191" s="457">
        <v>1</v>
      </c>
      <c r="O191" s="457">
        <v>1</v>
      </c>
      <c r="P191" s="457">
        <v>1</v>
      </c>
      <c r="Q191" s="457">
        <v>1</v>
      </c>
      <c r="R191" s="522">
        <f t="shared" si="4"/>
        <v>0</v>
      </c>
      <c r="S191" s="429">
        <v>0</v>
      </c>
      <c r="T191" s="422">
        <v>0</v>
      </c>
      <c r="U191" s="422">
        <v>0</v>
      </c>
      <c r="V191" s="422">
        <v>0</v>
      </c>
      <c r="W191" s="865"/>
    </row>
    <row r="192" spans="1:23" ht="105">
      <c r="A192" s="866" t="s">
        <v>516</v>
      </c>
      <c r="B192" s="891">
        <v>0.02</v>
      </c>
      <c r="C192" s="901" t="s">
        <v>2844</v>
      </c>
      <c r="D192" s="856" t="s">
        <v>517</v>
      </c>
      <c r="E192" s="864" t="s">
        <v>518</v>
      </c>
      <c r="F192" s="906" t="s">
        <v>2845</v>
      </c>
      <c r="G192" s="906" t="s">
        <v>2845</v>
      </c>
      <c r="H192" s="906" t="s">
        <v>2845</v>
      </c>
      <c r="I192" s="906" t="s">
        <v>2845</v>
      </c>
      <c r="J192" s="471" t="s">
        <v>2846</v>
      </c>
      <c r="K192" s="470" t="s">
        <v>3052</v>
      </c>
      <c r="L192" s="470" t="s">
        <v>2809</v>
      </c>
      <c r="M192" s="472">
        <v>36</v>
      </c>
      <c r="N192" s="473">
        <v>1</v>
      </c>
      <c r="O192" s="473">
        <v>1</v>
      </c>
      <c r="P192" s="473">
        <v>1</v>
      </c>
      <c r="Q192" s="473">
        <v>1</v>
      </c>
      <c r="R192" s="522">
        <f t="shared" si="4"/>
        <v>72514</v>
      </c>
      <c r="S192" s="472">
        <v>11831</v>
      </c>
      <c r="T192" s="472">
        <v>18333</v>
      </c>
      <c r="U192" s="472">
        <v>20167</v>
      </c>
      <c r="V192" s="472">
        <v>22183</v>
      </c>
      <c r="W192" s="865" t="s">
        <v>1935</v>
      </c>
    </row>
    <row r="193" spans="1:23" ht="30">
      <c r="A193" s="866"/>
      <c r="B193" s="891"/>
      <c r="C193" s="901"/>
      <c r="D193" s="856"/>
      <c r="E193" s="864"/>
      <c r="F193" s="906"/>
      <c r="G193" s="906"/>
      <c r="H193" s="906"/>
      <c r="I193" s="906"/>
      <c r="J193" s="471" t="s">
        <v>2847</v>
      </c>
      <c r="K193" s="470" t="s">
        <v>3052</v>
      </c>
      <c r="L193" s="470" t="s">
        <v>2809</v>
      </c>
      <c r="M193" s="472">
        <v>1</v>
      </c>
      <c r="N193" s="473">
        <v>1</v>
      </c>
      <c r="O193" s="473">
        <v>1</v>
      </c>
      <c r="P193" s="473">
        <v>1</v>
      </c>
      <c r="Q193" s="473">
        <v>1</v>
      </c>
      <c r="R193" s="522">
        <f t="shared" si="4"/>
        <v>72514</v>
      </c>
      <c r="S193" s="472">
        <v>11831</v>
      </c>
      <c r="T193" s="472">
        <v>18333</v>
      </c>
      <c r="U193" s="472">
        <v>20167</v>
      </c>
      <c r="V193" s="472">
        <v>22183</v>
      </c>
      <c r="W193" s="865"/>
    </row>
    <row r="194" spans="1:23" ht="60">
      <c r="A194" s="866"/>
      <c r="B194" s="891"/>
      <c r="C194" s="901"/>
      <c r="D194" s="856"/>
      <c r="E194" s="864"/>
      <c r="F194" s="906"/>
      <c r="G194" s="906"/>
      <c r="H194" s="906"/>
      <c r="I194" s="906"/>
      <c r="J194" s="471" t="s">
        <v>2848</v>
      </c>
      <c r="K194" s="470" t="s">
        <v>3056</v>
      </c>
      <c r="L194" s="470" t="s">
        <v>2809</v>
      </c>
      <c r="M194" s="472">
        <v>3</v>
      </c>
      <c r="N194" s="474">
        <v>3</v>
      </c>
      <c r="O194" s="474">
        <v>3</v>
      </c>
      <c r="P194" s="474">
        <v>3</v>
      </c>
      <c r="Q194" s="474">
        <v>3</v>
      </c>
      <c r="R194" s="522">
        <f t="shared" si="4"/>
        <v>72514</v>
      </c>
      <c r="S194" s="472">
        <v>11831</v>
      </c>
      <c r="T194" s="472">
        <v>18333</v>
      </c>
      <c r="U194" s="472">
        <v>20167</v>
      </c>
      <c r="V194" s="472">
        <v>22183</v>
      </c>
      <c r="W194" s="865"/>
    </row>
    <row r="195" spans="1:23" ht="45">
      <c r="A195" s="866"/>
      <c r="B195" s="891"/>
      <c r="C195" s="901"/>
      <c r="D195" s="856"/>
      <c r="E195" s="864"/>
      <c r="F195" s="906"/>
      <c r="G195" s="906"/>
      <c r="H195" s="906"/>
      <c r="I195" s="906"/>
      <c r="J195" s="475" t="s">
        <v>2849</v>
      </c>
      <c r="K195" s="476" t="s">
        <v>2434</v>
      </c>
      <c r="L195" s="476" t="s">
        <v>189</v>
      </c>
      <c r="M195" s="474" t="s">
        <v>2978</v>
      </c>
      <c r="N195" s="473">
        <v>0.9</v>
      </c>
      <c r="O195" s="473">
        <v>0.9</v>
      </c>
      <c r="P195" s="473">
        <v>0.9</v>
      </c>
      <c r="Q195" s="473">
        <v>0.9</v>
      </c>
      <c r="R195" s="522">
        <f t="shared" si="4"/>
        <v>37040</v>
      </c>
      <c r="S195" s="472">
        <v>7341</v>
      </c>
      <c r="T195" s="472">
        <v>8972</v>
      </c>
      <c r="U195" s="472">
        <v>9870</v>
      </c>
      <c r="V195" s="472">
        <v>10857</v>
      </c>
      <c r="W195" s="865"/>
    </row>
    <row r="196" spans="1:23" ht="60">
      <c r="A196" s="866"/>
      <c r="B196" s="891"/>
      <c r="C196" s="901"/>
      <c r="D196" s="856"/>
      <c r="E196" s="864"/>
      <c r="F196" s="906"/>
      <c r="G196" s="906"/>
      <c r="H196" s="906"/>
      <c r="I196" s="906"/>
      <c r="J196" s="471" t="s">
        <v>241</v>
      </c>
      <c r="K196" s="470" t="s">
        <v>3056</v>
      </c>
      <c r="L196" s="470" t="s">
        <v>189</v>
      </c>
      <c r="M196" s="474">
        <v>0</v>
      </c>
      <c r="N196" s="477">
        <v>1</v>
      </c>
      <c r="O196" s="477">
        <v>2</v>
      </c>
      <c r="P196" s="477">
        <v>3</v>
      </c>
      <c r="Q196" s="477">
        <v>4</v>
      </c>
      <c r="R196" s="522">
        <f t="shared" si="4"/>
        <v>37040</v>
      </c>
      <c r="S196" s="472">
        <v>7341</v>
      </c>
      <c r="T196" s="472">
        <v>8972</v>
      </c>
      <c r="U196" s="472">
        <v>9870</v>
      </c>
      <c r="V196" s="472">
        <v>10857</v>
      </c>
      <c r="W196" s="865"/>
    </row>
    <row r="197" spans="1:23" ht="60">
      <c r="A197" s="866"/>
      <c r="B197" s="891"/>
      <c r="C197" s="901"/>
      <c r="D197" s="856"/>
      <c r="E197" s="864"/>
      <c r="F197" s="906"/>
      <c r="G197" s="906"/>
      <c r="H197" s="906"/>
      <c r="I197" s="906"/>
      <c r="J197" s="478" t="s">
        <v>2850</v>
      </c>
      <c r="K197" s="470" t="s">
        <v>3056</v>
      </c>
      <c r="L197" s="470" t="s">
        <v>189</v>
      </c>
      <c r="M197" s="474">
        <v>0</v>
      </c>
      <c r="N197" s="477">
        <v>1</v>
      </c>
      <c r="O197" s="477">
        <v>2</v>
      </c>
      <c r="P197" s="477">
        <v>3</v>
      </c>
      <c r="Q197" s="477">
        <v>4</v>
      </c>
      <c r="R197" s="522">
        <f t="shared" si="4"/>
        <v>37040</v>
      </c>
      <c r="S197" s="472">
        <v>7341</v>
      </c>
      <c r="T197" s="472">
        <v>8972</v>
      </c>
      <c r="U197" s="472">
        <v>9870</v>
      </c>
      <c r="V197" s="472">
        <v>10857</v>
      </c>
      <c r="W197" s="865"/>
    </row>
    <row r="198" spans="1:23" ht="60">
      <c r="A198" s="866"/>
      <c r="B198" s="891"/>
      <c r="C198" s="901"/>
      <c r="D198" s="856"/>
      <c r="E198" s="864"/>
      <c r="F198" s="906"/>
      <c r="G198" s="906"/>
      <c r="H198" s="906"/>
      <c r="I198" s="906"/>
      <c r="J198" s="478" t="s">
        <v>2851</v>
      </c>
      <c r="K198" s="476" t="s">
        <v>2852</v>
      </c>
      <c r="L198" s="476" t="s">
        <v>189</v>
      </c>
      <c r="M198" s="474">
        <v>0</v>
      </c>
      <c r="N198" s="477">
        <v>60</v>
      </c>
      <c r="O198" s="477">
        <v>120</v>
      </c>
      <c r="P198" s="477">
        <v>180</v>
      </c>
      <c r="Q198" s="477">
        <v>240</v>
      </c>
      <c r="R198" s="522">
        <f t="shared" si="4"/>
        <v>288525</v>
      </c>
      <c r="S198" s="472">
        <v>25000</v>
      </c>
      <c r="T198" s="472">
        <v>200000</v>
      </c>
      <c r="U198" s="472">
        <v>30250</v>
      </c>
      <c r="V198" s="472">
        <v>33275</v>
      </c>
      <c r="W198" s="865"/>
    </row>
    <row r="199" spans="1:23" ht="60">
      <c r="A199" s="866"/>
      <c r="B199" s="891"/>
      <c r="C199" s="901"/>
      <c r="D199" s="856"/>
      <c r="E199" s="864"/>
      <c r="F199" s="906"/>
      <c r="G199" s="906"/>
      <c r="H199" s="906"/>
      <c r="I199" s="906"/>
      <c r="J199" s="478" t="s">
        <v>2853</v>
      </c>
      <c r="K199" s="470" t="s">
        <v>3056</v>
      </c>
      <c r="L199" s="470" t="s">
        <v>189</v>
      </c>
      <c r="M199" s="474">
        <v>0</v>
      </c>
      <c r="N199" s="477">
        <v>30</v>
      </c>
      <c r="O199" s="477">
        <v>30</v>
      </c>
      <c r="P199" s="477">
        <v>30</v>
      </c>
      <c r="Q199" s="477">
        <v>30</v>
      </c>
      <c r="R199" s="522">
        <f t="shared" si="4"/>
        <v>37000</v>
      </c>
      <c r="S199" s="472">
        <v>37000</v>
      </c>
      <c r="T199" s="472">
        <v>0</v>
      </c>
      <c r="U199" s="472">
        <v>0</v>
      </c>
      <c r="V199" s="472">
        <v>0</v>
      </c>
      <c r="W199" s="865"/>
    </row>
    <row r="200" spans="1:23" ht="30">
      <c r="A200" s="866"/>
      <c r="B200" s="891"/>
      <c r="C200" s="901" t="s">
        <v>2854</v>
      </c>
      <c r="D200" s="856" t="s">
        <v>524</v>
      </c>
      <c r="E200" s="864" t="s">
        <v>1472</v>
      </c>
      <c r="F200" s="907" t="s">
        <v>2855</v>
      </c>
      <c r="G200" s="907" t="s">
        <v>2855</v>
      </c>
      <c r="H200" s="907" t="s">
        <v>2855</v>
      </c>
      <c r="I200" s="907" t="s">
        <v>2855</v>
      </c>
      <c r="J200" s="480" t="s">
        <v>2856</v>
      </c>
      <c r="K200" s="481" t="s">
        <v>2829</v>
      </c>
      <c r="L200" s="470" t="s">
        <v>189</v>
      </c>
      <c r="M200" s="482">
        <v>0</v>
      </c>
      <c r="N200" s="482">
        <v>118</v>
      </c>
      <c r="O200" s="482">
        <v>235</v>
      </c>
      <c r="P200" s="482">
        <v>352</v>
      </c>
      <c r="Q200" s="482">
        <v>477</v>
      </c>
      <c r="R200" s="522">
        <f t="shared" si="4"/>
        <v>282760</v>
      </c>
      <c r="S200" s="483">
        <v>61500</v>
      </c>
      <c r="T200" s="484">
        <v>67650</v>
      </c>
      <c r="U200" s="484">
        <v>74415</v>
      </c>
      <c r="V200" s="484">
        <v>79195</v>
      </c>
      <c r="W200" s="865"/>
    </row>
    <row r="201" spans="1:23" ht="30">
      <c r="A201" s="866"/>
      <c r="B201" s="891"/>
      <c r="C201" s="901"/>
      <c r="D201" s="856"/>
      <c r="E201" s="864"/>
      <c r="F201" s="907"/>
      <c r="G201" s="907"/>
      <c r="H201" s="907"/>
      <c r="I201" s="907"/>
      <c r="J201" s="480" t="s">
        <v>2857</v>
      </c>
      <c r="K201" s="481" t="s">
        <v>2858</v>
      </c>
      <c r="L201" s="470" t="s">
        <v>189</v>
      </c>
      <c r="M201" s="482">
        <v>0</v>
      </c>
      <c r="N201" s="482">
        <v>316</v>
      </c>
      <c r="O201" s="482">
        <v>632</v>
      </c>
      <c r="P201" s="482">
        <v>948</v>
      </c>
      <c r="Q201" s="482">
        <v>1264</v>
      </c>
      <c r="R201" s="522">
        <f aca="true" t="shared" si="5" ref="R201:R240">SUM(S201:V201)</f>
        <v>208845</v>
      </c>
      <c r="S201" s="483">
        <v>45000</v>
      </c>
      <c r="T201" s="484">
        <v>49500</v>
      </c>
      <c r="U201" s="484">
        <v>54450</v>
      </c>
      <c r="V201" s="484">
        <v>59895</v>
      </c>
      <c r="W201" s="865"/>
    </row>
    <row r="202" spans="1:23" ht="90">
      <c r="A202" s="866"/>
      <c r="B202" s="891"/>
      <c r="C202" s="901"/>
      <c r="D202" s="856"/>
      <c r="E202" s="864"/>
      <c r="F202" s="907"/>
      <c r="G202" s="907"/>
      <c r="H202" s="907"/>
      <c r="I202" s="907"/>
      <c r="J202" s="485" t="s">
        <v>2832</v>
      </c>
      <c r="K202" s="410" t="s">
        <v>3052</v>
      </c>
      <c r="L202" s="470" t="s">
        <v>189</v>
      </c>
      <c r="M202" s="484">
        <v>441333</v>
      </c>
      <c r="N202" s="486">
        <v>0.94</v>
      </c>
      <c r="O202" s="486">
        <v>0.94</v>
      </c>
      <c r="P202" s="486">
        <v>0.94</v>
      </c>
      <c r="Q202" s="486">
        <v>0.94</v>
      </c>
      <c r="R202" s="522">
        <f t="shared" si="5"/>
        <v>141235</v>
      </c>
      <c r="S202" s="483">
        <v>30432</v>
      </c>
      <c r="T202" s="484">
        <v>33475</v>
      </c>
      <c r="U202" s="484">
        <v>36823</v>
      </c>
      <c r="V202" s="484">
        <v>40505</v>
      </c>
      <c r="W202" s="865"/>
    </row>
    <row r="203" spans="1:23" ht="45">
      <c r="A203" s="866"/>
      <c r="B203" s="891"/>
      <c r="C203" s="901"/>
      <c r="D203" s="856"/>
      <c r="E203" s="864"/>
      <c r="F203" s="907"/>
      <c r="G203" s="907"/>
      <c r="H203" s="907"/>
      <c r="I203" s="907"/>
      <c r="J203" s="487" t="s">
        <v>2859</v>
      </c>
      <c r="K203" s="481" t="s">
        <v>2829</v>
      </c>
      <c r="L203" s="470" t="s">
        <v>189</v>
      </c>
      <c r="M203" s="482">
        <v>120</v>
      </c>
      <c r="N203" s="488">
        <v>150</v>
      </c>
      <c r="O203" s="488">
        <v>300</v>
      </c>
      <c r="P203" s="488">
        <v>450</v>
      </c>
      <c r="Q203" s="488">
        <v>600</v>
      </c>
      <c r="R203" s="522">
        <f t="shared" si="5"/>
        <v>51051</v>
      </c>
      <c r="S203" s="483">
        <v>11000</v>
      </c>
      <c r="T203" s="484">
        <v>12100</v>
      </c>
      <c r="U203" s="484">
        <v>13310</v>
      </c>
      <c r="V203" s="484">
        <v>14641</v>
      </c>
      <c r="W203" s="865"/>
    </row>
    <row r="204" spans="1:23" ht="105">
      <c r="A204" s="866"/>
      <c r="B204" s="891"/>
      <c r="C204" s="901"/>
      <c r="D204" s="856"/>
      <c r="E204" s="864"/>
      <c r="F204" s="907"/>
      <c r="G204" s="907"/>
      <c r="H204" s="907"/>
      <c r="I204" s="907"/>
      <c r="J204" s="481" t="s">
        <v>2860</v>
      </c>
      <c r="K204" s="481" t="s">
        <v>2829</v>
      </c>
      <c r="L204" s="470" t="s">
        <v>2809</v>
      </c>
      <c r="M204" s="482">
        <v>1</v>
      </c>
      <c r="N204" s="482">
        <v>1</v>
      </c>
      <c r="O204" s="482">
        <v>1</v>
      </c>
      <c r="P204" s="482">
        <v>1</v>
      </c>
      <c r="Q204" s="482">
        <v>1</v>
      </c>
      <c r="R204" s="522">
        <f t="shared" si="5"/>
        <v>5525</v>
      </c>
      <c r="S204" s="483">
        <v>2500</v>
      </c>
      <c r="T204" s="484">
        <v>0</v>
      </c>
      <c r="U204" s="484">
        <v>3025</v>
      </c>
      <c r="V204" s="484">
        <v>0</v>
      </c>
      <c r="W204" s="865"/>
    </row>
    <row r="205" spans="1:23" ht="165">
      <c r="A205" s="866"/>
      <c r="B205" s="891"/>
      <c r="C205" s="901"/>
      <c r="D205" s="856"/>
      <c r="E205" s="864"/>
      <c r="F205" s="907"/>
      <c r="G205" s="907"/>
      <c r="H205" s="907"/>
      <c r="I205" s="907"/>
      <c r="J205" s="489" t="s">
        <v>2861</v>
      </c>
      <c r="K205" s="481" t="s">
        <v>3052</v>
      </c>
      <c r="L205" s="470" t="s">
        <v>2809</v>
      </c>
      <c r="M205" s="486">
        <v>1</v>
      </c>
      <c r="N205" s="486">
        <v>1</v>
      </c>
      <c r="O205" s="486">
        <v>1</v>
      </c>
      <c r="P205" s="486">
        <v>1</v>
      </c>
      <c r="Q205" s="486">
        <v>1</v>
      </c>
      <c r="R205" s="522">
        <f t="shared" si="5"/>
        <v>111119</v>
      </c>
      <c r="S205" s="483">
        <v>22023</v>
      </c>
      <c r="T205" s="490">
        <v>26917</v>
      </c>
      <c r="U205" s="484">
        <v>29609</v>
      </c>
      <c r="V205" s="484">
        <v>32570</v>
      </c>
      <c r="W205" s="865"/>
    </row>
    <row r="206" spans="1:23" ht="60">
      <c r="A206" s="866"/>
      <c r="B206" s="891"/>
      <c r="C206" s="901"/>
      <c r="D206" s="856"/>
      <c r="E206" s="864"/>
      <c r="F206" s="907"/>
      <c r="G206" s="907"/>
      <c r="H206" s="907"/>
      <c r="I206" s="907"/>
      <c r="J206" s="480" t="s">
        <v>2862</v>
      </c>
      <c r="K206" s="491" t="s">
        <v>3056</v>
      </c>
      <c r="L206" s="470" t="s">
        <v>189</v>
      </c>
      <c r="M206" s="482">
        <v>1</v>
      </c>
      <c r="N206" s="482">
        <v>2</v>
      </c>
      <c r="O206" s="482">
        <v>4</v>
      </c>
      <c r="P206" s="482">
        <v>4</v>
      </c>
      <c r="Q206" s="482">
        <v>4</v>
      </c>
      <c r="R206" s="522">
        <f t="shared" si="5"/>
        <v>385203</v>
      </c>
      <c r="S206" s="483">
        <v>83000</v>
      </c>
      <c r="T206" s="490">
        <v>91300</v>
      </c>
      <c r="U206" s="484">
        <v>100430</v>
      </c>
      <c r="V206" s="484">
        <v>110473</v>
      </c>
      <c r="W206" s="865"/>
    </row>
    <row r="207" spans="1:23" ht="45">
      <c r="A207" s="866"/>
      <c r="B207" s="891"/>
      <c r="C207" s="426" t="s">
        <v>1481</v>
      </c>
      <c r="D207" s="408" t="s">
        <v>1482</v>
      </c>
      <c r="E207" s="421"/>
      <c r="F207" s="492">
        <v>0</v>
      </c>
      <c r="G207" s="492">
        <v>1</v>
      </c>
      <c r="H207" s="492">
        <v>0</v>
      </c>
      <c r="I207" s="492">
        <v>1</v>
      </c>
      <c r="J207" s="493" t="s">
        <v>2863</v>
      </c>
      <c r="K207" s="494" t="s">
        <v>3056</v>
      </c>
      <c r="L207" s="494" t="s">
        <v>2809</v>
      </c>
      <c r="M207" s="495">
        <v>0</v>
      </c>
      <c r="N207" s="495">
        <v>0</v>
      </c>
      <c r="O207" s="495">
        <v>1</v>
      </c>
      <c r="P207" s="495">
        <v>1</v>
      </c>
      <c r="Q207" s="495">
        <v>1</v>
      </c>
      <c r="R207" s="522">
        <f t="shared" si="5"/>
        <v>70000</v>
      </c>
      <c r="S207" s="496">
        <v>0</v>
      </c>
      <c r="T207" s="497">
        <v>70000</v>
      </c>
      <c r="U207" s="497">
        <v>0</v>
      </c>
      <c r="V207" s="497">
        <v>0</v>
      </c>
      <c r="W207" s="865"/>
    </row>
    <row r="208" spans="1:23" ht="30">
      <c r="A208" s="866"/>
      <c r="B208" s="891"/>
      <c r="C208" s="426" t="s">
        <v>2864</v>
      </c>
      <c r="D208" s="408" t="s">
        <v>1484</v>
      </c>
      <c r="E208" s="421"/>
      <c r="F208" s="492">
        <v>0</v>
      </c>
      <c r="G208" s="492">
        <v>1</v>
      </c>
      <c r="H208" s="492">
        <v>1</v>
      </c>
      <c r="I208" s="492">
        <v>1</v>
      </c>
      <c r="J208" s="494" t="s">
        <v>2865</v>
      </c>
      <c r="K208" s="494" t="s">
        <v>2866</v>
      </c>
      <c r="L208" s="494" t="s">
        <v>2809</v>
      </c>
      <c r="M208" s="495">
        <v>0</v>
      </c>
      <c r="N208" s="495">
        <v>0</v>
      </c>
      <c r="O208" s="495">
        <v>1</v>
      </c>
      <c r="P208" s="495">
        <v>1</v>
      </c>
      <c r="Q208" s="495">
        <v>1</v>
      </c>
      <c r="R208" s="522">
        <f t="shared" si="5"/>
        <v>110885</v>
      </c>
      <c r="S208" s="496">
        <v>0</v>
      </c>
      <c r="T208" s="498">
        <v>33500</v>
      </c>
      <c r="U208" s="497">
        <v>36850</v>
      </c>
      <c r="V208" s="497">
        <v>40535</v>
      </c>
      <c r="W208" s="865"/>
    </row>
    <row r="209" spans="1:23" ht="150">
      <c r="A209" s="866" t="s">
        <v>1489</v>
      </c>
      <c r="B209" s="908">
        <v>0.015</v>
      </c>
      <c r="C209" s="410" t="s">
        <v>1490</v>
      </c>
      <c r="D209" s="410" t="s">
        <v>1491</v>
      </c>
      <c r="E209" s="421" t="s">
        <v>1492</v>
      </c>
      <c r="F209" s="421" t="s">
        <v>2273</v>
      </c>
      <c r="G209" s="421" t="s">
        <v>2273</v>
      </c>
      <c r="H209" s="421" t="s">
        <v>2273</v>
      </c>
      <c r="I209" s="421" t="s">
        <v>2273</v>
      </c>
      <c r="J209" s="479" t="s">
        <v>2274</v>
      </c>
      <c r="K209" s="408" t="s">
        <v>3052</v>
      </c>
      <c r="L209" s="408" t="s">
        <v>2809</v>
      </c>
      <c r="M209" s="499">
        <v>0</v>
      </c>
      <c r="N209" s="423">
        <v>1</v>
      </c>
      <c r="O209" s="423">
        <v>1</v>
      </c>
      <c r="P209" s="423">
        <v>1</v>
      </c>
      <c r="Q209" s="423">
        <v>1</v>
      </c>
      <c r="R209" s="522">
        <f t="shared" si="5"/>
        <v>0</v>
      </c>
      <c r="S209" s="499">
        <v>0</v>
      </c>
      <c r="T209" s="499">
        <v>0</v>
      </c>
      <c r="U209" s="499">
        <v>0</v>
      </c>
      <c r="V209" s="499">
        <v>0</v>
      </c>
      <c r="W209" s="865" t="s">
        <v>1935</v>
      </c>
    </row>
    <row r="210" spans="1:23" ht="150">
      <c r="A210" s="866"/>
      <c r="B210" s="908"/>
      <c r="C210" s="410" t="s">
        <v>248</v>
      </c>
      <c r="D210" s="410" t="s">
        <v>249</v>
      </c>
      <c r="E210" s="421" t="s">
        <v>250</v>
      </c>
      <c r="F210" s="500">
        <v>0.01</v>
      </c>
      <c r="G210" s="500">
        <v>0.02</v>
      </c>
      <c r="H210" s="500">
        <v>0.05</v>
      </c>
      <c r="I210" s="500">
        <v>0.08</v>
      </c>
      <c r="J210" s="479" t="s">
        <v>2275</v>
      </c>
      <c r="K210" s="408" t="s">
        <v>3052</v>
      </c>
      <c r="L210" s="408" t="s">
        <v>19</v>
      </c>
      <c r="M210" s="499">
        <v>0</v>
      </c>
      <c r="N210" s="423">
        <v>1</v>
      </c>
      <c r="O210" s="423">
        <v>1</v>
      </c>
      <c r="P210" s="423">
        <v>1</v>
      </c>
      <c r="Q210" s="423">
        <v>1</v>
      </c>
      <c r="R210" s="522">
        <f t="shared" si="5"/>
        <v>0</v>
      </c>
      <c r="S210" s="499">
        <v>0</v>
      </c>
      <c r="T210" s="499">
        <v>0</v>
      </c>
      <c r="U210" s="499">
        <v>0</v>
      </c>
      <c r="V210" s="499">
        <v>0</v>
      </c>
      <c r="W210" s="865"/>
    </row>
    <row r="211" spans="1:23" ht="150">
      <c r="A211" s="866"/>
      <c r="B211" s="908"/>
      <c r="C211" s="410" t="s">
        <v>253</v>
      </c>
      <c r="D211" s="410" t="s">
        <v>254</v>
      </c>
      <c r="E211" s="421" t="s">
        <v>255</v>
      </c>
      <c r="F211" s="500">
        <v>0.03</v>
      </c>
      <c r="G211" s="500">
        <v>0.06</v>
      </c>
      <c r="H211" s="500">
        <v>0.09</v>
      </c>
      <c r="I211" s="500">
        <v>0.09</v>
      </c>
      <c r="J211" s="479" t="s">
        <v>2276</v>
      </c>
      <c r="K211" s="408" t="s">
        <v>3052</v>
      </c>
      <c r="L211" s="408" t="s">
        <v>19</v>
      </c>
      <c r="M211" s="499">
        <v>0</v>
      </c>
      <c r="N211" s="423">
        <v>1</v>
      </c>
      <c r="O211" s="423">
        <v>1</v>
      </c>
      <c r="P211" s="423">
        <v>1</v>
      </c>
      <c r="Q211" s="423">
        <v>1</v>
      </c>
      <c r="R211" s="522">
        <f t="shared" si="5"/>
        <v>0</v>
      </c>
      <c r="S211" s="499">
        <v>0</v>
      </c>
      <c r="T211" s="499">
        <v>0</v>
      </c>
      <c r="U211" s="499">
        <v>0</v>
      </c>
      <c r="V211" s="499">
        <v>0</v>
      </c>
      <c r="W211" s="865"/>
    </row>
    <row r="212" spans="1:23" ht="90">
      <c r="A212" s="866"/>
      <c r="B212" s="908"/>
      <c r="C212" s="468" t="s">
        <v>256</v>
      </c>
      <c r="D212" s="410" t="s">
        <v>257</v>
      </c>
      <c r="E212" s="421" t="s">
        <v>258</v>
      </c>
      <c r="F212" s="421" t="s">
        <v>2277</v>
      </c>
      <c r="G212" s="421" t="s">
        <v>2278</v>
      </c>
      <c r="H212" s="421" t="s">
        <v>2279</v>
      </c>
      <c r="I212" s="421" t="s">
        <v>2279</v>
      </c>
      <c r="J212" s="408" t="s">
        <v>259</v>
      </c>
      <c r="K212" s="408" t="s">
        <v>3056</v>
      </c>
      <c r="L212" s="408" t="s">
        <v>19</v>
      </c>
      <c r="M212" s="469">
        <v>25</v>
      </c>
      <c r="N212" s="499">
        <f>(57*2)*2</f>
        <v>228</v>
      </c>
      <c r="O212" s="499">
        <f>N212+228</f>
        <v>456</v>
      </c>
      <c r="P212" s="499">
        <f>O212+228</f>
        <v>684</v>
      </c>
      <c r="Q212" s="499">
        <f>P212+228</f>
        <v>912</v>
      </c>
      <c r="R212" s="522">
        <f t="shared" si="5"/>
        <v>0</v>
      </c>
      <c r="S212" s="499">
        <v>0</v>
      </c>
      <c r="T212" s="499">
        <v>0</v>
      </c>
      <c r="U212" s="499">
        <v>0</v>
      </c>
      <c r="V212" s="499">
        <v>0</v>
      </c>
      <c r="W212" s="865"/>
    </row>
    <row r="213" spans="1:23" ht="30">
      <c r="A213" s="866"/>
      <c r="B213" s="908"/>
      <c r="C213" s="892" t="s">
        <v>261</v>
      </c>
      <c r="D213" s="892" t="s">
        <v>262</v>
      </c>
      <c r="E213" s="864" t="s">
        <v>2280</v>
      </c>
      <c r="F213" s="864" t="s">
        <v>2281</v>
      </c>
      <c r="G213" s="421"/>
      <c r="H213" s="421"/>
      <c r="I213" s="421"/>
      <c r="J213" s="408" t="s">
        <v>2282</v>
      </c>
      <c r="K213" s="408" t="s">
        <v>3056</v>
      </c>
      <c r="L213" s="408" t="s">
        <v>2809</v>
      </c>
      <c r="M213" s="422">
        <v>0</v>
      </c>
      <c r="N213" s="499">
        <v>39</v>
      </c>
      <c r="O213" s="499">
        <v>39</v>
      </c>
      <c r="P213" s="499">
        <v>39</v>
      </c>
      <c r="Q213" s="499">
        <v>39</v>
      </c>
      <c r="R213" s="522">
        <f t="shared" si="5"/>
        <v>0</v>
      </c>
      <c r="S213" s="499">
        <v>0</v>
      </c>
      <c r="T213" s="499">
        <v>0</v>
      </c>
      <c r="U213" s="499">
        <v>0</v>
      </c>
      <c r="V213" s="499">
        <v>0</v>
      </c>
      <c r="W213" s="865"/>
    </row>
    <row r="214" spans="1:23" ht="90">
      <c r="A214" s="866"/>
      <c r="B214" s="908"/>
      <c r="C214" s="892"/>
      <c r="D214" s="892"/>
      <c r="E214" s="864"/>
      <c r="F214" s="864"/>
      <c r="G214" s="864" t="s">
        <v>2281</v>
      </c>
      <c r="H214" s="864" t="s">
        <v>2281</v>
      </c>
      <c r="I214" s="864" t="s">
        <v>2281</v>
      </c>
      <c r="J214" s="421" t="s">
        <v>2283</v>
      </c>
      <c r="K214" s="408" t="s">
        <v>3052</v>
      </c>
      <c r="L214" s="408" t="s">
        <v>2809</v>
      </c>
      <c r="M214" s="422">
        <v>36</v>
      </c>
      <c r="N214" s="486">
        <v>1</v>
      </c>
      <c r="O214" s="486">
        <v>1</v>
      </c>
      <c r="P214" s="486">
        <v>1</v>
      </c>
      <c r="Q214" s="486">
        <v>1</v>
      </c>
      <c r="R214" s="522">
        <f t="shared" si="5"/>
        <v>0</v>
      </c>
      <c r="S214" s="499">
        <v>0</v>
      </c>
      <c r="T214" s="499">
        <v>0</v>
      </c>
      <c r="U214" s="499">
        <v>0</v>
      </c>
      <c r="V214" s="499">
        <v>0</v>
      </c>
      <c r="W214" s="865"/>
    </row>
    <row r="215" spans="1:23" ht="120">
      <c r="A215" s="866"/>
      <c r="B215" s="908"/>
      <c r="C215" s="892"/>
      <c r="D215" s="892"/>
      <c r="E215" s="864"/>
      <c r="F215" s="864"/>
      <c r="G215" s="864"/>
      <c r="H215" s="864"/>
      <c r="I215" s="864"/>
      <c r="J215" s="421" t="s">
        <v>2702</v>
      </c>
      <c r="K215" s="408" t="s">
        <v>3052</v>
      </c>
      <c r="L215" s="408" t="s">
        <v>2809</v>
      </c>
      <c r="M215" s="422">
        <v>2</v>
      </c>
      <c r="N215" s="486">
        <v>1</v>
      </c>
      <c r="O215" s="486">
        <v>1</v>
      </c>
      <c r="P215" s="486">
        <v>1</v>
      </c>
      <c r="Q215" s="486">
        <v>1</v>
      </c>
      <c r="R215" s="522">
        <f t="shared" si="5"/>
        <v>0</v>
      </c>
      <c r="S215" s="499">
        <v>0</v>
      </c>
      <c r="T215" s="499">
        <v>0</v>
      </c>
      <c r="U215" s="499">
        <v>0</v>
      </c>
      <c r="V215" s="499">
        <v>0</v>
      </c>
      <c r="W215" s="865"/>
    </row>
    <row r="216" spans="1:23" ht="105">
      <c r="A216" s="866"/>
      <c r="B216" s="908"/>
      <c r="C216" s="892"/>
      <c r="D216" s="892"/>
      <c r="E216" s="864"/>
      <c r="F216" s="864"/>
      <c r="G216" s="864"/>
      <c r="H216" s="864"/>
      <c r="I216" s="864"/>
      <c r="J216" s="421" t="s">
        <v>2703</v>
      </c>
      <c r="K216" s="408" t="s">
        <v>3056</v>
      </c>
      <c r="L216" s="408" t="s">
        <v>189</v>
      </c>
      <c r="M216" s="422">
        <v>2</v>
      </c>
      <c r="N216" s="486">
        <v>1</v>
      </c>
      <c r="O216" s="486">
        <v>1</v>
      </c>
      <c r="P216" s="486">
        <v>1</v>
      </c>
      <c r="Q216" s="486">
        <v>1</v>
      </c>
      <c r="R216" s="522">
        <f t="shared" si="5"/>
        <v>0</v>
      </c>
      <c r="S216" s="499">
        <v>0</v>
      </c>
      <c r="T216" s="499">
        <v>0</v>
      </c>
      <c r="U216" s="499">
        <v>0</v>
      </c>
      <c r="V216" s="499">
        <v>0</v>
      </c>
      <c r="W216" s="865"/>
    </row>
    <row r="217" spans="1:23" ht="60">
      <c r="A217" s="866"/>
      <c r="B217" s="908"/>
      <c r="C217" s="410" t="s">
        <v>266</v>
      </c>
      <c r="D217" s="501" t="s">
        <v>267</v>
      </c>
      <c r="E217" s="421" t="s">
        <v>268</v>
      </c>
      <c r="F217" s="421" t="s">
        <v>2704</v>
      </c>
      <c r="G217" s="421" t="s">
        <v>2704</v>
      </c>
      <c r="H217" s="421" t="s">
        <v>2705</v>
      </c>
      <c r="I217" s="421" t="s">
        <v>2705</v>
      </c>
      <c r="J217" s="426" t="s">
        <v>269</v>
      </c>
      <c r="K217" s="408" t="s">
        <v>3056</v>
      </c>
      <c r="L217" s="408" t="s">
        <v>189</v>
      </c>
      <c r="M217" s="469">
        <v>9</v>
      </c>
      <c r="N217" s="499">
        <v>15</v>
      </c>
      <c r="O217" s="499">
        <f>N217+15</f>
        <v>30</v>
      </c>
      <c r="P217" s="499">
        <f>O217+15</f>
        <v>45</v>
      </c>
      <c r="Q217" s="499">
        <f>P217+15</f>
        <v>60</v>
      </c>
      <c r="R217" s="522">
        <f t="shared" si="5"/>
        <v>0</v>
      </c>
      <c r="S217" s="499">
        <v>0</v>
      </c>
      <c r="T217" s="499">
        <v>0</v>
      </c>
      <c r="U217" s="499">
        <v>0</v>
      </c>
      <c r="V217" s="499">
        <v>0</v>
      </c>
      <c r="W217" s="865"/>
    </row>
    <row r="218" spans="1:23" ht="60">
      <c r="A218" s="857" t="s">
        <v>271</v>
      </c>
      <c r="B218" s="910">
        <v>0.025</v>
      </c>
      <c r="C218" s="863" t="s">
        <v>272</v>
      </c>
      <c r="D218" s="863" t="s">
        <v>2706</v>
      </c>
      <c r="E218" s="909" t="s">
        <v>2707</v>
      </c>
      <c r="F218" s="853" t="s">
        <v>2708</v>
      </c>
      <c r="G218" s="853" t="s">
        <v>2708</v>
      </c>
      <c r="H218" s="853" t="s">
        <v>2708</v>
      </c>
      <c r="I218" s="853" t="s">
        <v>2708</v>
      </c>
      <c r="J218" s="505" t="s">
        <v>276</v>
      </c>
      <c r="K218" s="505" t="s">
        <v>277</v>
      </c>
      <c r="L218" s="387" t="s">
        <v>189</v>
      </c>
      <c r="M218" s="506" t="s">
        <v>1683</v>
      </c>
      <c r="N218" s="506">
        <f>11000/4</f>
        <v>2750</v>
      </c>
      <c r="O218" s="506">
        <f>N218*2</f>
        <v>5500</v>
      </c>
      <c r="P218" s="506">
        <f>N218*3</f>
        <v>8250</v>
      </c>
      <c r="Q218" s="506">
        <f>N218*4</f>
        <v>11000</v>
      </c>
      <c r="R218" s="522">
        <f t="shared" si="5"/>
        <v>60333</v>
      </c>
      <c r="S218" s="508">
        <v>13000</v>
      </c>
      <c r="T218" s="507">
        <f aca="true" t="shared" si="6" ref="T218:V232">S218*1.1</f>
        <v>14300.000000000002</v>
      </c>
      <c r="U218" s="507">
        <f t="shared" si="6"/>
        <v>15730.000000000004</v>
      </c>
      <c r="V218" s="507">
        <f t="shared" si="6"/>
        <v>17303.000000000004</v>
      </c>
      <c r="W218" s="853" t="s">
        <v>1935</v>
      </c>
    </row>
    <row r="219" spans="1:23" ht="60">
      <c r="A219" s="857"/>
      <c r="B219" s="910"/>
      <c r="C219" s="863"/>
      <c r="D219" s="863"/>
      <c r="E219" s="909"/>
      <c r="F219" s="853"/>
      <c r="G219" s="853"/>
      <c r="H219" s="853"/>
      <c r="I219" s="853"/>
      <c r="J219" s="505" t="s">
        <v>278</v>
      </c>
      <c r="K219" s="509" t="s">
        <v>279</v>
      </c>
      <c r="L219" s="387" t="s">
        <v>189</v>
      </c>
      <c r="M219" s="506" t="s">
        <v>1683</v>
      </c>
      <c r="N219" s="506">
        <f>42000/4</f>
        <v>10500</v>
      </c>
      <c r="O219" s="506">
        <f>N219*2</f>
        <v>21000</v>
      </c>
      <c r="P219" s="506">
        <f>N219*3</f>
        <v>31500</v>
      </c>
      <c r="Q219" s="506">
        <f>N219*4</f>
        <v>42000</v>
      </c>
      <c r="R219" s="522">
        <f t="shared" si="5"/>
        <v>45611.748000000014</v>
      </c>
      <c r="S219" s="508">
        <v>9828</v>
      </c>
      <c r="T219" s="507">
        <f t="shared" si="6"/>
        <v>10810.800000000001</v>
      </c>
      <c r="U219" s="507">
        <f t="shared" si="6"/>
        <v>11891.880000000003</v>
      </c>
      <c r="V219" s="507">
        <f t="shared" si="6"/>
        <v>13081.068000000005</v>
      </c>
      <c r="W219" s="853"/>
    </row>
    <row r="220" spans="1:23" ht="45">
      <c r="A220" s="857"/>
      <c r="B220" s="910"/>
      <c r="C220" s="863"/>
      <c r="D220" s="863"/>
      <c r="E220" s="909"/>
      <c r="F220" s="853"/>
      <c r="G220" s="853"/>
      <c r="H220" s="853"/>
      <c r="I220" s="853"/>
      <c r="J220" s="505" t="s">
        <v>280</v>
      </c>
      <c r="K220" s="509" t="s">
        <v>281</v>
      </c>
      <c r="L220" s="387" t="s">
        <v>189</v>
      </c>
      <c r="M220" s="506" t="s">
        <v>1683</v>
      </c>
      <c r="N220" s="506">
        <v>45</v>
      </c>
      <c r="O220" s="506">
        <f>N220*2</f>
        <v>90</v>
      </c>
      <c r="P220" s="506">
        <f>N220*3</f>
        <v>135</v>
      </c>
      <c r="Q220" s="506">
        <f>N220*4</f>
        <v>180</v>
      </c>
      <c r="R220" s="522">
        <f t="shared" si="5"/>
        <v>116025</v>
      </c>
      <c r="S220" s="508">
        <v>25000</v>
      </c>
      <c r="T220" s="507">
        <f t="shared" si="6"/>
        <v>27500.000000000004</v>
      </c>
      <c r="U220" s="507">
        <f t="shared" si="6"/>
        <v>30250.000000000007</v>
      </c>
      <c r="V220" s="507">
        <f t="shared" si="6"/>
        <v>33275.00000000001</v>
      </c>
      <c r="W220" s="853"/>
    </row>
    <row r="221" spans="1:23" ht="75">
      <c r="A221" s="857"/>
      <c r="B221" s="910"/>
      <c r="C221" s="863" t="s">
        <v>242</v>
      </c>
      <c r="D221" s="863" t="s">
        <v>2709</v>
      </c>
      <c r="E221" s="909" t="s">
        <v>2710</v>
      </c>
      <c r="F221" s="853" t="s">
        <v>2711</v>
      </c>
      <c r="G221" s="853" t="s">
        <v>2711</v>
      </c>
      <c r="H221" s="853" t="s">
        <v>2711</v>
      </c>
      <c r="I221" s="853" t="s">
        <v>2711</v>
      </c>
      <c r="J221" s="505" t="s">
        <v>286</v>
      </c>
      <c r="K221" s="505" t="s">
        <v>287</v>
      </c>
      <c r="L221" s="387" t="s">
        <v>189</v>
      </c>
      <c r="M221" s="506" t="s">
        <v>1683</v>
      </c>
      <c r="N221" s="506">
        <f>10000/4</f>
        <v>2500</v>
      </c>
      <c r="O221" s="506">
        <f>N221*2</f>
        <v>5000</v>
      </c>
      <c r="P221" s="506">
        <f>N221*3</f>
        <v>7500</v>
      </c>
      <c r="Q221" s="506">
        <f>N221*4</f>
        <v>10000</v>
      </c>
      <c r="R221" s="522">
        <f t="shared" si="5"/>
        <v>255255.00000000003</v>
      </c>
      <c r="S221" s="508">
        <v>55000</v>
      </c>
      <c r="T221" s="507">
        <f t="shared" si="6"/>
        <v>60500.00000000001</v>
      </c>
      <c r="U221" s="507">
        <f t="shared" si="6"/>
        <v>66550.00000000001</v>
      </c>
      <c r="V221" s="507">
        <f t="shared" si="6"/>
        <v>73205.00000000003</v>
      </c>
      <c r="W221" s="853"/>
    </row>
    <row r="222" spans="1:23" ht="45">
      <c r="A222" s="857"/>
      <c r="B222" s="910"/>
      <c r="C222" s="863"/>
      <c r="D222" s="863"/>
      <c r="E222" s="909"/>
      <c r="F222" s="853"/>
      <c r="G222" s="853"/>
      <c r="H222" s="853"/>
      <c r="I222" s="853"/>
      <c r="J222" s="505" t="s">
        <v>288</v>
      </c>
      <c r="K222" s="505" t="s">
        <v>289</v>
      </c>
      <c r="L222" s="387" t="s">
        <v>189</v>
      </c>
      <c r="M222" s="506" t="s">
        <v>1683</v>
      </c>
      <c r="N222" s="506">
        <f>12924/4</f>
        <v>3231</v>
      </c>
      <c r="O222" s="506">
        <f>N222*2</f>
        <v>6462</v>
      </c>
      <c r="P222" s="506">
        <f>N222*3</f>
        <v>9693</v>
      </c>
      <c r="Q222" s="506">
        <f>N222*4</f>
        <v>12924</v>
      </c>
      <c r="R222" s="522">
        <f t="shared" si="5"/>
        <v>37128</v>
      </c>
      <c r="S222" s="508">
        <v>8000</v>
      </c>
      <c r="T222" s="507">
        <f t="shared" si="6"/>
        <v>8800</v>
      </c>
      <c r="U222" s="507">
        <f t="shared" si="6"/>
        <v>9680</v>
      </c>
      <c r="V222" s="507">
        <f t="shared" si="6"/>
        <v>10648</v>
      </c>
      <c r="W222" s="853"/>
    </row>
    <row r="223" spans="1:23" ht="45">
      <c r="A223" s="857"/>
      <c r="B223" s="910"/>
      <c r="C223" s="863"/>
      <c r="D223" s="863"/>
      <c r="E223" s="909"/>
      <c r="F223" s="853"/>
      <c r="G223" s="853"/>
      <c r="H223" s="853"/>
      <c r="I223" s="853"/>
      <c r="J223" s="505" t="s">
        <v>290</v>
      </c>
      <c r="K223" s="505" t="s">
        <v>291</v>
      </c>
      <c r="L223" s="387" t="s">
        <v>189</v>
      </c>
      <c r="M223" s="506" t="s">
        <v>1683</v>
      </c>
      <c r="N223" s="506">
        <v>15</v>
      </c>
      <c r="O223" s="506">
        <v>30</v>
      </c>
      <c r="P223" s="506">
        <v>45</v>
      </c>
      <c r="Q223" s="506">
        <v>60</v>
      </c>
      <c r="R223" s="522">
        <f t="shared" si="5"/>
        <v>162435</v>
      </c>
      <c r="S223" s="508">
        <v>35000</v>
      </c>
      <c r="T223" s="507">
        <f t="shared" si="6"/>
        <v>38500</v>
      </c>
      <c r="U223" s="507">
        <f t="shared" si="6"/>
        <v>42350</v>
      </c>
      <c r="V223" s="507">
        <f t="shared" si="6"/>
        <v>46585.00000000001</v>
      </c>
      <c r="W223" s="853"/>
    </row>
    <row r="224" spans="1:23" ht="75">
      <c r="A224" s="857"/>
      <c r="B224" s="910"/>
      <c r="C224" s="863"/>
      <c r="D224" s="863"/>
      <c r="E224" s="909"/>
      <c r="F224" s="853"/>
      <c r="G224" s="853"/>
      <c r="H224" s="853"/>
      <c r="I224" s="853"/>
      <c r="J224" s="505" t="s">
        <v>292</v>
      </c>
      <c r="K224" s="505" t="s">
        <v>3056</v>
      </c>
      <c r="L224" s="387" t="s">
        <v>189</v>
      </c>
      <c r="M224" s="506" t="s">
        <v>1683</v>
      </c>
      <c r="N224" s="506">
        <v>3</v>
      </c>
      <c r="O224" s="506">
        <v>6</v>
      </c>
      <c r="P224" s="506">
        <v>9</v>
      </c>
      <c r="Q224" s="506">
        <v>12</v>
      </c>
      <c r="R224" s="522">
        <f t="shared" si="5"/>
        <v>13923.000000000002</v>
      </c>
      <c r="S224" s="508">
        <v>3000</v>
      </c>
      <c r="T224" s="507">
        <f t="shared" si="6"/>
        <v>3300.0000000000005</v>
      </c>
      <c r="U224" s="507">
        <f t="shared" si="6"/>
        <v>3630.000000000001</v>
      </c>
      <c r="V224" s="507">
        <f t="shared" si="6"/>
        <v>3993.0000000000014</v>
      </c>
      <c r="W224" s="853"/>
    </row>
    <row r="225" spans="1:23" ht="45">
      <c r="A225" s="857"/>
      <c r="B225" s="910"/>
      <c r="C225" s="863"/>
      <c r="D225" s="863"/>
      <c r="E225" s="909"/>
      <c r="F225" s="853"/>
      <c r="G225" s="853"/>
      <c r="H225" s="853"/>
      <c r="I225" s="853"/>
      <c r="J225" s="505" t="s">
        <v>294</v>
      </c>
      <c r="K225" s="505" t="s">
        <v>3056</v>
      </c>
      <c r="L225" s="387" t="s">
        <v>189</v>
      </c>
      <c r="M225" s="510">
        <v>0.9</v>
      </c>
      <c r="N225" s="506">
        <v>450000</v>
      </c>
      <c r="O225" s="506">
        <v>450000</v>
      </c>
      <c r="P225" s="506">
        <v>450000</v>
      </c>
      <c r="Q225" s="506">
        <v>450000</v>
      </c>
      <c r="R225" s="522">
        <f t="shared" si="5"/>
        <v>107671.20000000001</v>
      </c>
      <c r="S225" s="508">
        <v>23200</v>
      </c>
      <c r="T225" s="507">
        <f t="shared" si="6"/>
        <v>25520.000000000004</v>
      </c>
      <c r="U225" s="507">
        <f t="shared" si="6"/>
        <v>28072.000000000007</v>
      </c>
      <c r="V225" s="507">
        <f t="shared" si="6"/>
        <v>30879.20000000001</v>
      </c>
      <c r="W225" s="853"/>
    </row>
    <row r="226" spans="1:23" ht="45">
      <c r="A226" s="857"/>
      <c r="B226" s="910"/>
      <c r="C226" s="863" t="s">
        <v>296</v>
      </c>
      <c r="D226" s="863" t="s">
        <v>297</v>
      </c>
      <c r="E226" s="909">
        <v>0</v>
      </c>
      <c r="F226" s="853">
        <v>0</v>
      </c>
      <c r="G226" s="853">
        <v>0</v>
      </c>
      <c r="H226" s="853">
        <v>0</v>
      </c>
      <c r="I226" s="853">
        <v>0</v>
      </c>
      <c r="J226" s="511" t="s">
        <v>298</v>
      </c>
      <c r="K226" s="505" t="s">
        <v>299</v>
      </c>
      <c r="L226" s="387" t="s">
        <v>189</v>
      </c>
      <c r="M226" s="510">
        <v>0.27</v>
      </c>
      <c r="N226" s="512">
        <v>25000</v>
      </c>
      <c r="O226" s="506">
        <v>28000</v>
      </c>
      <c r="P226" s="506">
        <v>30000</v>
      </c>
      <c r="Q226" s="506">
        <v>33750</v>
      </c>
      <c r="R226" s="522">
        <f t="shared" si="5"/>
        <v>417690.00000000006</v>
      </c>
      <c r="S226" s="508">
        <v>90000</v>
      </c>
      <c r="T226" s="507">
        <f t="shared" si="6"/>
        <v>99000.00000000001</v>
      </c>
      <c r="U226" s="507">
        <f t="shared" si="6"/>
        <v>108900.00000000003</v>
      </c>
      <c r="V226" s="507">
        <f t="shared" si="6"/>
        <v>119790.00000000004</v>
      </c>
      <c r="W226" s="853"/>
    </row>
    <row r="227" spans="1:23" ht="30">
      <c r="A227" s="857"/>
      <c r="B227" s="910"/>
      <c r="C227" s="863"/>
      <c r="D227" s="863"/>
      <c r="E227" s="909"/>
      <c r="F227" s="853"/>
      <c r="G227" s="853"/>
      <c r="H227" s="853"/>
      <c r="I227" s="853"/>
      <c r="J227" s="511" t="s">
        <v>300</v>
      </c>
      <c r="K227" s="505" t="s">
        <v>301</v>
      </c>
      <c r="L227" s="387" t="s">
        <v>189</v>
      </c>
      <c r="M227" s="506">
        <v>400</v>
      </c>
      <c r="N227" s="506">
        <f>700*1</f>
        <v>700</v>
      </c>
      <c r="O227" s="506">
        <f>700*2</f>
        <v>1400</v>
      </c>
      <c r="P227" s="506">
        <f>700*3</f>
        <v>2100</v>
      </c>
      <c r="Q227" s="506">
        <f>700*4</f>
        <v>2800</v>
      </c>
      <c r="R227" s="522">
        <f t="shared" si="5"/>
        <v>324870</v>
      </c>
      <c r="S227" s="508">
        <v>70000</v>
      </c>
      <c r="T227" s="507">
        <f t="shared" si="6"/>
        <v>77000</v>
      </c>
      <c r="U227" s="507">
        <f t="shared" si="6"/>
        <v>84700</v>
      </c>
      <c r="V227" s="507">
        <f t="shared" si="6"/>
        <v>93170.00000000001</v>
      </c>
      <c r="W227" s="853"/>
    </row>
    <row r="228" spans="1:23" ht="60">
      <c r="A228" s="857"/>
      <c r="B228" s="910"/>
      <c r="C228" s="863"/>
      <c r="D228" s="863"/>
      <c r="E228" s="909"/>
      <c r="F228" s="853"/>
      <c r="G228" s="853"/>
      <c r="H228" s="853"/>
      <c r="I228" s="853"/>
      <c r="J228" s="511" t="s">
        <v>302</v>
      </c>
      <c r="K228" s="505" t="s">
        <v>303</v>
      </c>
      <c r="L228" s="387" t="s">
        <v>189</v>
      </c>
      <c r="M228" s="506" t="s">
        <v>1683</v>
      </c>
      <c r="N228" s="506">
        <v>40</v>
      </c>
      <c r="O228" s="506">
        <v>80</v>
      </c>
      <c r="P228" s="506">
        <v>120</v>
      </c>
      <c r="Q228" s="506">
        <v>160</v>
      </c>
      <c r="R228" s="522">
        <f t="shared" si="5"/>
        <v>27846.000000000004</v>
      </c>
      <c r="S228" s="508">
        <v>6000</v>
      </c>
      <c r="T228" s="507">
        <f t="shared" si="6"/>
        <v>6600.000000000001</v>
      </c>
      <c r="U228" s="507">
        <f t="shared" si="6"/>
        <v>7260.000000000002</v>
      </c>
      <c r="V228" s="507">
        <f t="shared" si="6"/>
        <v>7986.000000000003</v>
      </c>
      <c r="W228" s="853"/>
    </row>
    <row r="229" spans="1:23" ht="75">
      <c r="A229" s="857"/>
      <c r="B229" s="910"/>
      <c r="C229" s="863"/>
      <c r="D229" s="863"/>
      <c r="E229" s="909"/>
      <c r="F229" s="853"/>
      <c r="G229" s="853"/>
      <c r="H229" s="853"/>
      <c r="I229" s="853"/>
      <c r="J229" s="511" t="s">
        <v>304</v>
      </c>
      <c r="K229" s="505" t="s">
        <v>305</v>
      </c>
      <c r="L229" s="387" t="s">
        <v>2809</v>
      </c>
      <c r="M229" s="510">
        <v>1</v>
      </c>
      <c r="N229" s="510">
        <v>1</v>
      </c>
      <c r="O229" s="510">
        <v>1</v>
      </c>
      <c r="P229" s="510">
        <v>1</v>
      </c>
      <c r="Q229" s="510">
        <v>1</v>
      </c>
      <c r="R229" s="522">
        <f t="shared" si="5"/>
        <v>83538</v>
      </c>
      <c r="S229" s="508">
        <v>18000</v>
      </c>
      <c r="T229" s="507">
        <f t="shared" si="6"/>
        <v>19800</v>
      </c>
      <c r="U229" s="507">
        <f t="shared" si="6"/>
        <v>21780</v>
      </c>
      <c r="V229" s="507">
        <f t="shared" si="6"/>
        <v>23958.000000000004</v>
      </c>
      <c r="W229" s="853"/>
    </row>
    <row r="230" spans="1:23" ht="60">
      <c r="A230" s="857"/>
      <c r="B230" s="910"/>
      <c r="C230" s="863"/>
      <c r="D230" s="863"/>
      <c r="E230" s="909"/>
      <c r="F230" s="853"/>
      <c r="G230" s="853"/>
      <c r="H230" s="853"/>
      <c r="I230" s="853"/>
      <c r="J230" s="511" t="s">
        <v>306</v>
      </c>
      <c r="K230" s="505" t="s">
        <v>307</v>
      </c>
      <c r="L230" s="387" t="s">
        <v>189</v>
      </c>
      <c r="M230" s="506">
        <v>200</v>
      </c>
      <c r="N230" s="506">
        <v>400</v>
      </c>
      <c r="O230" s="506">
        <v>800</v>
      </c>
      <c r="P230" s="506">
        <v>1200</v>
      </c>
      <c r="Q230" s="506">
        <v>1600</v>
      </c>
      <c r="R230" s="522">
        <f t="shared" si="5"/>
        <v>51051.00000000001</v>
      </c>
      <c r="S230" s="508">
        <v>11000</v>
      </c>
      <c r="T230" s="507">
        <f t="shared" si="6"/>
        <v>12100.000000000002</v>
      </c>
      <c r="U230" s="507">
        <f t="shared" si="6"/>
        <v>13310.000000000004</v>
      </c>
      <c r="V230" s="507">
        <f t="shared" si="6"/>
        <v>14641.000000000005</v>
      </c>
      <c r="W230" s="853"/>
    </row>
    <row r="231" spans="1:23" ht="45">
      <c r="A231" s="857"/>
      <c r="B231" s="910"/>
      <c r="C231" s="863" t="s">
        <v>308</v>
      </c>
      <c r="D231" s="863" t="s">
        <v>309</v>
      </c>
      <c r="E231" s="909" t="s">
        <v>1683</v>
      </c>
      <c r="F231" s="853" t="s">
        <v>243</v>
      </c>
      <c r="G231" s="853" t="s">
        <v>243</v>
      </c>
      <c r="H231" s="853" t="s">
        <v>243</v>
      </c>
      <c r="I231" s="853" t="s">
        <v>243</v>
      </c>
      <c r="J231" s="511" t="s">
        <v>617</v>
      </c>
      <c r="K231" s="505" t="s">
        <v>618</v>
      </c>
      <c r="L231" s="387" t="s">
        <v>189</v>
      </c>
      <c r="M231" s="506" t="s">
        <v>1683</v>
      </c>
      <c r="N231" s="506">
        <f>24*1</f>
        <v>24</v>
      </c>
      <c r="O231" s="506">
        <f>24*2</f>
        <v>48</v>
      </c>
      <c r="P231" s="506">
        <f>24*3</f>
        <v>72</v>
      </c>
      <c r="Q231" s="506">
        <f>24*4</f>
        <v>96</v>
      </c>
      <c r="R231" s="522">
        <f t="shared" si="5"/>
        <v>43254.12</v>
      </c>
      <c r="S231" s="508">
        <v>9320</v>
      </c>
      <c r="T231" s="507">
        <f t="shared" si="6"/>
        <v>10252</v>
      </c>
      <c r="U231" s="507">
        <f t="shared" si="6"/>
        <v>11277.2</v>
      </c>
      <c r="V231" s="507">
        <f t="shared" si="6"/>
        <v>12404.920000000002</v>
      </c>
      <c r="W231" s="853"/>
    </row>
    <row r="232" spans="1:23" ht="60">
      <c r="A232" s="857"/>
      <c r="B232" s="910"/>
      <c r="C232" s="863"/>
      <c r="D232" s="863"/>
      <c r="E232" s="909"/>
      <c r="F232" s="853"/>
      <c r="G232" s="853"/>
      <c r="H232" s="853"/>
      <c r="I232" s="853"/>
      <c r="J232" s="511" t="s">
        <v>619</v>
      </c>
      <c r="K232" s="505" t="s">
        <v>620</v>
      </c>
      <c r="L232" s="387" t="s">
        <v>189</v>
      </c>
      <c r="M232" s="506" t="s">
        <v>621</v>
      </c>
      <c r="N232" s="506">
        <f>12928/4</f>
        <v>3232</v>
      </c>
      <c r="O232" s="506">
        <f>N232*2</f>
        <v>6464</v>
      </c>
      <c r="P232" s="506">
        <f>N232*3</f>
        <v>9696</v>
      </c>
      <c r="Q232" s="506">
        <f>N232*4</f>
        <v>12928</v>
      </c>
      <c r="R232" s="522">
        <f t="shared" si="5"/>
        <v>287742</v>
      </c>
      <c r="S232" s="508">
        <v>62000</v>
      </c>
      <c r="T232" s="507">
        <f t="shared" si="6"/>
        <v>68200</v>
      </c>
      <c r="U232" s="507">
        <f t="shared" si="6"/>
        <v>75020</v>
      </c>
      <c r="V232" s="507">
        <f t="shared" si="6"/>
        <v>82522</v>
      </c>
      <c r="W232" s="853"/>
    </row>
    <row r="233" spans="1:23" ht="60">
      <c r="A233" s="857" t="s">
        <v>622</v>
      </c>
      <c r="B233" s="910">
        <v>0.015</v>
      </c>
      <c r="C233" s="863" t="s">
        <v>623</v>
      </c>
      <c r="D233" s="863" t="s">
        <v>624</v>
      </c>
      <c r="E233" s="909" t="s">
        <v>1683</v>
      </c>
      <c r="F233" s="888" t="s">
        <v>2712</v>
      </c>
      <c r="G233" s="888" t="s">
        <v>2712</v>
      </c>
      <c r="H233" s="888" t="s">
        <v>2712</v>
      </c>
      <c r="I233" s="888" t="s">
        <v>2712</v>
      </c>
      <c r="J233" s="513" t="s">
        <v>625</v>
      </c>
      <c r="K233" s="387" t="s">
        <v>626</v>
      </c>
      <c r="L233" s="387" t="s">
        <v>2809</v>
      </c>
      <c r="M233" s="506" t="s">
        <v>627</v>
      </c>
      <c r="N233" s="506">
        <v>100</v>
      </c>
      <c r="O233" s="506">
        <v>100</v>
      </c>
      <c r="P233" s="506">
        <v>100</v>
      </c>
      <c r="Q233" s="506">
        <v>100</v>
      </c>
      <c r="R233" s="522">
        <f t="shared" si="5"/>
        <v>46410</v>
      </c>
      <c r="S233" s="508">
        <v>10000</v>
      </c>
      <c r="T233" s="507">
        <f aca="true" t="shared" si="7" ref="T233:V234">S233*1.1</f>
        <v>11000</v>
      </c>
      <c r="U233" s="507">
        <f t="shared" si="7"/>
        <v>12100.000000000002</v>
      </c>
      <c r="V233" s="507">
        <f t="shared" si="7"/>
        <v>13310.000000000004</v>
      </c>
      <c r="W233" s="853" t="s">
        <v>1935</v>
      </c>
    </row>
    <row r="234" spans="1:23" ht="75">
      <c r="A234" s="857"/>
      <c r="B234" s="910"/>
      <c r="C234" s="863"/>
      <c r="D234" s="863"/>
      <c r="E234" s="909"/>
      <c r="F234" s="853"/>
      <c r="G234" s="853"/>
      <c r="H234" s="853"/>
      <c r="I234" s="853"/>
      <c r="J234" s="514" t="s">
        <v>628</v>
      </c>
      <c r="K234" s="387" t="s">
        <v>629</v>
      </c>
      <c r="L234" s="387" t="s">
        <v>189</v>
      </c>
      <c r="M234" s="506" t="s">
        <v>1683</v>
      </c>
      <c r="N234" s="506">
        <v>50</v>
      </c>
      <c r="O234" s="506">
        <v>250</v>
      </c>
      <c r="P234" s="506">
        <v>350</v>
      </c>
      <c r="Q234" s="506">
        <v>400</v>
      </c>
      <c r="R234" s="522">
        <f t="shared" si="5"/>
        <v>74256</v>
      </c>
      <c r="S234" s="508">
        <v>16000</v>
      </c>
      <c r="T234" s="507">
        <f t="shared" si="7"/>
        <v>17600</v>
      </c>
      <c r="U234" s="507">
        <f t="shared" si="7"/>
        <v>19360</v>
      </c>
      <c r="V234" s="507">
        <f t="shared" si="7"/>
        <v>21296</v>
      </c>
      <c r="W234" s="853"/>
    </row>
    <row r="235" spans="1:23" ht="60">
      <c r="A235" s="857" t="s">
        <v>2713</v>
      </c>
      <c r="B235" s="862">
        <v>0.02</v>
      </c>
      <c r="C235" s="503" t="s">
        <v>2714</v>
      </c>
      <c r="D235" s="503" t="s">
        <v>2715</v>
      </c>
      <c r="E235" s="504" t="s">
        <v>2716</v>
      </c>
      <c r="F235" s="515">
        <v>1</v>
      </c>
      <c r="G235" s="515">
        <v>1</v>
      </c>
      <c r="H235" s="515">
        <v>1</v>
      </c>
      <c r="I235" s="515">
        <v>1</v>
      </c>
      <c r="J235" s="514" t="s">
        <v>2717</v>
      </c>
      <c r="K235" s="387" t="s">
        <v>2718</v>
      </c>
      <c r="L235" s="387" t="s">
        <v>2809</v>
      </c>
      <c r="M235" s="506" t="s">
        <v>2719</v>
      </c>
      <c r="N235" s="506">
        <v>94</v>
      </c>
      <c r="O235" s="506">
        <v>94</v>
      </c>
      <c r="P235" s="506">
        <v>94</v>
      </c>
      <c r="Q235" s="506">
        <v>94</v>
      </c>
      <c r="R235" s="522">
        <f t="shared" si="5"/>
        <v>39912.6</v>
      </c>
      <c r="S235" s="508">
        <v>8600</v>
      </c>
      <c r="T235" s="507">
        <f aca="true" t="shared" si="8" ref="T235:V237">S235*1.1</f>
        <v>9460</v>
      </c>
      <c r="U235" s="507">
        <f t="shared" si="8"/>
        <v>10406</v>
      </c>
      <c r="V235" s="507">
        <f t="shared" si="8"/>
        <v>11446.6</v>
      </c>
      <c r="W235" s="853" t="s">
        <v>1935</v>
      </c>
    </row>
    <row r="236" spans="1:23" ht="75">
      <c r="A236" s="857"/>
      <c r="B236" s="863"/>
      <c r="C236" s="503" t="s">
        <v>2720</v>
      </c>
      <c r="D236" s="502" t="s">
        <v>246</v>
      </c>
      <c r="E236" s="504" t="s">
        <v>2721</v>
      </c>
      <c r="F236" s="515">
        <v>1</v>
      </c>
      <c r="G236" s="515">
        <v>1</v>
      </c>
      <c r="H236" s="515">
        <v>1</v>
      </c>
      <c r="I236" s="515">
        <v>1</v>
      </c>
      <c r="J236" s="514" t="s">
        <v>2722</v>
      </c>
      <c r="K236" s="387" t="s">
        <v>2723</v>
      </c>
      <c r="L236" s="387" t="s">
        <v>2809</v>
      </c>
      <c r="M236" s="506" t="s">
        <v>2724</v>
      </c>
      <c r="N236" s="506">
        <v>94</v>
      </c>
      <c r="O236" s="506">
        <v>94</v>
      </c>
      <c r="P236" s="506">
        <v>94</v>
      </c>
      <c r="Q236" s="506">
        <v>94</v>
      </c>
      <c r="R236" s="522">
        <f t="shared" si="5"/>
        <v>1508325</v>
      </c>
      <c r="S236" s="508">
        <v>325000</v>
      </c>
      <c r="T236" s="507">
        <f>S236*1.1</f>
        <v>357500</v>
      </c>
      <c r="U236" s="507">
        <f t="shared" si="8"/>
        <v>393250.00000000006</v>
      </c>
      <c r="V236" s="507">
        <f t="shared" si="8"/>
        <v>432575.0000000001</v>
      </c>
      <c r="W236" s="853"/>
    </row>
    <row r="237" spans="1:23" ht="60">
      <c r="A237" s="857"/>
      <c r="B237" s="863"/>
      <c r="C237" s="503" t="s">
        <v>2725</v>
      </c>
      <c r="D237" s="502" t="s">
        <v>246</v>
      </c>
      <c r="E237" s="504" t="s">
        <v>2721</v>
      </c>
      <c r="F237" s="515">
        <v>1</v>
      </c>
      <c r="G237" s="515">
        <v>1</v>
      </c>
      <c r="H237" s="515">
        <v>1</v>
      </c>
      <c r="I237" s="515">
        <v>1</v>
      </c>
      <c r="J237" s="514" t="s">
        <v>2726</v>
      </c>
      <c r="K237" s="387" t="s">
        <v>2727</v>
      </c>
      <c r="L237" s="387" t="s">
        <v>189</v>
      </c>
      <c r="M237" s="506" t="s">
        <v>1683</v>
      </c>
      <c r="N237" s="510">
        <v>0.15</v>
      </c>
      <c r="O237" s="510">
        <v>0.35</v>
      </c>
      <c r="P237" s="510">
        <v>0.45</v>
      </c>
      <c r="Q237" s="510">
        <v>0.6</v>
      </c>
      <c r="R237" s="522">
        <f t="shared" si="5"/>
        <v>385667.10000000003</v>
      </c>
      <c r="S237" s="508">
        <v>83100</v>
      </c>
      <c r="T237" s="507">
        <f t="shared" si="8"/>
        <v>91410.00000000001</v>
      </c>
      <c r="U237" s="507">
        <f t="shared" si="8"/>
        <v>100551.00000000003</v>
      </c>
      <c r="V237" s="507">
        <f t="shared" si="8"/>
        <v>110606.10000000003</v>
      </c>
      <c r="W237" s="853"/>
    </row>
    <row r="238" spans="1:23" ht="165">
      <c r="A238" s="866" t="s">
        <v>630</v>
      </c>
      <c r="B238" s="867">
        <v>0.01</v>
      </c>
      <c r="C238" s="410" t="s">
        <v>631</v>
      </c>
      <c r="D238" s="410" t="s">
        <v>632</v>
      </c>
      <c r="E238" s="410">
        <v>6</v>
      </c>
      <c r="F238" s="500">
        <v>0.8</v>
      </c>
      <c r="G238" s="500">
        <v>0.8</v>
      </c>
      <c r="H238" s="500">
        <v>0.8</v>
      </c>
      <c r="I238" s="500">
        <v>0.8</v>
      </c>
      <c r="J238" s="410" t="s">
        <v>633</v>
      </c>
      <c r="K238" s="516" t="s">
        <v>3056</v>
      </c>
      <c r="L238" s="516" t="s">
        <v>2809</v>
      </c>
      <c r="M238" s="469">
        <v>20</v>
      </c>
      <c r="N238" s="469">
        <v>6</v>
      </c>
      <c r="O238" s="469">
        <v>12</v>
      </c>
      <c r="P238" s="469">
        <v>18</v>
      </c>
      <c r="Q238" s="469">
        <v>24</v>
      </c>
      <c r="R238" s="522">
        <f t="shared" si="5"/>
        <v>188422</v>
      </c>
      <c r="S238" s="429">
        <v>39296</v>
      </c>
      <c r="T238" s="422">
        <v>41609</v>
      </c>
      <c r="U238" s="422">
        <v>49770</v>
      </c>
      <c r="V238" s="422">
        <v>57747</v>
      </c>
      <c r="W238" s="865" t="s">
        <v>1935</v>
      </c>
    </row>
    <row r="239" spans="1:23" ht="90">
      <c r="A239" s="866"/>
      <c r="B239" s="867"/>
      <c r="C239" s="410" t="s">
        <v>635</v>
      </c>
      <c r="D239" s="410" t="s">
        <v>636</v>
      </c>
      <c r="E239" s="517">
        <v>17</v>
      </c>
      <c r="F239" s="500">
        <v>0.8</v>
      </c>
      <c r="G239" s="500">
        <v>0.8</v>
      </c>
      <c r="H239" s="500">
        <v>0.8</v>
      </c>
      <c r="I239" s="500">
        <v>0.8</v>
      </c>
      <c r="J239" s="410" t="s">
        <v>637</v>
      </c>
      <c r="K239" s="516" t="s">
        <v>3056</v>
      </c>
      <c r="L239" s="516" t="s">
        <v>2809</v>
      </c>
      <c r="M239" s="469">
        <v>17</v>
      </c>
      <c r="N239" s="469">
        <v>152</v>
      </c>
      <c r="O239" s="469">
        <v>304</v>
      </c>
      <c r="P239" s="469">
        <v>456</v>
      </c>
      <c r="Q239" s="469">
        <v>608</v>
      </c>
      <c r="R239" s="522">
        <f t="shared" si="5"/>
        <v>151000</v>
      </c>
      <c r="S239" s="429">
        <v>30000</v>
      </c>
      <c r="T239" s="422">
        <v>40000</v>
      </c>
      <c r="U239" s="422">
        <v>40000</v>
      </c>
      <c r="V239" s="422">
        <v>41000</v>
      </c>
      <c r="W239" s="865"/>
    </row>
    <row r="240" spans="1:23" ht="30">
      <c r="A240" s="866"/>
      <c r="B240" s="867"/>
      <c r="C240" s="410" t="s">
        <v>638</v>
      </c>
      <c r="D240" s="410" t="s">
        <v>639</v>
      </c>
      <c r="E240" s="517">
        <v>1</v>
      </c>
      <c r="F240" s="421">
        <v>0</v>
      </c>
      <c r="G240" s="421">
        <v>1</v>
      </c>
      <c r="H240" s="421">
        <v>0</v>
      </c>
      <c r="I240" s="421">
        <v>0</v>
      </c>
      <c r="J240" s="410" t="s">
        <v>640</v>
      </c>
      <c r="K240" s="516" t="s">
        <v>3056</v>
      </c>
      <c r="L240" s="516" t="s">
        <v>189</v>
      </c>
      <c r="M240" s="469">
        <v>1</v>
      </c>
      <c r="N240" s="469">
        <v>0</v>
      </c>
      <c r="O240" s="469">
        <v>0</v>
      </c>
      <c r="P240" s="469">
        <v>0</v>
      </c>
      <c r="Q240" s="469">
        <v>0</v>
      </c>
      <c r="R240" s="522">
        <f t="shared" si="5"/>
        <v>0</v>
      </c>
      <c r="S240" s="429">
        <v>0</v>
      </c>
      <c r="T240" s="422">
        <v>0</v>
      </c>
      <c r="U240" s="422">
        <v>0</v>
      </c>
      <c r="V240" s="422">
        <v>0</v>
      </c>
      <c r="W240" s="865"/>
    </row>
    <row r="241" spans="1:23" ht="30">
      <c r="A241" s="866" t="s">
        <v>2728</v>
      </c>
      <c r="B241" s="855">
        <v>0.015</v>
      </c>
      <c r="C241" s="856" t="s">
        <v>2729</v>
      </c>
      <c r="D241" s="856" t="s">
        <v>2730</v>
      </c>
      <c r="E241" s="864" t="s">
        <v>2731</v>
      </c>
      <c r="F241" s="864" t="s">
        <v>2732</v>
      </c>
      <c r="G241" s="864" t="s">
        <v>2732</v>
      </c>
      <c r="H241" s="864" t="s">
        <v>2732</v>
      </c>
      <c r="I241" s="864" t="s">
        <v>2732</v>
      </c>
      <c r="J241" s="467" t="s">
        <v>2733</v>
      </c>
      <c r="K241" s="516" t="s">
        <v>3056</v>
      </c>
      <c r="L241" s="516" t="s">
        <v>189</v>
      </c>
      <c r="M241" s="469">
        <v>650</v>
      </c>
      <c r="N241" s="469">
        <v>832</v>
      </c>
      <c r="O241" s="469">
        <v>1752</v>
      </c>
      <c r="P241" s="469">
        <v>2672</v>
      </c>
      <c r="Q241" s="469">
        <v>3592</v>
      </c>
      <c r="R241" s="522">
        <f aca="true" t="shared" si="9" ref="R241:R255">SUM(S241:V241)</f>
        <v>111119</v>
      </c>
      <c r="S241" s="429">
        <v>22023</v>
      </c>
      <c r="T241" s="422">
        <v>26917</v>
      </c>
      <c r="U241" s="422">
        <v>29609</v>
      </c>
      <c r="V241" s="422">
        <v>32570</v>
      </c>
      <c r="W241" s="865" t="s">
        <v>1935</v>
      </c>
    </row>
    <row r="242" spans="1:23" ht="27.75" customHeight="1">
      <c r="A242" s="866"/>
      <c r="B242" s="855"/>
      <c r="C242" s="856"/>
      <c r="D242" s="856"/>
      <c r="E242" s="864"/>
      <c r="F242" s="864"/>
      <c r="G242" s="864"/>
      <c r="H242" s="864"/>
      <c r="I242" s="864"/>
      <c r="J242" s="467" t="s">
        <v>2734</v>
      </c>
      <c r="K242" s="516" t="s">
        <v>3056</v>
      </c>
      <c r="L242" s="516" t="s">
        <v>189</v>
      </c>
      <c r="M242" s="469">
        <v>0</v>
      </c>
      <c r="N242" s="469">
        <v>4000</v>
      </c>
      <c r="O242" s="469">
        <v>8000</v>
      </c>
      <c r="P242" s="469">
        <v>12000</v>
      </c>
      <c r="Q242" s="469">
        <v>16000</v>
      </c>
      <c r="R242" s="522">
        <f t="shared" si="9"/>
        <v>278460</v>
      </c>
      <c r="S242" s="429">
        <v>60000</v>
      </c>
      <c r="T242" s="422">
        <v>66000</v>
      </c>
      <c r="U242" s="422">
        <v>72600</v>
      </c>
      <c r="V242" s="422">
        <v>79860</v>
      </c>
      <c r="W242" s="865"/>
    </row>
    <row r="243" spans="1:23" ht="60">
      <c r="A243" s="866"/>
      <c r="B243" s="855"/>
      <c r="C243" s="856"/>
      <c r="D243" s="856"/>
      <c r="E243" s="864"/>
      <c r="F243" s="864"/>
      <c r="G243" s="864"/>
      <c r="H243" s="864"/>
      <c r="I243" s="864"/>
      <c r="J243" s="467" t="s">
        <v>2735</v>
      </c>
      <c r="K243" s="491" t="s">
        <v>3056</v>
      </c>
      <c r="L243" s="516" t="s">
        <v>189</v>
      </c>
      <c r="M243" s="469">
        <v>40</v>
      </c>
      <c r="N243" s="469">
        <v>50</v>
      </c>
      <c r="O243" s="469">
        <v>100</v>
      </c>
      <c r="P243" s="469">
        <v>150</v>
      </c>
      <c r="Q243" s="469">
        <v>200</v>
      </c>
      <c r="R243" s="522">
        <f t="shared" si="9"/>
        <v>22803</v>
      </c>
      <c r="S243" s="429">
        <v>4920</v>
      </c>
      <c r="T243" s="422">
        <v>5412</v>
      </c>
      <c r="U243" s="422">
        <v>5953</v>
      </c>
      <c r="V243" s="422">
        <v>6518</v>
      </c>
      <c r="W243" s="865"/>
    </row>
    <row r="244" spans="1:23" ht="60">
      <c r="A244" s="866"/>
      <c r="B244" s="855"/>
      <c r="C244" s="856"/>
      <c r="D244" s="856"/>
      <c r="E244" s="864"/>
      <c r="F244" s="864"/>
      <c r="G244" s="864"/>
      <c r="H244" s="864"/>
      <c r="I244" s="864"/>
      <c r="J244" s="467" t="s">
        <v>2736</v>
      </c>
      <c r="K244" s="491" t="s">
        <v>3052</v>
      </c>
      <c r="L244" s="516" t="s">
        <v>189</v>
      </c>
      <c r="M244" s="469">
        <v>0</v>
      </c>
      <c r="N244" s="423">
        <v>0.24</v>
      </c>
      <c r="O244" s="423">
        <v>0.47</v>
      </c>
      <c r="P244" s="423">
        <v>0.7</v>
      </c>
      <c r="Q244" s="423">
        <v>0.94</v>
      </c>
      <c r="R244" s="522">
        <f t="shared" si="9"/>
        <v>114074</v>
      </c>
      <c r="S244" s="429">
        <v>24580</v>
      </c>
      <c r="T244" s="422">
        <v>27038</v>
      </c>
      <c r="U244" s="422">
        <v>29741</v>
      </c>
      <c r="V244" s="422">
        <v>32715</v>
      </c>
      <c r="W244" s="865"/>
    </row>
    <row r="245" spans="1:23" ht="75">
      <c r="A245" s="866"/>
      <c r="B245" s="855"/>
      <c r="C245" s="408" t="s">
        <v>2737</v>
      </c>
      <c r="D245" s="408" t="s">
        <v>2738</v>
      </c>
      <c r="E245" s="421" t="s">
        <v>2739</v>
      </c>
      <c r="F245" s="421" t="s">
        <v>2740</v>
      </c>
      <c r="G245" s="421" t="s">
        <v>2740</v>
      </c>
      <c r="H245" s="421" t="s">
        <v>2740</v>
      </c>
      <c r="I245" s="421" t="s">
        <v>2740</v>
      </c>
      <c r="J245" s="467" t="s">
        <v>2741</v>
      </c>
      <c r="K245" s="491" t="s">
        <v>3056</v>
      </c>
      <c r="L245" s="516" t="s">
        <v>2809</v>
      </c>
      <c r="M245" s="469">
        <v>0</v>
      </c>
      <c r="N245" s="469">
        <v>1</v>
      </c>
      <c r="O245" s="469">
        <v>2</v>
      </c>
      <c r="P245" s="469">
        <v>3</v>
      </c>
      <c r="Q245" s="469">
        <v>4</v>
      </c>
      <c r="R245" s="522">
        <f t="shared" si="9"/>
        <v>9240</v>
      </c>
      <c r="S245" s="429">
        <v>2000</v>
      </c>
      <c r="T245" s="422">
        <v>2200</v>
      </c>
      <c r="U245" s="422">
        <v>2400</v>
      </c>
      <c r="V245" s="422">
        <v>2640</v>
      </c>
      <c r="W245" s="865"/>
    </row>
    <row r="246" spans="1:23" ht="33.75" customHeight="1">
      <c r="A246" s="866" t="s">
        <v>79</v>
      </c>
      <c r="B246" s="867">
        <v>0.01</v>
      </c>
      <c r="C246" s="410" t="s">
        <v>80</v>
      </c>
      <c r="D246" s="410" t="s">
        <v>81</v>
      </c>
      <c r="E246" s="410">
        <v>12</v>
      </c>
      <c r="F246" s="421" t="s">
        <v>2712</v>
      </c>
      <c r="G246" s="421" t="s">
        <v>2712</v>
      </c>
      <c r="H246" s="421" t="s">
        <v>2712</v>
      </c>
      <c r="I246" s="421" t="s">
        <v>2712</v>
      </c>
      <c r="J246" s="410" t="s">
        <v>2742</v>
      </c>
      <c r="K246" s="491" t="s">
        <v>3056</v>
      </c>
      <c r="L246" s="491" t="s">
        <v>189</v>
      </c>
      <c r="M246" s="469">
        <v>4</v>
      </c>
      <c r="N246" s="469">
        <v>3</v>
      </c>
      <c r="O246" s="469">
        <v>6</v>
      </c>
      <c r="P246" s="469">
        <v>9</v>
      </c>
      <c r="Q246" s="469">
        <v>12</v>
      </c>
      <c r="R246" s="522">
        <f t="shared" si="9"/>
        <v>355548</v>
      </c>
      <c r="S246" s="429">
        <v>65108</v>
      </c>
      <c r="T246" s="422">
        <v>87746</v>
      </c>
      <c r="U246" s="422">
        <v>96521</v>
      </c>
      <c r="V246" s="422">
        <v>106173</v>
      </c>
      <c r="W246" s="865" t="s">
        <v>1935</v>
      </c>
    </row>
    <row r="247" spans="1:23" ht="38.25" customHeight="1">
      <c r="A247" s="866"/>
      <c r="B247" s="867"/>
      <c r="C247" s="410" t="s">
        <v>14</v>
      </c>
      <c r="D247" s="410" t="s">
        <v>15</v>
      </c>
      <c r="E247" s="410">
        <v>4</v>
      </c>
      <c r="F247" s="421" t="s">
        <v>2712</v>
      </c>
      <c r="G247" s="421" t="s">
        <v>2712</v>
      </c>
      <c r="H247" s="421" t="s">
        <v>2712</v>
      </c>
      <c r="I247" s="421" t="s">
        <v>2712</v>
      </c>
      <c r="J247" s="410" t="s">
        <v>16</v>
      </c>
      <c r="K247" s="408" t="s">
        <v>3056</v>
      </c>
      <c r="L247" s="408" t="s">
        <v>189</v>
      </c>
      <c r="M247" s="499">
        <v>4</v>
      </c>
      <c r="N247" s="499">
        <v>4</v>
      </c>
      <c r="O247" s="499">
        <v>8</v>
      </c>
      <c r="P247" s="499">
        <v>12</v>
      </c>
      <c r="Q247" s="499">
        <v>16</v>
      </c>
      <c r="R247" s="522">
        <f t="shared" si="9"/>
        <v>0</v>
      </c>
      <c r="S247" s="429">
        <v>0</v>
      </c>
      <c r="T247" s="422">
        <v>0</v>
      </c>
      <c r="U247" s="422">
        <v>0</v>
      </c>
      <c r="V247" s="422">
        <v>0</v>
      </c>
      <c r="W247" s="865"/>
    </row>
    <row r="248" spans="1:23" ht="60">
      <c r="A248" s="857" t="s">
        <v>2743</v>
      </c>
      <c r="B248" s="862">
        <v>0.02</v>
      </c>
      <c r="C248" s="863" t="s">
        <v>17</v>
      </c>
      <c r="D248" s="863" t="s">
        <v>905</v>
      </c>
      <c r="E248" s="853" t="s">
        <v>906</v>
      </c>
      <c r="F248" s="858" t="s">
        <v>2712</v>
      </c>
      <c r="G248" s="858" t="s">
        <v>2712</v>
      </c>
      <c r="H248" s="858" t="s">
        <v>2712</v>
      </c>
      <c r="I248" s="858" t="s">
        <v>2712</v>
      </c>
      <c r="J248" s="513" t="s">
        <v>907</v>
      </c>
      <c r="K248" s="387" t="s">
        <v>908</v>
      </c>
      <c r="L248" s="387" t="s">
        <v>189</v>
      </c>
      <c r="M248" s="510">
        <v>0.15</v>
      </c>
      <c r="N248" s="506">
        <v>2880</v>
      </c>
      <c r="O248" s="506">
        <f>N248*2</f>
        <v>5760</v>
      </c>
      <c r="P248" s="506">
        <f>N248*3</f>
        <v>8640</v>
      </c>
      <c r="Q248" s="506">
        <f>N248*4</f>
        <v>11520</v>
      </c>
      <c r="R248" s="522">
        <f t="shared" si="9"/>
        <v>315588</v>
      </c>
      <c r="S248" s="508">
        <v>68000</v>
      </c>
      <c r="T248" s="507">
        <f aca="true" t="shared" si="10" ref="T248:V252">S248*1.1</f>
        <v>74800</v>
      </c>
      <c r="U248" s="507">
        <f t="shared" si="10"/>
        <v>82280</v>
      </c>
      <c r="V248" s="507">
        <f t="shared" si="10"/>
        <v>90508.00000000001</v>
      </c>
      <c r="W248" s="853" t="s">
        <v>1935</v>
      </c>
    </row>
    <row r="249" spans="1:23" ht="60">
      <c r="A249" s="857"/>
      <c r="B249" s="862"/>
      <c r="C249" s="863"/>
      <c r="D249" s="863"/>
      <c r="E249" s="853"/>
      <c r="F249" s="858"/>
      <c r="G249" s="858"/>
      <c r="H249" s="858"/>
      <c r="I249" s="858"/>
      <c r="J249" s="518" t="s">
        <v>909</v>
      </c>
      <c r="K249" s="387" t="s">
        <v>910</v>
      </c>
      <c r="L249" s="387" t="s">
        <v>189</v>
      </c>
      <c r="M249" s="506" t="s">
        <v>1683</v>
      </c>
      <c r="N249" s="506">
        <f>2400*1</f>
        <v>2400</v>
      </c>
      <c r="O249" s="506">
        <f>2400*2</f>
        <v>4800</v>
      </c>
      <c r="P249" s="506">
        <f>2400*3</f>
        <v>7200</v>
      </c>
      <c r="Q249" s="506">
        <f>2400*4</f>
        <v>9600</v>
      </c>
      <c r="R249" s="522">
        <f t="shared" si="9"/>
        <v>185640</v>
      </c>
      <c r="S249" s="508">
        <v>40000</v>
      </c>
      <c r="T249" s="507">
        <f t="shared" si="10"/>
        <v>44000</v>
      </c>
      <c r="U249" s="507">
        <f t="shared" si="10"/>
        <v>48400.00000000001</v>
      </c>
      <c r="V249" s="507">
        <f t="shared" si="10"/>
        <v>53240.000000000015</v>
      </c>
      <c r="W249" s="853"/>
    </row>
    <row r="250" spans="1:23" ht="60">
      <c r="A250" s="857"/>
      <c r="B250" s="862"/>
      <c r="C250" s="863"/>
      <c r="D250" s="863"/>
      <c r="E250" s="853"/>
      <c r="F250" s="858"/>
      <c r="G250" s="858"/>
      <c r="H250" s="858"/>
      <c r="I250" s="858"/>
      <c r="J250" s="514" t="s">
        <v>911</v>
      </c>
      <c r="K250" s="387" t="s">
        <v>912</v>
      </c>
      <c r="L250" s="387" t="s">
        <v>189</v>
      </c>
      <c r="M250" s="506" t="s">
        <v>1683</v>
      </c>
      <c r="N250" s="506">
        <v>260</v>
      </c>
      <c r="O250" s="506">
        <f>N250*2</f>
        <v>520</v>
      </c>
      <c r="P250" s="506">
        <f>N250*3</f>
        <v>780</v>
      </c>
      <c r="Q250" s="506">
        <f>N250*4</f>
        <v>1040</v>
      </c>
      <c r="R250" s="522">
        <f t="shared" si="9"/>
        <v>168932.4</v>
      </c>
      <c r="S250" s="519">
        <v>36400</v>
      </c>
      <c r="T250" s="507">
        <f t="shared" si="10"/>
        <v>40040</v>
      </c>
      <c r="U250" s="507">
        <f>T250*1.1</f>
        <v>44044</v>
      </c>
      <c r="V250" s="507">
        <f t="shared" si="10"/>
        <v>48448.4</v>
      </c>
      <c r="W250" s="853"/>
    </row>
    <row r="251" spans="1:23" ht="60">
      <c r="A251" s="857"/>
      <c r="B251" s="862"/>
      <c r="C251" s="863"/>
      <c r="D251" s="863"/>
      <c r="E251" s="853"/>
      <c r="F251" s="858"/>
      <c r="G251" s="858"/>
      <c r="H251" s="858"/>
      <c r="I251" s="858"/>
      <c r="J251" s="514" t="s">
        <v>913</v>
      </c>
      <c r="K251" s="387" t="s">
        <v>914</v>
      </c>
      <c r="L251" s="387" t="s">
        <v>189</v>
      </c>
      <c r="M251" s="510">
        <v>1</v>
      </c>
      <c r="N251" s="506">
        <v>26</v>
      </c>
      <c r="O251" s="506">
        <v>26</v>
      </c>
      <c r="P251" s="506">
        <v>26</v>
      </c>
      <c r="Q251" s="506">
        <v>26</v>
      </c>
      <c r="R251" s="522">
        <f t="shared" si="9"/>
        <v>18564</v>
      </c>
      <c r="S251" s="519">
        <v>4000</v>
      </c>
      <c r="T251" s="507">
        <f t="shared" si="10"/>
        <v>4400</v>
      </c>
      <c r="U251" s="507">
        <f t="shared" si="10"/>
        <v>4840</v>
      </c>
      <c r="V251" s="507">
        <f t="shared" si="10"/>
        <v>5324</v>
      </c>
      <c r="W251" s="853"/>
    </row>
    <row r="252" spans="1:23" ht="60">
      <c r="A252" s="857"/>
      <c r="B252" s="862"/>
      <c r="C252" s="863"/>
      <c r="D252" s="863"/>
      <c r="E252" s="853"/>
      <c r="F252" s="858"/>
      <c r="G252" s="858"/>
      <c r="H252" s="858"/>
      <c r="I252" s="858"/>
      <c r="J252" s="520" t="s">
        <v>915</v>
      </c>
      <c r="K252" s="387" t="s">
        <v>916</v>
      </c>
      <c r="L252" s="387" t="s">
        <v>189</v>
      </c>
      <c r="M252" s="521">
        <v>19000</v>
      </c>
      <c r="N252" s="506">
        <v>6000</v>
      </c>
      <c r="O252" s="506">
        <v>12000</v>
      </c>
      <c r="P252" s="506">
        <v>18000</v>
      </c>
      <c r="Q252" s="506">
        <v>24000</v>
      </c>
      <c r="R252" s="522">
        <f t="shared" si="9"/>
        <v>64974.00000000001</v>
      </c>
      <c r="S252" s="519">
        <v>14000</v>
      </c>
      <c r="T252" s="507">
        <f t="shared" si="10"/>
        <v>15400.000000000002</v>
      </c>
      <c r="U252" s="507">
        <f t="shared" si="10"/>
        <v>16940.000000000004</v>
      </c>
      <c r="V252" s="507">
        <f t="shared" si="10"/>
        <v>18634.000000000007</v>
      </c>
      <c r="W252" s="853"/>
    </row>
    <row r="253" spans="1:23" ht="75">
      <c r="A253" s="857"/>
      <c r="B253" s="862"/>
      <c r="C253" s="863"/>
      <c r="D253" s="863"/>
      <c r="E253" s="853"/>
      <c r="F253" s="858"/>
      <c r="G253" s="858"/>
      <c r="H253" s="858"/>
      <c r="I253" s="858"/>
      <c r="J253" s="514" t="s">
        <v>917</v>
      </c>
      <c r="K253" s="387" t="s">
        <v>2744</v>
      </c>
      <c r="L253" s="387" t="s">
        <v>189</v>
      </c>
      <c r="M253" s="510">
        <v>1</v>
      </c>
      <c r="N253" s="510">
        <v>1</v>
      </c>
      <c r="O253" s="510">
        <v>1</v>
      </c>
      <c r="P253" s="510">
        <v>1</v>
      </c>
      <c r="Q253" s="510">
        <v>1</v>
      </c>
      <c r="R253" s="522">
        <f t="shared" si="9"/>
        <v>388000</v>
      </c>
      <c r="S253" s="519">
        <v>97000</v>
      </c>
      <c r="T253" s="519">
        <v>97000</v>
      </c>
      <c r="U253" s="519">
        <v>97000</v>
      </c>
      <c r="V253" s="519">
        <v>97000</v>
      </c>
      <c r="W253" s="853"/>
    </row>
    <row r="254" spans="1:23" ht="90">
      <c r="A254" s="854" t="s">
        <v>2745</v>
      </c>
      <c r="B254" s="855">
        <v>0.12</v>
      </c>
      <c r="C254" s="386" t="s">
        <v>2746</v>
      </c>
      <c r="D254" s="529" t="s">
        <v>244</v>
      </c>
      <c r="E254" s="408" t="s">
        <v>2747</v>
      </c>
      <c r="F254" s="408">
        <v>70</v>
      </c>
      <c r="G254" s="408">
        <v>80</v>
      </c>
      <c r="H254" s="408">
        <v>90</v>
      </c>
      <c r="I254" s="408">
        <v>100</v>
      </c>
      <c r="J254" s="522" t="s">
        <v>2748</v>
      </c>
      <c r="K254" s="523" t="s">
        <v>3052</v>
      </c>
      <c r="L254" s="387" t="s">
        <v>2809</v>
      </c>
      <c r="M254" s="522">
        <v>36</v>
      </c>
      <c r="N254" s="524">
        <v>1</v>
      </c>
      <c r="O254" s="524">
        <v>1</v>
      </c>
      <c r="P254" s="524">
        <v>1</v>
      </c>
      <c r="Q254" s="524">
        <v>1</v>
      </c>
      <c r="R254" s="522">
        <f t="shared" si="9"/>
        <v>0</v>
      </c>
      <c r="S254" s="525"/>
      <c r="T254" s="526"/>
      <c r="U254" s="526"/>
      <c r="V254" s="526"/>
      <c r="W254" s="856" t="s">
        <v>2749</v>
      </c>
    </row>
    <row r="255" spans="1:23" ht="90">
      <c r="A255" s="854"/>
      <c r="B255" s="855"/>
      <c r="C255" s="386" t="s">
        <v>2750</v>
      </c>
      <c r="D255" s="386" t="s">
        <v>2434</v>
      </c>
      <c r="E255" s="408">
        <v>2</v>
      </c>
      <c r="F255" s="408">
        <v>1</v>
      </c>
      <c r="G255" s="408">
        <v>1</v>
      </c>
      <c r="H255" s="408">
        <v>1</v>
      </c>
      <c r="I255" s="408">
        <v>1</v>
      </c>
      <c r="J255" s="522" t="s">
        <v>2751</v>
      </c>
      <c r="K255" s="523" t="s">
        <v>3052</v>
      </c>
      <c r="L255" s="387" t="s">
        <v>2809</v>
      </c>
      <c r="M255" s="522">
        <v>40</v>
      </c>
      <c r="N255" s="524">
        <v>1</v>
      </c>
      <c r="O255" s="524">
        <v>1</v>
      </c>
      <c r="P255" s="524">
        <v>1</v>
      </c>
      <c r="Q255" s="524">
        <v>1</v>
      </c>
      <c r="R255" s="522">
        <f t="shared" si="9"/>
        <v>0</v>
      </c>
      <c r="S255" s="525"/>
      <c r="T255" s="526"/>
      <c r="U255" s="526"/>
      <c r="V255" s="526"/>
      <c r="W255" s="856"/>
    </row>
    <row r="256" spans="1:23" ht="90">
      <c r="A256" s="854"/>
      <c r="B256" s="855"/>
      <c r="C256" s="386" t="s">
        <v>2752</v>
      </c>
      <c r="D256" s="386" t="s">
        <v>2753</v>
      </c>
      <c r="E256" s="408">
        <v>0</v>
      </c>
      <c r="F256" s="408">
        <v>1</v>
      </c>
      <c r="G256" s="408">
        <v>0</v>
      </c>
      <c r="H256" s="408">
        <v>0</v>
      </c>
      <c r="I256" s="408">
        <v>0</v>
      </c>
      <c r="J256" s="522" t="s">
        <v>3089</v>
      </c>
      <c r="K256" s="523" t="s">
        <v>3056</v>
      </c>
      <c r="L256" s="387" t="s">
        <v>2809</v>
      </c>
      <c r="M256" s="522">
        <v>2</v>
      </c>
      <c r="N256" s="527">
        <v>2</v>
      </c>
      <c r="O256" s="527">
        <v>2</v>
      </c>
      <c r="P256" s="527">
        <v>2</v>
      </c>
      <c r="Q256" s="527">
        <v>2</v>
      </c>
      <c r="R256" s="522">
        <f>SUM(S256:V256)</f>
        <v>0</v>
      </c>
      <c r="S256" s="525"/>
      <c r="T256" s="526"/>
      <c r="U256" s="526"/>
      <c r="V256" s="526"/>
      <c r="W256" s="856"/>
    </row>
    <row r="258" spans="1:23" ht="15.75">
      <c r="A258" s="599" t="s">
        <v>247</v>
      </c>
      <c r="B258" s="599"/>
      <c r="C258" s="599"/>
      <c r="D258" s="599"/>
      <c r="E258" s="599"/>
      <c r="F258" s="599"/>
      <c r="G258" s="599"/>
      <c r="H258" s="599"/>
      <c r="I258" s="599"/>
      <c r="J258" s="599"/>
      <c r="K258" s="599"/>
      <c r="L258" s="599"/>
      <c r="M258" s="599"/>
      <c r="N258" s="599"/>
      <c r="O258" s="599"/>
      <c r="P258" s="599"/>
      <c r="Q258" s="599"/>
      <c r="R258" s="354">
        <f>SUM(R8:R256)</f>
        <v>758156226.8596668</v>
      </c>
      <c r="S258" s="354">
        <f>SUM(S8:S256)</f>
        <v>168487637.66666666</v>
      </c>
      <c r="T258" s="354">
        <f>SUM(T8:T256)</f>
        <v>184373802.9666667</v>
      </c>
      <c r="U258" s="354">
        <f>SUM(U8:U256)</f>
        <v>195179056.46333334</v>
      </c>
      <c r="V258" s="354">
        <f>SUM(V8:V256)</f>
        <v>210115729.76299998</v>
      </c>
      <c r="W258" s="385"/>
    </row>
    <row r="263" ht="15.75">
      <c r="T263" s="322"/>
    </row>
  </sheetData>
  <sheetProtection selectLockedCells="1" selectUnlockedCells="1"/>
  <mergeCells count="454">
    <mergeCell ref="A238:A240"/>
    <mergeCell ref="B238:B240"/>
    <mergeCell ref="W238:W240"/>
    <mergeCell ref="A241:A245"/>
    <mergeCell ref="B241:B245"/>
    <mergeCell ref="C241:C244"/>
    <mergeCell ref="D241:D244"/>
    <mergeCell ref="E241:E244"/>
    <mergeCell ref="F241:F244"/>
    <mergeCell ref="H241:H244"/>
    <mergeCell ref="H233:H234"/>
    <mergeCell ref="I233:I234"/>
    <mergeCell ref="W233:W234"/>
    <mergeCell ref="A235:A237"/>
    <mergeCell ref="B235:B237"/>
    <mergeCell ref="W235:W237"/>
    <mergeCell ref="G231:G232"/>
    <mergeCell ref="H231:H232"/>
    <mergeCell ref="I231:I232"/>
    <mergeCell ref="A233:A234"/>
    <mergeCell ref="B233:B234"/>
    <mergeCell ref="C233:C234"/>
    <mergeCell ref="D233:D234"/>
    <mergeCell ref="E233:E234"/>
    <mergeCell ref="F233:F234"/>
    <mergeCell ref="G233:G234"/>
    <mergeCell ref="G218:G220"/>
    <mergeCell ref="H218:H220"/>
    <mergeCell ref="I218:I220"/>
    <mergeCell ref="W218:W232"/>
    <mergeCell ref="G221:G225"/>
    <mergeCell ref="H221:H225"/>
    <mergeCell ref="I221:I225"/>
    <mergeCell ref="G226:G230"/>
    <mergeCell ref="H226:H230"/>
    <mergeCell ref="I226:I230"/>
    <mergeCell ref="F226:F230"/>
    <mergeCell ref="A218:A232"/>
    <mergeCell ref="B218:B232"/>
    <mergeCell ref="C218:C220"/>
    <mergeCell ref="D218:D220"/>
    <mergeCell ref="C221:C225"/>
    <mergeCell ref="D221:D225"/>
    <mergeCell ref="C226:C230"/>
    <mergeCell ref="D226:D230"/>
    <mergeCell ref="I214:I216"/>
    <mergeCell ref="E218:E220"/>
    <mergeCell ref="F218:F220"/>
    <mergeCell ref="C231:C232"/>
    <mergeCell ref="D231:D232"/>
    <mergeCell ref="E231:E232"/>
    <mergeCell ref="F231:F232"/>
    <mergeCell ref="E221:E225"/>
    <mergeCell ref="F221:F225"/>
    <mergeCell ref="E226:E230"/>
    <mergeCell ref="I200:I206"/>
    <mergeCell ref="A209:A217"/>
    <mergeCell ref="B209:B217"/>
    <mergeCell ref="W209:W217"/>
    <mergeCell ref="C213:C216"/>
    <mergeCell ref="D213:D216"/>
    <mergeCell ref="E213:E216"/>
    <mergeCell ref="F213:F216"/>
    <mergeCell ref="G214:G216"/>
    <mergeCell ref="H214:H216"/>
    <mergeCell ref="G192:G199"/>
    <mergeCell ref="H192:H199"/>
    <mergeCell ref="I192:I199"/>
    <mergeCell ref="W192:W208"/>
    <mergeCell ref="C200:C206"/>
    <mergeCell ref="D200:D206"/>
    <mergeCell ref="E200:E206"/>
    <mergeCell ref="F200:F206"/>
    <mergeCell ref="G200:G206"/>
    <mergeCell ref="H200:H206"/>
    <mergeCell ref="A192:A208"/>
    <mergeCell ref="B192:B208"/>
    <mergeCell ref="C192:C199"/>
    <mergeCell ref="D192:D199"/>
    <mergeCell ref="E192:E199"/>
    <mergeCell ref="F192:F199"/>
    <mergeCell ref="E185:E188"/>
    <mergeCell ref="F185:F188"/>
    <mergeCell ref="G185:G188"/>
    <mergeCell ref="H185:H188"/>
    <mergeCell ref="I185:I188"/>
    <mergeCell ref="H189:H191"/>
    <mergeCell ref="I189:I191"/>
    <mergeCell ref="H173:H181"/>
    <mergeCell ref="I173:I181"/>
    <mergeCell ref="W173:W178"/>
    <mergeCell ref="W179:W184"/>
    <mergeCell ref="W185:W191"/>
    <mergeCell ref="C189:C191"/>
    <mergeCell ref="D189:D191"/>
    <mergeCell ref="E189:E191"/>
    <mergeCell ref="F189:F191"/>
    <mergeCell ref="G189:G191"/>
    <mergeCell ref="H161:H162"/>
    <mergeCell ref="A173:A184"/>
    <mergeCell ref="B173:B184"/>
    <mergeCell ref="C173:C181"/>
    <mergeCell ref="D173:D181"/>
    <mergeCell ref="A185:A191"/>
    <mergeCell ref="B185:B191"/>
    <mergeCell ref="C185:C188"/>
    <mergeCell ref="D185:D188"/>
    <mergeCell ref="G173:G181"/>
    <mergeCell ref="I167:I172"/>
    <mergeCell ref="E173:E181"/>
    <mergeCell ref="F173:F181"/>
    <mergeCell ref="I161:I162"/>
    <mergeCell ref="B163:B172"/>
    <mergeCell ref="C161:C162"/>
    <mergeCell ref="D161:D162"/>
    <mergeCell ref="E161:E162"/>
    <mergeCell ref="F161:F162"/>
    <mergeCell ref="G161:G162"/>
    <mergeCell ref="I159:I160"/>
    <mergeCell ref="C156:C157"/>
    <mergeCell ref="D156:D157"/>
    <mergeCell ref="W163:W172"/>
    <mergeCell ref="C167:C172"/>
    <mergeCell ref="D167:D172"/>
    <mergeCell ref="E167:E172"/>
    <mergeCell ref="F167:F172"/>
    <mergeCell ref="G167:G172"/>
    <mergeCell ref="H167:H172"/>
    <mergeCell ref="C159:C160"/>
    <mergeCell ref="D159:D160"/>
    <mergeCell ref="E159:E160"/>
    <mergeCell ref="F159:F160"/>
    <mergeCell ref="G159:G160"/>
    <mergeCell ref="H159:H160"/>
    <mergeCell ref="E31:E33"/>
    <mergeCell ref="E156:E157"/>
    <mergeCell ref="F156:F157"/>
    <mergeCell ref="G156:G157"/>
    <mergeCell ref="H156:H157"/>
    <mergeCell ref="I156:I157"/>
    <mergeCell ref="G149:G150"/>
    <mergeCell ref="H149:H150"/>
    <mergeCell ref="I149:I150"/>
    <mergeCell ref="I151:I152"/>
    <mergeCell ref="C149:C150"/>
    <mergeCell ref="D149:D150"/>
    <mergeCell ref="I8:I14"/>
    <mergeCell ref="C154:C155"/>
    <mergeCell ref="D154:D155"/>
    <mergeCell ref="E154:E155"/>
    <mergeCell ref="F154:F155"/>
    <mergeCell ref="G154:G155"/>
    <mergeCell ref="H154:H155"/>
    <mergeCell ref="I154:I155"/>
    <mergeCell ref="C151:C152"/>
    <mergeCell ref="D151:D152"/>
    <mergeCell ref="E151:E152"/>
    <mergeCell ref="F151:F152"/>
    <mergeCell ref="G151:G152"/>
    <mergeCell ref="H151:H152"/>
    <mergeCell ref="H145:H146"/>
    <mergeCell ref="I145:I146"/>
    <mergeCell ref="I136:I140"/>
    <mergeCell ref="W136:W162"/>
    <mergeCell ref="D145:D146"/>
    <mergeCell ref="E145:E146"/>
    <mergeCell ref="F145:F146"/>
    <mergeCell ref="G145:G146"/>
    <mergeCell ref="E149:E150"/>
    <mergeCell ref="F149:F150"/>
    <mergeCell ref="G136:G140"/>
    <mergeCell ref="H136:H140"/>
    <mergeCell ref="G143:G144"/>
    <mergeCell ref="H143:H144"/>
    <mergeCell ref="I143:I144"/>
    <mergeCell ref="C145:C146"/>
    <mergeCell ref="C143:C144"/>
    <mergeCell ref="D143:D144"/>
    <mergeCell ref="E143:E144"/>
    <mergeCell ref="F143:F144"/>
    <mergeCell ref="S133:S135"/>
    <mergeCell ref="T133:T135"/>
    <mergeCell ref="U133:U135"/>
    <mergeCell ref="V133:V135"/>
    <mergeCell ref="A136:A162"/>
    <mergeCell ref="B136:B162"/>
    <mergeCell ref="C136:C140"/>
    <mergeCell ref="D136:D140"/>
    <mergeCell ref="E136:E140"/>
    <mergeCell ref="F136:F140"/>
    <mergeCell ref="S131:S132"/>
    <mergeCell ref="T131:T132"/>
    <mergeCell ref="U131:U132"/>
    <mergeCell ref="V131:V132"/>
    <mergeCell ref="M133:M135"/>
    <mergeCell ref="N133:N135"/>
    <mergeCell ref="O133:O135"/>
    <mergeCell ref="P133:P135"/>
    <mergeCell ref="Q133:Q135"/>
    <mergeCell ref="R133:R135"/>
    <mergeCell ref="S129:S130"/>
    <mergeCell ref="T129:T130"/>
    <mergeCell ref="U129:U130"/>
    <mergeCell ref="V129:V130"/>
    <mergeCell ref="M131:M132"/>
    <mergeCell ref="N131:N132"/>
    <mergeCell ref="O131:O132"/>
    <mergeCell ref="P131:P132"/>
    <mergeCell ref="Q131:Q132"/>
    <mergeCell ref="R131:R132"/>
    <mergeCell ref="I118:I121"/>
    <mergeCell ref="D116:D117"/>
    <mergeCell ref="W124:W135"/>
    <mergeCell ref="L129:L130"/>
    <mergeCell ref="M129:M130"/>
    <mergeCell ref="N129:N130"/>
    <mergeCell ref="O129:O130"/>
    <mergeCell ref="P129:P130"/>
    <mergeCell ref="Q129:Q130"/>
    <mergeCell ref="R129:R130"/>
    <mergeCell ref="E122:E123"/>
    <mergeCell ref="F122:F123"/>
    <mergeCell ref="G122:G123"/>
    <mergeCell ref="H122:H123"/>
    <mergeCell ref="H118:H121"/>
    <mergeCell ref="A116:A123"/>
    <mergeCell ref="D118:D121"/>
    <mergeCell ref="E118:E121"/>
    <mergeCell ref="F118:F121"/>
    <mergeCell ref="G118:G121"/>
    <mergeCell ref="B116:B123"/>
    <mergeCell ref="C116:C117"/>
    <mergeCell ref="C118:C121"/>
    <mergeCell ref="C122:C123"/>
    <mergeCell ref="A124:A135"/>
    <mergeCell ref="B124:B135"/>
    <mergeCell ref="C64:C65"/>
    <mergeCell ref="D122:D123"/>
    <mergeCell ref="I122:I123"/>
    <mergeCell ref="C66:C67"/>
    <mergeCell ref="C68:C69"/>
    <mergeCell ref="C76:C77"/>
    <mergeCell ref="C79:C80"/>
    <mergeCell ref="D66:D67"/>
    <mergeCell ref="F66:F67"/>
    <mergeCell ref="G66:G67"/>
    <mergeCell ref="D8:D14"/>
    <mergeCell ref="E24:E27"/>
    <mergeCell ref="F24:F27"/>
    <mergeCell ref="F31:F33"/>
    <mergeCell ref="C82:C90"/>
    <mergeCell ref="C53:C54"/>
    <mergeCell ref="C55:C56"/>
    <mergeCell ref="C57:C58"/>
    <mergeCell ref="C59:C61"/>
    <mergeCell ref="C62:C63"/>
    <mergeCell ref="W6:W7"/>
    <mergeCell ref="G8:G14"/>
    <mergeCell ref="H8:H14"/>
    <mergeCell ref="D15:D18"/>
    <mergeCell ref="E15:E18"/>
    <mergeCell ref="F15:F18"/>
    <mergeCell ref="G15:G18"/>
    <mergeCell ref="H15:H18"/>
    <mergeCell ref="E8:E14"/>
    <mergeCell ref="F8:F14"/>
    <mergeCell ref="C8:C14"/>
    <mergeCell ref="C15:C18"/>
    <mergeCell ref="B8:B37"/>
    <mergeCell ref="A5:W5"/>
    <mergeCell ref="A6:A7"/>
    <mergeCell ref="B6:B7"/>
    <mergeCell ref="C6:C7"/>
    <mergeCell ref="D6:J6"/>
    <mergeCell ref="K6:Q6"/>
    <mergeCell ref="R6:V6"/>
    <mergeCell ref="A1:W1"/>
    <mergeCell ref="A2:W2"/>
    <mergeCell ref="A3:W3"/>
    <mergeCell ref="A4:W4"/>
    <mergeCell ref="A8:A37"/>
    <mergeCell ref="C19:C23"/>
    <mergeCell ref="C24:C27"/>
    <mergeCell ref="C28:C30"/>
    <mergeCell ref="C31:C33"/>
    <mergeCell ref="C34:C37"/>
    <mergeCell ref="I15:I18"/>
    <mergeCell ref="D19:D23"/>
    <mergeCell ref="E19:E23"/>
    <mergeCell ref="F19:F23"/>
    <mergeCell ref="G19:G23"/>
    <mergeCell ref="H19:H23"/>
    <mergeCell ref="I19:I23"/>
    <mergeCell ref="G24:G27"/>
    <mergeCell ref="H24:H27"/>
    <mergeCell ref="I24:I27"/>
    <mergeCell ref="D28:D30"/>
    <mergeCell ref="E28:E30"/>
    <mergeCell ref="F28:F30"/>
    <mergeCell ref="G28:G30"/>
    <mergeCell ref="H28:H30"/>
    <mergeCell ref="I28:I30"/>
    <mergeCell ref="D24:D27"/>
    <mergeCell ref="G31:G33"/>
    <mergeCell ref="H31:H33"/>
    <mergeCell ref="I31:I33"/>
    <mergeCell ref="D34:D37"/>
    <mergeCell ref="E34:E37"/>
    <mergeCell ref="F34:F37"/>
    <mergeCell ref="G34:G37"/>
    <mergeCell ref="H34:H37"/>
    <mergeCell ref="I34:I37"/>
    <mergeCell ref="D31:D33"/>
    <mergeCell ref="C38:C40"/>
    <mergeCell ref="A38:A52"/>
    <mergeCell ref="B38:B52"/>
    <mergeCell ref="D38:D40"/>
    <mergeCell ref="E38:E40"/>
    <mergeCell ref="C41:C52"/>
    <mergeCell ref="I41:I52"/>
    <mergeCell ref="E116:E117"/>
    <mergeCell ref="F116:F117"/>
    <mergeCell ref="F38:F40"/>
    <mergeCell ref="G38:G40"/>
    <mergeCell ref="H38:H40"/>
    <mergeCell ref="H66:H67"/>
    <mergeCell ref="G116:G117"/>
    <mergeCell ref="H116:H117"/>
    <mergeCell ref="I116:I117"/>
    <mergeCell ref="E59:E61"/>
    <mergeCell ref="F59:F61"/>
    <mergeCell ref="E66:E67"/>
    <mergeCell ref="W112:W123"/>
    <mergeCell ref="I38:I40"/>
    <mergeCell ref="D41:D52"/>
    <mergeCell ref="E41:E52"/>
    <mergeCell ref="F41:F52"/>
    <mergeCell ref="G41:G52"/>
    <mergeCell ref="H41:H52"/>
    <mergeCell ref="F53:F54"/>
    <mergeCell ref="F112:F115"/>
    <mergeCell ref="G112:G115"/>
    <mergeCell ref="G53:G54"/>
    <mergeCell ref="G59:G61"/>
    <mergeCell ref="F103:F104"/>
    <mergeCell ref="H112:H115"/>
    <mergeCell ref="I112:I115"/>
    <mergeCell ref="G79:G80"/>
    <mergeCell ref="H79:H80"/>
    <mergeCell ref="I79:I80"/>
    <mergeCell ref="H82:H90"/>
    <mergeCell ref="H92:H100"/>
    <mergeCell ref="I92:I100"/>
    <mergeCell ref="G103:G104"/>
    <mergeCell ref="I82:I90"/>
    <mergeCell ref="H53:H54"/>
    <mergeCell ref="I53:I54"/>
    <mergeCell ref="H55:H56"/>
    <mergeCell ref="I55:I56"/>
    <mergeCell ref="D55:D56"/>
    <mergeCell ref="E55:E56"/>
    <mergeCell ref="F55:F56"/>
    <mergeCell ref="G55:G56"/>
    <mergeCell ref="D53:D54"/>
    <mergeCell ref="E53:E54"/>
    <mergeCell ref="H59:H61"/>
    <mergeCell ref="I59:I61"/>
    <mergeCell ref="F64:F65"/>
    <mergeCell ref="G64:G65"/>
    <mergeCell ref="D57:D58"/>
    <mergeCell ref="E57:E58"/>
    <mergeCell ref="F57:F58"/>
    <mergeCell ref="G57:G58"/>
    <mergeCell ref="H57:H58"/>
    <mergeCell ref="I57:I58"/>
    <mergeCell ref="W8:W111"/>
    <mergeCell ref="D62:D63"/>
    <mergeCell ref="E62:E63"/>
    <mergeCell ref="F62:F63"/>
    <mergeCell ref="G62:G63"/>
    <mergeCell ref="H62:H63"/>
    <mergeCell ref="I62:I63"/>
    <mergeCell ref="D59:D61"/>
    <mergeCell ref="H64:H65"/>
    <mergeCell ref="I64:I65"/>
    <mergeCell ref="E68:E69"/>
    <mergeCell ref="I66:I67"/>
    <mergeCell ref="D64:D65"/>
    <mergeCell ref="E64:E65"/>
    <mergeCell ref="H68:H69"/>
    <mergeCell ref="I68:I69"/>
    <mergeCell ref="F68:F69"/>
    <mergeCell ref="G68:G69"/>
    <mergeCell ref="A112:A115"/>
    <mergeCell ref="B112:B115"/>
    <mergeCell ref="C112:C115"/>
    <mergeCell ref="D112:D115"/>
    <mergeCell ref="E112:E115"/>
    <mergeCell ref="A82:A91"/>
    <mergeCell ref="B82:B91"/>
    <mergeCell ref="D82:D90"/>
    <mergeCell ref="E82:E90"/>
    <mergeCell ref="A92:A100"/>
    <mergeCell ref="F82:F90"/>
    <mergeCell ref="G82:G90"/>
    <mergeCell ref="D79:D80"/>
    <mergeCell ref="E79:E80"/>
    <mergeCell ref="F79:F80"/>
    <mergeCell ref="A53:A81"/>
    <mergeCell ref="B53:B81"/>
    <mergeCell ref="D76:D77"/>
    <mergeCell ref="E76:E77"/>
    <mergeCell ref="D68:D69"/>
    <mergeCell ref="B92:B100"/>
    <mergeCell ref="C92:C100"/>
    <mergeCell ref="D92:D100"/>
    <mergeCell ref="E92:E100"/>
    <mergeCell ref="F92:F100"/>
    <mergeCell ref="G92:G100"/>
    <mergeCell ref="H107:H110"/>
    <mergeCell ref="I107:I110"/>
    <mergeCell ref="H103:H104"/>
    <mergeCell ref="A101:A111"/>
    <mergeCell ref="B101:B111"/>
    <mergeCell ref="D103:D104"/>
    <mergeCell ref="E103:E104"/>
    <mergeCell ref="C107:C110"/>
    <mergeCell ref="C103:C104"/>
    <mergeCell ref="W241:W245"/>
    <mergeCell ref="A246:A247"/>
    <mergeCell ref="B246:B247"/>
    <mergeCell ref="W246:W247"/>
    <mergeCell ref="G241:G244"/>
    <mergeCell ref="I103:I104"/>
    <mergeCell ref="D107:D110"/>
    <mergeCell ref="E107:E110"/>
    <mergeCell ref="F107:F110"/>
    <mergeCell ref="G107:G110"/>
    <mergeCell ref="A163:A172"/>
    <mergeCell ref="A258:Q258"/>
    <mergeCell ref="G248:G253"/>
    <mergeCell ref="H248:H253"/>
    <mergeCell ref="I248:I253"/>
    <mergeCell ref="B248:B253"/>
    <mergeCell ref="C248:C253"/>
    <mergeCell ref="D248:D253"/>
    <mergeCell ref="E248:E253"/>
    <mergeCell ref="I241:I244"/>
    <mergeCell ref="W248:W253"/>
    <mergeCell ref="A254:A256"/>
    <mergeCell ref="B254:B256"/>
    <mergeCell ref="W254:W256"/>
    <mergeCell ref="A248:A253"/>
    <mergeCell ref="F248:F253"/>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B1:M16"/>
  <sheetViews>
    <sheetView zoomScalePageLayoutView="0" workbookViewId="0" topLeftCell="A1">
      <selection activeCell="L4" sqref="L4"/>
    </sheetView>
  </sheetViews>
  <sheetFormatPr defaultColWidth="11.00390625" defaultRowHeight="15.75"/>
  <cols>
    <col min="6" max="6" width="14.125" style="0" bestFit="1" customWidth="1"/>
    <col min="8" max="8" width="18.375" style="0" customWidth="1"/>
    <col min="10" max="10" width="16.125" style="0" bestFit="1" customWidth="1"/>
    <col min="12" max="12" width="12.875" style="0" bestFit="1" customWidth="1"/>
    <col min="13" max="13" width="13.125" style="0" bestFit="1" customWidth="1"/>
  </cols>
  <sheetData>
    <row r="1" spans="10:12" ht="15.75">
      <c r="J1" t="s">
        <v>349</v>
      </c>
      <c r="L1" s="328" t="s">
        <v>864</v>
      </c>
    </row>
    <row r="3" spans="2:12" ht="15.75">
      <c r="B3" t="s">
        <v>2092</v>
      </c>
      <c r="F3" s="313">
        <v>12248000</v>
      </c>
      <c r="H3" s="313">
        <v>11048000</v>
      </c>
      <c r="J3" s="314">
        <f>+H3-F3</f>
        <v>-1200000</v>
      </c>
      <c r="L3" s="322">
        <f>+'SEG POLITICA '!R58</f>
        <v>29095317</v>
      </c>
    </row>
    <row r="4" spans="2:12" ht="15.75">
      <c r="B4" t="s">
        <v>343</v>
      </c>
      <c r="F4" s="313">
        <v>574499464.2988452</v>
      </c>
      <c r="H4" s="313">
        <v>814054000</v>
      </c>
      <c r="J4" s="314">
        <f>+H4-F4</f>
        <v>239554535.70115483</v>
      </c>
      <c r="L4" s="322">
        <f>+'SEG SALUD Y EDUC'!S204</f>
        <v>2500</v>
      </c>
    </row>
    <row r="5" spans="2:12" ht="15.75">
      <c r="B5" t="s">
        <v>344</v>
      </c>
      <c r="F5" s="313">
        <v>239445265</v>
      </c>
      <c r="H5" s="313">
        <v>189858000</v>
      </c>
      <c r="J5" s="314">
        <f>+H5-F5</f>
        <v>-49587265</v>
      </c>
      <c r="L5" s="322">
        <f>+'SEG AMB Y ENTORNO'!R157</f>
        <v>217435651</v>
      </c>
    </row>
    <row r="6" spans="2:12" ht="15.75">
      <c r="B6" t="s">
        <v>1157</v>
      </c>
      <c r="F6" s="313">
        <v>21968600</v>
      </c>
      <c r="H6" s="313">
        <v>21767000</v>
      </c>
      <c r="J6" s="314">
        <f>+H6-F6</f>
        <v>-201600</v>
      </c>
      <c r="L6" s="322" t="e">
        <f>+#REF!</f>
        <v>#REF!</v>
      </c>
    </row>
    <row r="7" spans="2:12" ht="15.75">
      <c r="B7" t="s">
        <v>1158</v>
      </c>
      <c r="F7" s="313">
        <v>98713062</v>
      </c>
      <c r="H7" s="313">
        <v>84253000</v>
      </c>
      <c r="J7" s="314">
        <f>+H7-F7</f>
        <v>-14460062</v>
      </c>
      <c r="L7" s="322" t="e">
        <f>+#REF!</f>
        <v>#REF!</v>
      </c>
    </row>
    <row r="9" spans="2:12" ht="15.75">
      <c r="B9" s="316" t="s">
        <v>345</v>
      </c>
      <c r="C9" s="316"/>
      <c r="D9" s="316"/>
      <c r="E9" s="316"/>
      <c r="F9" s="317">
        <f>SUM(F3:F8)</f>
        <v>946874391.2988452</v>
      </c>
      <c r="G9" s="316"/>
      <c r="H9" s="317">
        <f>SUM(H3:H8)</f>
        <v>1120980000</v>
      </c>
      <c r="I9" s="316"/>
      <c r="J9" s="317">
        <f>+H9-F9</f>
        <v>174105608.70115483</v>
      </c>
      <c r="L9" s="322" t="e">
        <f>SUM(L3:L8)</f>
        <v>#REF!</v>
      </c>
    </row>
    <row r="10" spans="10:13" ht="15.75">
      <c r="J10" s="318">
        <v>18000000</v>
      </c>
      <c r="L10" s="322" t="e">
        <f>+H9-L9</f>
        <v>#REF!</v>
      </c>
      <c r="M10" s="329" t="e">
        <f>+L10-F4</f>
        <v>#REF!</v>
      </c>
    </row>
    <row r="11" spans="6:10" ht="15.75">
      <c r="F11" t="s">
        <v>350</v>
      </c>
      <c r="J11" s="319">
        <f>+J9-J10</f>
        <v>156105608.70115483</v>
      </c>
    </row>
    <row r="12" ht="15.75">
      <c r="J12" s="314"/>
    </row>
    <row r="13" spans="6:10" ht="15.75">
      <c r="F13" t="s">
        <v>351</v>
      </c>
      <c r="J13" s="320">
        <v>6000000</v>
      </c>
    </row>
    <row r="14" ht="15.75">
      <c r="J14" s="319">
        <f>+J11-J13</f>
        <v>150105608.70115483</v>
      </c>
    </row>
    <row r="15" spans="6:10" ht="15.75">
      <c r="F15" t="s">
        <v>352</v>
      </c>
      <c r="J15" s="318">
        <v>4500000</v>
      </c>
    </row>
    <row r="16" ht="15.75">
      <c r="J16" s="319">
        <f>+J14-J15</f>
        <v>145605608.70115483</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V57"/>
  <sheetViews>
    <sheetView zoomScale="75" zoomScaleNormal="75" zoomScalePageLayoutView="0" workbookViewId="0" topLeftCell="K1">
      <pane ySplit="9" topLeftCell="A10" activePane="bottomLeft" state="frozen"/>
      <selection pane="topLeft" activeCell="E1" sqref="E1"/>
      <selection pane="bottomLeft" activeCell="S28" sqref="S28"/>
    </sheetView>
  </sheetViews>
  <sheetFormatPr defaultColWidth="10.875" defaultRowHeight="15.75"/>
  <cols>
    <col min="1" max="1" width="33.875" style="15" customWidth="1"/>
    <col min="2" max="2" width="13.875" style="15" customWidth="1"/>
    <col min="3" max="3" width="17.125" style="15" customWidth="1"/>
    <col min="4" max="4" width="32.375" style="15" customWidth="1"/>
    <col min="5" max="5" width="25.625" style="15" customWidth="1"/>
    <col min="6" max="6" width="26.125" style="15" customWidth="1"/>
    <col min="7" max="7" width="12.125" style="15" customWidth="1"/>
    <col min="8" max="8" width="17.625" style="15" customWidth="1"/>
    <col min="9" max="9" width="16.50390625" style="15" customWidth="1"/>
    <col min="10" max="10" width="9.875" style="15" bestFit="1" customWidth="1"/>
    <col min="11" max="14" width="12.125" style="15" customWidth="1"/>
    <col min="15" max="15" width="13.375" style="15" customWidth="1"/>
    <col min="16" max="16" width="13.125" style="15" customWidth="1"/>
    <col min="17" max="17" width="15.125" style="15" customWidth="1"/>
    <col min="18" max="18" width="15.375" style="15" customWidth="1"/>
    <col min="19" max="19" width="18.125" style="15" customWidth="1"/>
    <col min="20" max="20" width="16.125" style="15" customWidth="1"/>
    <col min="21" max="16384" width="10.875" style="15" customWidth="1"/>
  </cols>
  <sheetData>
    <row r="1" spans="1:20" ht="12.75" hidden="1">
      <c r="A1" s="549" t="s">
        <v>1370</v>
      </c>
      <c r="B1" s="549"/>
      <c r="C1" s="549"/>
      <c r="D1" s="549"/>
      <c r="E1" s="549"/>
      <c r="F1" s="549"/>
      <c r="G1" s="549"/>
      <c r="H1" s="549"/>
      <c r="I1" s="549"/>
      <c r="J1" s="549"/>
      <c r="K1" s="549"/>
      <c r="L1" s="549"/>
      <c r="M1" s="549"/>
      <c r="N1" s="549"/>
      <c r="O1" s="549"/>
      <c r="P1" s="549"/>
      <c r="Q1" s="549"/>
      <c r="R1" s="549"/>
      <c r="S1" s="549"/>
      <c r="T1" s="549"/>
    </row>
    <row r="2" spans="1:20" ht="12.75" hidden="1">
      <c r="A2" s="549" t="s">
        <v>1371</v>
      </c>
      <c r="B2" s="549"/>
      <c r="C2" s="549"/>
      <c r="D2" s="549"/>
      <c r="E2" s="549"/>
      <c r="F2" s="549"/>
      <c r="G2" s="549"/>
      <c r="H2" s="549"/>
      <c r="I2" s="549"/>
      <c r="J2" s="549"/>
      <c r="K2" s="549"/>
      <c r="L2" s="549"/>
      <c r="M2" s="549"/>
      <c r="N2" s="549"/>
      <c r="O2" s="549"/>
      <c r="P2" s="549"/>
      <c r="Q2" s="549"/>
      <c r="R2" s="549"/>
      <c r="S2" s="549"/>
      <c r="T2" s="549"/>
    </row>
    <row r="3" spans="1:20" ht="12.75" hidden="1">
      <c r="A3" s="549" t="s">
        <v>2092</v>
      </c>
      <c r="B3" s="549"/>
      <c r="C3" s="549"/>
      <c r="D3" s="549"/>
      <c r="E3" s="549"/>
      <c r="F3" s="549"/>
      <c r="G3" s="549"/>
      <c r="H3" s="549"/>
      <c r="I3" s="549"/>
      <c r="J3" s="549"/>
      <c r="K3" s="549"/>
      <c r="L3" s="549"/>
      <c r="M3" s="549"/>
      <c r="N3" s="549"/>
      <c r="O3" s="549"/>
      <c r="P3" s="549"/>
      <c r="Q3" s="549"/>
      <c r="R3" s="549"/>
      <c r="S3" s="549"/>
      <c r="T3" s="549"/>
    </row>
    <row r="4" spans="1:20" ht="12.75" hidden="1">
      <c r="A4" s="549" t="s">
        <v>2093</v>
      </c>
      <c r="B4" s="549"/>
      <c r="C4" s="549"/>
      <c r="D4" s="549"/>
      <c r="E4" s="549"/>
      <c r="F4" s="549"/>
      <c r="G4" s="549"/>
      <c r="H4" s="549"/>
      <c r="I4" s="549"/>
      <c r="J4" s="549"/>
      <c r="K4" s="549"/>
      <c r="L4" s="549"/>
      <c r="M4" s="549"/>
      <c r="N4" s="549"/>
      <c r="O4" s="549"/>
      <c r="P4" s="549"/>
      <c r="Q4" s="549"/>
      <c r="R4" s="549"/>
      <c r="S4" s="549"/>
      <c r="T4" s="549"/>
    </row>
    <row r="5" spans="1:20" ht="12.75" hidden="1">
      <c r="A5" s="549" t="s">
        <v>1370</v>
      </c>
      <c r="B5" s="549"/>
      <c r="C5" s="549"/>
      <c r="D5" s="549"/>
      <c r="E5" s="549"/>
      <c r="F5" s="549"/>
      <c r="G5" s="549"/>
      <c r="H5" s="549"/>
      <c r="I5" s="549"/>
      <c r="J5" s="549"/>
      <c r="K5" s="549"/>
      <c r="L5" s="549"/>
      <c r="M5" s="549"/>
      <c r="N5" s="549"/>
      <c r="O5" s="549"/>
      <c r="P5" s="549"/>
      <c r="Q5" s="549"/>
      <c r="R5" s="549"/>
      <c r="S5" s="549"/>
      <c r="T5" s="549"/>
    </row>
    <row r="6" spans="1:20" ht="16.5" customHeight="1" hidden="1">
      <c r="A6" s="549"/>
      <c r="B6" s="549"/>
      <c r="C6" s="549"/>
      <c r="D6" s="549"/>
      <c r="E6" s="549"/>
      <c r="F6" s="549"/>
      <c r="G6" s="549"/>
      <c r="H6" s="549"/>
      <c r="I6" s="549"/>
      <c r="J6" s="549"/>
      <c r="K6" s="549"/>
      <c r="L6" s="549"/>
      <c r="M6" s="549"/>
      <c r="N6" s="549"/>
      <c r="O6" s="549"/>
      <c r="P6" s="549"/>
      <c r="Q6" s="549"/>
      <c r="R6" s="549"/>
      <c r="S6" s="549"/>
      <c r="T6" s="549"/>
    </row>
    <row r="7" spans="1:20" ht="16.5" customHeight="1" hidden="1">
      <c r="A7" s="560"/>
      <c r="B7" s="560"/>
      <c r="C7" s="560"/>
      <c r="D7" s="560"/>
      <c r="E7" s="560"/>
      <c r="F7" s="560"/>
      <c r="G7" s="560"/>
      <c r="H7" s="560"/>
      <c r="I7" s="560"/>
      <c r="J7" s="560"/>
      <c r="K7" s="560"/>
      <c r="L7" s="560"/>
      <c r="M7" s="560"/>
      <c r="N7" s="560"/>
      <c r="O7" s="560"/>
      <c r="P7" s="560"/>
      <c r="Q7" s="560"/>
      <c r="R7" s="560"/>
      <c r="S7" s="560"/>
      <c r="T7" s="560"/>
    </row>
    <row r="8" spans="1:20" ht="12.75">
      <c r="A8" s="575" t="s">
        <v>2094</v>
      </c>
      <c r="B8" s="547" t="s">
        <v>2095</v>
      </c>
      <c r="C8" s="547" t="s">
        <v>2096</v>
      </c>
      <c r="D8" s="547" t="s">
        <v>2097</v>
      </c>
      <c r="E8" s="547" t="s">
        <v>2098</v>
      </c>
      <c r="F8" s="547"/>
      <c r="G8" s="547"/>
      <c r="H8" s="547"/>
      <c r="I8" s="547" t="s">
        <v>2099</v>
      </c>
      <c r="J8" s="547"/>
      <c r="K8" s="547"/>
      <c r="L8" s="547"/>
      <c r="M8" s="547"/>
      <c r="N8" s="547"/>
      <c r="O8" s="547" t="s">
        <v>2100</v>
      </c>
      <c r="P8" s="547"/>
      <c r="Q8" s="547"/>
      <c r="R8" s="547"/>
      <c r="S8" s="547"/>
      <c r="T8" s="571" t="s">
        <v>2101</v>
      </c>
    </row>
    <row r="9" spans="1:20" ht="39" thickBot="1">
      <c r="A9" s="576"/>
      <c r="B9" s="548"/>
      <c r="C9" s="548"/>
      <c r="D9" s="548"/>
      <c r="E9" s="74" t="s">
        <v>2102</v>
      </c>
      <c r="F9" s="75" t="s">
        <v>2103</v>
      </c>
      <c r="G9" s="74" t="s">
        <v>2104</v>
      </c>
      <c r="H9" s="76" t="s">
        <v>2105</v>
      </c>
      <c r="I9" s="74" t="s">
        <v>2102</v>
      </c>
      <c r="J9" s="75" t="s">
        <v>2106</v>
      </c>
      <c r="K9" s="74" t="s">
        <v>2107</v>
      </c>
      <c r="L9" s="74" t="s">
        <v>2108</v>
      </c>
      <c r="M9" s="74" t="s">
        <v>2109</v>
      </c>
      <c r="N9" s="74" t="s">
        <v>2104</v>
      </c>
      <c r="O9" s="74" t="s">
        <v>2110</v>
      </c>
      <c r="P9" s="74">
        <v>2012</v>
      </c>
      <c r="Q9" s="74">
        <v>2013</v>
      </c>
      <c r="R9" s="74">
        <v>2014</v>
      </c>
      <c r="S9" s="74">
        <v>2015</v>
      </c>
      <c r="T9" s="572"/>
    </row>
    <row r="10" spans="1:20" ht="58.5" customHeight="1">
      <c r="A10" s="582" t="s">
        <v>1162</v>
      </c>
      <c r="B10" s="577"/>
      <c r="C10" s="577"/>
      <c r="D10" s="577" t="s">
        <v>1163</v>
      </c>
      <c r="E10" s="38" t="s">
        <v>1164</v>
      </c>
      <c r="F10" s="48" t="s">
        <v>1166</v>
      </c>
      <c r="G10" s="70"/>
      <c r="H10" s="50" t="s">
        <v>1168</v>
      </c>
      <c r="I10" s="50" t="s">
        <v>1169</v>
      </c>
      <c r="J10" s="70"/>
      <c r="K10" s="70"/>
      <c r="L10" s="50">
        <v>5</v>
      </c>
      <c r="M10" s="50">
        <v>5</v>
      </c>
      <c r="N10" s="50">
        <v>5</v>
      </c>
      <c r="O10" s="51">
        <v>15000</v>
      </c>
      <c r="P10" s="51">
        <v>15000</v>
      </c>
      <c r="Q10" s="70"/>
      <c r="R10" s="70"/>
      <c r="S10" s="70"/>
      <c r="T10" s="561" t="s">
        <v>1171</v>
      </c>
    </row>
    <row r="11" spans="1:20" ht="100.5" customHeight="1">
      <c r="A11" s="583"/>
      <c r="B11" s="550"/>
      <c r="C11" s="550"/>
      <c r="D11" s="550"/>
      <c r="E11" s="14" t="s">
        <v>1165</v>
      </c>
      <c r="F11" s="17" t="s">
        <v>1167</v>
      </c>
      <c r="G11" s="16"/>
      <c r="H11" s="4" t="s">
        <v>1170</v>
      </c>
      <c r="I11" s="4" t="s">
        <v>1169</v>
      </c>
      <c r="J11" s="16"/>
      <c r="K11" s="16"/>
      <c r="L11" s="16"/>
      <c r="M11" s="16"/>
      <c r="N11" s="16"/>
      <c r="O11" s="3">
        <v>15000</v>
      </c>
      <c r="P11" s="3">
        <v>15000</v>
      </c>
      <c r="Q11" s="16"/>
      <c r="R11" s="16"/>
      <c r="S11" s="16"/>
      <c r="T11" s="562"/>
    </row>
    <row r="12" spans="1:20" ht="76.5" customHeight="1">
      <c r="A12" s="583"/>
      <c r="B12" s="550"/>
      <c r="C12" s="550"/>
      <c r="D12" s="549" t="s">
        <v>1172</v>
      </c>
      <c r="E12" s="14" t="s">
        <v>1173</v>
      </c>
      <c r="F12" s="18">
        <v>0</v>
      </c>
      <c r="G12" s="16"/>
      <c r="H12" s="4" t="s">
        <v>1175</v>
      </c>
      <c r="I12" s="4" t="s">
        <v>1176</v>
      </c>
      <c r="J12" s="16"/>
      <c r="K12" s="3">
        <v>2</v>
      </c>
      <c r="L12" s="3">
        <v>48</v>
      </c>
      <c r="M12" s="3">
        <v>48</v>
      </c>
      <c r="N12" s="3">
        <v>48</v>
      </c>
      <c r="O12" s="3" t="s">
        <v>2920</v>
      </c>
      <c r="P12" s="3">
        <v>0</v>
      </c>
      <c r="Q12" s="3">
        <v>8000000</v>
      </c>
      <c r="R12" s="3">
        <v>8000000</v>
      </c>
      <c r="S12" s="3">
        <v>8000000</v>
      </c>
      <c r="T12" s="562"/>
    </row>
    <row r="13" spans="1:20" ht="63.75">
      <c r="A13" s="583"/>
      <c r="B13" s="550"/>
      <c r="C13" s="550"/>
      <c r="D13" s="549"/>
      <c r="E13" s="14" t="s">
        <v>1174</v>
      </c>
      <c r="F13" s="18">
        <v>0</v>
      </c>
      <c r="G13" s="16"/>
      <c r="H13" s="4" t="s">
        <v>1177</v>
      </c>
      <c r="I13" s="4" t="s">
        <v>2919</v>
      </c>
      <c r="J13" s="16"/>
      <c r="K13" s="4">
        <v>7</v>
      </c>
      <c r="L13" s="4">
        <v>7</v>
      </c>
      <c r="M13" s="4">
        <v>7</v>
      </c>
      <c r="N13" s="4">
        <v>7</v>
      </c>
      <c r="O13" s="3" t="s">
        <v>2921</v>
      </c>
      <c r="P13" s="3">
        <v>0</v>
      </c>
      <c r="Q13" s="3" t="s">
        <v>2921</v>
      </c>
      <c r="R13" s="3">
        <v>0</v>
      </c>
      <c r="S13" s="3">
        <v>0</v>
      </c>
      <c r="T13" s="562"/>
    </row>
    <row r="14" spans="1:20" ht="51">
      <c r="A14" s="583"/>
      <c r="B14" s="550"/>
      <c r="C14" s="550"/>
      <c r="D14" s="14" t="s">
        <v>2922</v>
      </c>
      <c r="E14" s="14" t="s">
        <v>2923</v>
      </c>
      <c r="F14" s="18" t="s">
        <v>2924</v>
      </c>
      <c r="G14" s="17"/>
      <c r="H14" s="4" t="s">
        <v>2925</v>
      </c>
      <c r="I14" s="4" t="s">
        <v>2926</v>
      </c>
      <c r="J14" s="16"/>
      <c r="K14" s="2"/>
      <c r="L14" s="2">
        <v>10</v>
      </c>
      <c r="M14" s="3">
        <v>10</v>
      </c>
      <c r="N14" s="3">
        <v>10</v>
      </c>
      <c r="O14" s="3" t="s">
        <v>2927</v>
      </c>
      <c r="P14" s="3"/>
      <c r="Q14" s="3">
        <v>10000000</v>
      </c>
      <c r="R14" s="3">
        <v>10000000</v>
      </c>
      <c r="S14" s="3">
        <v>10000000</v>
      </c>
      <c r="T14" s="562"/>
    </row>
    <row r="15" spans="1:20" ht="38.25">
      <c r="A15" s="583"/>
      <c r="B15" s="550"/>
      <c r="C15" s="550"/>
      <c r="D15" s="14" t="s">
        <v>2928</v>
      </c>
      <c r="E15" s="14" t="s">
        <v>2929</v>
      </c>
      <c r="F15" s="18">
        <v>0</v>
      </c>
      <c r="G15" s="16"/>
      <c r="H15" s="4" t="s">
        <v>2930</v>
      </c>
      <c r="I15" s="4" t="s">
        <v>2931</v>
      </c>
      <c r="J15" s="16"/>
      <c r="K15" s="16"/>
      <c r="L15" s="16"/>
      <c r="M15" s="16"/>
      <c r="N15" s="16"/>
      <c r="O15" s="16"/>
      <c r="P15" s="16"/>
      <c r="Q15" s="16"/>
      <c r="R15" s="16"/>
      <c r="S15" s="16"/>
      <c r="T15" s="562"/>
    </row>
    <row r="16" spans="1:20" ht="63.75">
      <c r="A16" s="583"/>
      <c r="B16" s="550"/>
      <c r="C16" s="550"/>
      <c r="D16" s="14" t="s">
        <v>2932</v>
      </c>
      <c r="E16" s="14" t="s">
        <v>2933</v>
      </c>
      <c r="F16" s="18">
        <v>0</v>
      </c>
      <c r="G16" s="16"/>
      <c r="H16" s="4" t="s">
        <v>2934</v>
      </c>
      <c r="I16" s="4" t="s">
        <v>2935</v>
      </c>
      <c r="J16" s="16"/>
      <c r="K16" s="16"/>
      <c r="L16" s="4">
        <v>1</v>
      </c>
      <c r="M16" s="4">
        <v>1</v>
      </c>
      <c r="N16" s="4">
        <v>1</v>
      </c>
      <c r="O16" s="3" t="s">
        <v>2936</v>
      </c>
      <c r="P16" s="19" t="s">
        <v>2937</v>
      </c>
      <c r="Q16" s="3" t="s">
        <v>2938</v>
      </c>
      <c r="R16" s="3" t="s">
        <v>2939</v>
      </c>
      <c r="S16" s="3" t="s">
        <v>2940</v>
      </c>
      <c r="T16" s="562"/>
    </row>
    <row r="17" spans="1:20" ht="63.75">
      <c r="A17" s="583"/>
      <c r="B17" s="550"/>
      <c r="C17" s="550"/>
      <c r="D17" s="14" t="s">
        <v>2941</v>
      </c>
      <c r="E17" s="14" t="s">
        <v>2942</v>
      </c>
      <c r="F17" s="18"/>
      <c r="G17" s="17"/>
      <c r="H17" s="4" t="s">
        <v>2943</v>
      </c>
      <c r="I17" s="4" t="s">
        <v>2944</v>
      </c>
      <c r="J17" s="16"/>
      <c r="K17" s="3">
        <v>34</v>
      </c>
      <c r="L17" s="3">
        <v>60</v>
      </c>
      <c r="M17" s="3">
        <v>53</v>
      </c>
      <c r="N17" s="3">
        <v>53</v>
      </c>
      <c r="O17" s="3" t="s">
        <v>2945</v>
      </c>
      <c r="P17" s="3">
        <v>181000000</v>
      </c>
      <c r="Q17" s="3">
        <v>491000000</v>
      </c>
      <c r="R17" s="3">
        <v>463924000</v>
      </c>
      <c r="S17" s="3">
        <v>467890771</v>
      </c>
      <c r="T17" s="562"/>
    </row>
    <row r="18" spans="1:20" ht="63.75">
      <c r="A18" s="583"/>
      <c r="B18" s="550"/>
      <c r="C18" s="550"/>
      <c r="D18" s="549" t="s">
        <v>2946</v>
      </c>
      <c r="E18" s="549" t="s">
        <v>2947</v>
      </c>
      <c r="F18" s="551">
        <v>14</v>
      </c>
      <c r="G18" s="550"/>
      <c r="H18" s="4" t="s">
        <v>2948</v>
      </c>
      <c r="I18" s="4" t="s">
        <v>2949</v>
      </c>
      <c r="J18" s="16"/>
      <c r="K18" s="4">
        <v>7</v>
      </c>
      <c r="L18" s="4">
        <v>7</v>
      </c>
      <c r="M18" s="4" t="s">
        <v>2950</v>
      </c>
      <c r="N18" s="4" t="s">
        <v>2950</v>
      </c>
      <c r="O18" s="3" t="s">
        <v>2951</v>
      </c>
      <c r="P18" s="20">
        <v>3838440</v>
      </c>
      <c r="Q18" s="3">
        <v>0</v>
      </c>
      <c r="R18" s="3">
        <v>0</v>
      </c>
      <c r="S18" s="3">
        <v>0</v>
      </c>
      <c r="T18" s="562"/>
    </row>
    <row r="19" spans="1:20" ht="102">
      <c r="A19" s="583"/>
      <c r="B19" s="550"/>
      <c r="C19" s="550"/>
      <c r="D19" s="549"/>
      <c r="E19" s="549"/>
      <c r="F19" s="551"/>
      <c r="G19" s="550"/>
      <c r="H19" s="4" t="s">
        <v>2952</v>
      </c>
      <c r="I19" s="4" t="s">
        <v>2953</v>
      </c>
      <c r="J19" s="21"/>
      <c r="K19" s="21"/>
      <c r="L19" s="21"/>
      <c r="M19" s="21"/>
      <c r="N19" s="21"/>
      <c r="O19" s="3" t="s">
        <v>2954</v>
      </c>
      <c r="P19" s="3">
        <v>0</v>
      </c>
      <c r="Q19" s="3">
        <v>50000000</v>
      </c>
      <c r="R19" s="3">
        <v>50000000</v>
      </c>
      <c r="S19" s="3">
        <v>50000000</v>
      </c>
      <c r="T19" s="562"/>
    </row>
    <row r="20" spans="1:20" ht="38.25">
      <c r="A20" s="583"/>
      <c r="B20" s="550"/>
      <c r="C20" s="550"/>
      <c r="D20" s="14" t="s">
        <v>2955</v>
      </c>
      <c r="E20" s="14" t="s">
        <v>2956</v>
      </c>
      <c r="F20" s="18">
        <v>0</v>
      </c>
      <c r="G20" s="17"/>
      <c r="H20" s="4" t="s">
        <v>2957</v>
      </c>
      <c r="I20" s="4" t="s">
        <v>2958</v>
      </c>
      <c r="J20" s="4"/>
      <c r="K20" s="22">
        <v>1</v>
      </c>
      <c r="L20" s="22">
        <v>1</v>
      </c>
      <c r="M20" s="22">
        <v>1</v>
      </c>
      <c r="N20" s="22">
        <v>1</v>
      </c>
      <c r="O20" s="3">
        <v>80000000</v>
      </c>
      <c r="P20" s="23">
        <v>0</v>
      </c>
      <c r="Q20" s="3">
        <v>80000000</v>
      </c>
      <c r="R20" s="3">
        <v>0</v>
      </c>
      <c r="S20" s="3">
        <v>0</v>
      </c>
      <c r="T20" s="562"/>
    </row>
    <row r="21" spans="1:20" ht="51.75" thickBot="1">
      <c r="A21" s="584"/>
      <c r="B21" s="578"/>
      <c r="C21" s="578"/>
      <c r="D21" s="44" t="s">
        <v>2959</v>
      </c>
      <c r="E21" s="44" t="s">
        <v>2960</v>
      </c>
      <c r="F21" s="72">
        <v>0</v>
      </c>
      <c r="G21" s="71"/>
      <c r="H21" s="56" t="s">
        <v>2961</v>
      </c>
      <c r="I21" s="56" t="s">
        <v>2962</v>
      </c>
      <c r="J21" s="71"/>
      <c r="K21" s="71"/>
      <c r="L21" s="56">
        <v>5</v>
      </c>
      <c r="M21" s="56">
        <v>0</v>
      </c>
      <c r="N21" s="56">
        <v>0</v>
      </c>
      <c r="O21" s="57" t="s">
        <v>2963</v>
      </c>
      <c r="P21" s="73">
        <v>0</v>
      </c>
      <c r="Q21" s="57" t="s">
        <v>2964</v>
      </c>
      <c r="R21" s="57" t="s">
        <v>2964</v>
      </c>
      <c r="S21" s="57" t="s">
        <v>2964</v>
      </c>
      <c r="T21" s="563"/>
    </row>
    <row r="22" spans="1:20" ht="57" customHeight="1" thickBot="1">
      <c r="A22" s="582" t="s">
        <v>2965</v>
      </c>
      <c r="B22" s="577"/>
      <c r="C22" s="577"/>
      <c r="D22" s="38" t="s">
        <v>2966</v>
      </c>
      <c r="E22" s="38" t="s">
        <v>2967</v>
      </c>
      <c r="F22" s="48" t="s">
        <v>2968</v>
      </c>
      <c r="G22" s="42">
        <v>13</v>
      </c>
      <c r="H22" s="38" t="s">
        <v>2966</v>
      </c>
      <c r="I22" s="38" t="s">
        <v>2967</v>
      </c>
      <c r="J22" s="60"/>
      <c r="K22" s="50">
        <v>13</v>
      </c>
      <c r="L22" s="50">
        <v>13</v>
      </c>
      <c r="M22" s="50">
        <v>13</v>
      </c>
      <c r="N22" s="50">
        <v>13</v>
      </c>
      <c r="O22" s="293">
        <f>SUM(P22:S22)</f>
        <v>440000</v>
      </c>
      <c r="P22" s="286">
        <v>220000</v>
      </c>
      <c r="Q22" s="286">
        <f>+P22</f>
        <v>220000</v>
      </c>
      <c r="R22" s="286"/>
      <c r="S22" s="286"/>
      <c r="T22" s="567" t="s">
        <v>1688</v>
      </c>
    </row>
    <row r="23" spans="1:20" ht="77.25" customHeight="1" thickBot="1">
      <c r="A23" s="583"/>
      <c r="B23" s="550"/>
      <c r="C23" s="550"/>
      <c r="D23" s="549" t="s">
        <v>2969</v>
      </c>
      <c r="E23" s="549" t="s">
        <v>2970</v>
      </c>
      <c r="F23" s="545" t="s">
        <v>2971</v>
      </c>
      <c r="G23" s="570">
        <v>30</v>
      </c>
      <c r="H23" s="4" t="s">
        <v>2972</v>
      </c>
      <c r="I23" s="4" t="s">
        <v>2973</v>
      </c>
      <c r="J23" s="24"/>
      <c r="K23" s="4">
        <v>13</v>
      </c>
      <c r="L23" s="4">
        <v>30</v>
      </c>
      <c r="M23" s="4">
        <v>30</v>
      </c>
      <c r="N23" s="4">
        <v>30</v>
      </c>
      <c r="O23" s="293">
        <f>+P23+Q23+R23+S23</f>
        <v>727000</v>
      </c>
      <c r="P23" s="286">
        <v>370000</v>
      </c>
      <c r="Q23" s="286">
        <f>727000-P23</f>
        <v>357000</v>
      </c>
      <c r="R23" s="286"/>
      <c r="S23" s="286"/>
      <c r="T23" s="568"/>
    </row>
    <row r="24" spans="1:20" ht="44.25" customHeight="1" thickBot="1">
      <c r="A24" s="583"/>
      <c r="B24" s="550"/>
      <c r="C24" s="550"/>
      <c r="D24" s="549"/>
      <c r="E24" s="549"/>
      <c r="F24" s="545"/>
      <c r="G24" s="570"/>
      <c r="H24" s="4" t="s">
        <v>2974</v>
      </c>
      <c r="I24" s="4" t="s">
        <v>2975</v>
      </c>
      <c r="J24" s="24"/>
      <c r="K24" s="24"/>
      <c r="L24" s="4">
        <v>17</v>
      </c>
      <c r="M24" s="4">
        <v>17</v>
      </c>
      <c r="N24" s="4">
        <v>17</v>
      </c>
      <c r="O24" s="293">
        <f>+P24+Q24+R24+S24</f>
        <v>643000</v>
      </c>
      <c r="P24" s="286">
        <v>60000</v>
      </c>
      <c r="Q24" s="286">
        <v>183000</v>
      </c>
      <c r="R24" s="286">
        <v>400000</v>
      </c>
      <c r="S24" s="286"/>
      <c r="T24" s="568"/>
    </row>
    <row r="25" spans="1:20" ht="74.25" customHeight="1" thickBot="1">
      <c r="A25" s="583"/>
      <c r="B25" s="550"/>
      <c r="C25" s="550"/>
      <c r="D25" s="14" t="s">
        <v>2976</v>
      </c>
      <c r="E25" s="14" t="s">
        <v>2977</v>
      </c>
      <c r="F25" s="18" t="s">
        <v>2978</v>
      </c>
      <c r="G25" s="2">
        <v>4</v>
      </c>
      <c r="H25" s="4" t="s">
        <v>1210</v>
      </c>
      <c r="I25" s="4" t="s">
        <v>1211</v>
      </c>
      <c r="J25" s="24"/>
      <c r="K25" s="4">
        <v>18</v>
      </c>
      <c r="L25" s="4">
        <v>36</v>
      </c>
      <c r="M25" s="4">
        <v>54</v>
      </c>
      <c r="N25" s="4">
        <v>72</v>
      </c>
      <c r="O25" s="293">
        <f>+P25+Q25+R25+S25</f>
        <v>1068000</v>
      </c>
      <c r="P25" s="286">
        <v>150000</v>
      </c>
      <c r="Q25" s="286">
        <f>+P25</f>
        <v>150000</v>
      </c>
      <c r="R25" s="286">
        <v>200000</v>
      </c>
      <c r="S25" s="286">
        <v>568000</v>
      </c>
      <c r="T25" s="568"/>
    </row>
    <row r="26" spans="1:20" ht="84.75" customHeight="1" thickBot="1">
      <c r="A26" s="583"/>
      <c r="B26" s="550"/>
      <c r="C26" s="550"/>
      <c r="D26" s="14" t="s">
        <v>1212</v>
      </c>
      <c r="E26" s="14" t="s">
        <v>1213</v>
      </c>
      <c r="F26" s="17" t="s">
        <v>1214</v>
      </c>
      <c r="G26" s="17">
        <v>1</v>
      </c>
      <c r="H26" s="14" t="s">
        <v>1212</v>
      </c>
      <c r="I26" s="14" t="s">
        <v>1213</v>
      </c>
      <c r="J26" s="24"/>
      <c r="K26" s="4">
        <v>100</v>
      </c>
      <c r="L26" s="4">
        <v>100</v>
      </c>
      <c r="M26" s="4">
        <v>100</v>
      </c>
      <c r="N26" s="4">
        <v>100</v>
      </c>
      <c r="O26" s="293">
        <f>+P26+Q26+R26+S26</f>
        <v>740000</v>
      </c>
      <c r="P26" s="286">
        <v>90000</v>
      </c>
      <c r="Q26" s="286">
        <f>+P26</f>
        <v>90000</v>
      </c>
      <c r="R26" s="286">
        <v>210000</v>
      </c>
      <c r="S26" s="286">
        <v>350000</v>
      </c>
      <c r="T26" s="568"/>
    </row>
    <row r="27" spans="1:20" ht="66.75" customHeight="1" thickBot="1">
      <c r="A27" s="584"/>
      <c r="B27" s="578"/>
      <c r="C27" s="578"/>
      <c r="D27" s="74" t="s">
        <v>1215</v>
      </c>
      <c r="E27" s="44" t="s">
        <v>1216</v>
      </c>
      <c r="F27" s="72" t="s">
        <v>2978</v>
      </c>
      <c r="G27" s="46">
        <v>30</v>
      </c>
      <c r="H27" s="56" t="s">
        <v>1217</v>
      </c>
      <c r="I27" s="56" t="s">
        <v>1218</v>
      </c>
      <c r="J27" s="56">
        <v>0</v>
      </c>
      <c r="K27" s="56">
        <v>3</v>
      </c>
      <c r="L27" s="56">
        <v>33</v>
      </c>
      <c r="M27" s="56">
        <v>63</v>
      </c>
      <c r="N27" s="56">
        <v>93</v>
      </c>
      <c r="O27" s="293">
        <f>+P27+Q27+R27+S27</f>
        <v>744000</v>
      </c>
      <c r="P27" s="286">
        <v>10000</v>
      </c>
      <c r="Q27" s="286">
        <v>100000</v>
      </c>
      <c r="R27" s="286">
        <v>317000</v>
      </c>
      <c r="S27" s="286">
        <f>+R27</f>
        <v>317000</v>
      </c>
      <c r="T27" s="569"/>
    </row>
    <row r="28" spans="1:22" ht="66.75" customHeight="1" thickBot="1">
      <c r="A28" s="287"/>
      <c r="B28" s="288"/>
      <c r="C28" s="288"/>
      <c r="D28" s="289"/>
      <c r="E28" s="217"/>
      <c r="F28" s="290"/>
      <c r="G28" s="192"/>
      <c r="H28" s="291"/>
      <c r="I28" s="291"/>
      <c r="J28" s="291"/>
      <c r="K28" s="291"/>
      <c r="L28" s="291"/>
      <c r="M28" s="291"/>
      <c r="N28" s="291"/>
      <c r="O28" s="293">
        <f>SUM(O22:O27)</f>
        <v>4362000</v>
      </c>
      <c r="P28" s="293">
        <f>SUM(P22:P27)</f>
        <v>900000</v>
      </c>
      <c r="Q28" s="293">
        <f>SUM(Q22:Q27)</f>
        <v>1100000</v>
      </c>
      <c r="R28" s="293">
        <f>SUM(R22:R27)</f>
        <v>1127000</v>
      </c>
      <c r="S28" s="293">
        <f>SUM(S22:S27)</f>
        <v>1235000</v>
      </c>
      <c r="T28" s="292"/>
      <c r="V28" s="294">
        <f>4362000000/1000</f>
        <v>4362000</v>
      </c>
    </row>
    <row r="29" spans="1:20" ht="63.75">
      <c r="A29" s="557" t="s">
        <v>1219</v>
      </c>
      <c r="B29" s="573"/>
      <c r="C29" s="573"/>
      <c r="D29" s="38" t="s">
        <v>1220</v>
      </c>
      <c r="E29" s="38" t="s">
        <v>1221</v>
      </c>
      <c r="F29" s="64">
        <v>0</v>
      </c>
      <c r="G29" s="42">
        <v>5</v>
      </c>
      <c r="H29" s="38" t="s">
        <v>1220</v>
      </c>
      <c r="I29" s="38" t="s">
        <v>1221</v>
      </c>
      <c r="J29" s="50">
        <v>0</v>
      </c>
      <c r="K29" s="50">
        <v>3</v>
      </c>
      <c r="L29" s="50">
        <v>5</v>
      </c>
      <c r="M29" s="50">
        <v>5</v>
      </c>
      <c r="N29" s="50">
        <v>5</v>
      </c>
      <c r="O29" s="65"/>
      <c r="P29" s="60"/>
      <c r="Q29" s="60"/>
      <c r="R29" s="60"/>
      <c r="S29" s="60"/>
      <c r="T29" s="66" t="s">
        <v>1222</v>
      </c>
    </row>
    <row r="30" spans="1:20" ht="88.5" customHeight="1">
      <c r="A30" s="588"/>
      <c r="B30" s="539"/>
      <c r="C30" s="539"/>
      <c r="D30" s="14" t="s">
        <v>1223</v>
      </c>
      <c r="E30" s="14" t="s">
        <v>1224</v>
      </c>
      <c r="F30" s="17"/>
      <c r="G30" s="17"/>
      <c r="H30" s="4" t="s">
        <v>2243</v>
      </c>
      <c r="I30" s="4"/>
      <c r="J30" s="24"/>
      <c r="K30" s="24"/>
      <c r="L30" s="24"/>
      <c r="M30" s="24"/>
      <c r="N30" s="24"/>
      <c r="O30" s="24"/>
      <c r="P30" s="24"/>
      <c r="Q30" s="24"/>
      <c r="R30" s="24"/>
      <c r="S30" s="24"/>
      <c r="T30" s="67"/>
    </row>
    <row r="31" spans="1:20" ht="63.75">
      <c r="A31" s="588"/>
      <c r="B31" s="539"/>
      <c r="C31" s="539"/>
      <c r="D31" s="549" t="s">
        <v>2244</v>
      </c>
      <c r="E31" s="549" t="s">
        <v>2245</v>
      </c>
      <c r="F31" s="539"/>
      <c r="G31" s="545">
        <v>1</v>
      </c>
      <c r="H31" s="4" t="s">
        <v>2248</v>
      </c>
      <c r="I31" s="4" t="s">
        <v>2249</v>
      </c>
      <c r="J31" s="24"/>
      <c r="K31" s="4">
        <v>6</v>
      </c>
      <c r="L31" s="4">
        <v>12</v>
      </c>
      <c r="M31" s="4">
        <v>24</v>
      </c>
      <c r="N31" s="4">
        <v>36</v>
      </c>
      <c r="O31" s="25"/>
      <c r="P31" s="24"/>
      <c r="Q31" s="24"/>
      <c r="R31" s="24"/>
      <c r="S31" s="24"/>
      <c r="T31" s="53"/>
    </row>
    <row r="32" spans="1:20" ht="39" thickBot="1">
      <c r="A32" s="589"/>
      <c r="B32" s="552"/>
      <c r="C32" s="552"/>
      <c r="D32" s="553"/>
      <c r="E32" s="553"/>
      <c r="F32" s="552"/>
      <c r="G32" s="546"/>
      <c r="H32" s="56" t="s">
        <v>2246</v>
      </c>
      <c r="I32" s="56" t="s">
        <v>2247</v>
      </c>
      <c r="J32" s="68"/>
      <c r="K32" s="56">
        <v>100</v>
      </c>
      <c r="L32" s="56">
        <v>100</v>
      </c>
      <c r="M32" s="56">
        <v>100</v>
      </c>
      <c r="N32" s="56">
        <v>100</v>
      </c>
      <c r="O32" s="69"/>
      <c r="P32" s="68"/>
      <c r="Q32" s="68"/>
      <c r="R32" s="68"/>
      <c r="S32" s="68"/>
      <c r="T32" s="58"/>
    </row>
    <row r="33" spans="1:20" ht="25.5" customHeight="1" thickBot="1">
      <c r="A33" s="557" t="s">
        <v>2250</v>
      </c>
      <c r="B33" s="573"/>
      <c r="C33" s="573"/>
      <c r="D33" s="59" t="s">
        <v>2255</v>
      </c>
      <c r="E33" s="38" t="s">
        <v>2256</v>
      </c>
      <c r="F33" s="60"/>
      <c r="G33" s="48"/>
      <c r="H33" s="50"/>
      <c r="I33" s="50"/>
      <c r="J33" s="61"/>
      <c r="K33" s="62"/>
      <c r="L33" s="62"/>
      <c r="M33" s="62"/>
      <c r="N33" s="62"/>
      <c r="O33" s="61"/>
      <c r="P33" s="61"/>
      <c r="Q33" s="61"/>
      <c r="R33" s="61"/>
      <c r="S33" s="61"/>
      <c r="T33" s="542"/>
    </row>
    <row r="34" spans="1:22" ht="63.75">
      <c r="A34" s="558"/>
      <c r="B34" s="539"/>
      <c r="C34" s="539"/>
      <c r="D34" s="574" t="s">
        <v>2251</v>
      </c>
      <c r="E34" s="549" t="s">
        <v>2252</v>
      </c>
      <c r="F34" s="539"/>
      <c r="G34" s="539"/>
      <c r="H34" s="4" t="s">
        <v>2253</v>
      </c>
      <c r="I34" s="4" t="s">
        <v>2254</v>
      </c>
      <c r="J34" s="24"/>
      <c r="K34" s="4">
        <v>1</v>
      </c>
      <c r="L34" s="4">
        <v>2</v>
      </c>
      <c r="M34" s="4">
        <v>3</v>
      </c>
      <c r="N34" s="4">
        <v>4</v>
      </c>
      <c r="O34" s="295">
        <f>SUM(P34:S34)</f>
        <v>600000</v>
      </c>
      <c r="P34" s="296">
        <v>150000</v>
      </c>
      <c r="Q34" s="295">
        <f aca="true" t="shared" si="0" ref="Q34:S35">+P34</f>
        <v>150000</v>
      </c>
      <c r="R34" s="295">
        <f t="shared" si="0"/>
        <v>150000</v>
      </c>
      <c r="S34" s="295">
        <f t="shared" si="0"/>
        <v>150000</v>
      </c>
      <c r="T34" s="543"/>
      <c r="V34" s="540" t="s">
        <v>643</v>
      </c>
    </row>
    <row r="35" spans="1:22" ht="63.75">
      <c r="A35" s="558"/>
      <c r="B35" s="539"/>
      <c r="C35" s="539"/>
      <c r="D35" s="574"/>
      <c r="E35" s="549"/>
      <c r="F35" s="539"/>
      <c r="G35" s="539"/>
      <c r="H35" s="4" t="s">
        <v>2251</v>
      </c>
      <c r="I35" s="4" t="s">
        <v>2252</v>
      </c>
      <c r="J35" s="24"/>
      <c r="K35" s="4">
        <v>1</v>
      </c>
      <c r="L35" s="4">
        <v>1</v>
      </c>
      <c r="M35" s="4">
        <v>1</v>
      </c>
      <c r="N35" s="4">
        <v>1</v>
      </c>
      <c r="O35" s="295">
        <f>SUM(P35:S35)</f>
        <v>600000</v>
      </c>
      <c r="P35" s="295">
        <f>+P34</f>
        <v>150000</v>
      </c>
      <c r="Q35" s="295">
        <f t="shared" si="0"/>
        <v>150000</v>
      </c>
      <c r="R35" s="295">
        <f t="shared" si="0"/>
        <v>150000</v>
      </c>
      <c r="S35" s="295">
        <f t="shared" si="0"/>
        <v>150000</v>
      </c>
      <c r="T35" s="543"/>
      <c r="V35" s="541"/>
    </row>
    <row r="36" spans="1:20" ht="106.5" customHeight="1">
      <c r="A36" s="558"/>
      <c r="B36" s="539"/>
      <c r="C36" s="539"/>
      <c r="D36" s="14" t="s">
        <v>2257</v>
      </c>
      <c r="E36" s="14" t="s">
        <v>2258</v>
      </c>
      <c r="F36" s="28">
        <v>0</v>
      </c>
      <c r="G36" s="2">
        <v>1</v>
      </c>
      <c r="H36" s="4" t="s">
        <v>2265</v>
      </c>
      <c r="I36" s="4" t="s">
        <v>2266</v>
      </c>
      <c r="J36" s="3">
        <v>0</v>
      </c>
      <c r="K36" s="3"/>
      <c r="L36" s="3">
        <v>1</v>
      </c>
      <c r="M36" s="3">
        <v>1</v>
      </c>
      <c r="N36" s="3">
        <v>1</v>
      </c>
      <c r="O36" s="3">
        <v>30000000</v>
      </c>
      <c r="P36" s="3"/>
      <c r="Q36" s="3" t="s">
        <v>2927</v>
      </c>
      <c r="R36" s="3"/>
      <c r="S36" s="3"/>
      <c r="T36" s="543"/>
    </row>
    <row r="37" spans="1:20" ht="63.75">
      <c r="A37" s="558"/>
      <c r="B37" s="539"/>
      <c r="C37" s="539"/>
      <c r="D37" s="14" t="s">
        <v>2271</v>
      </c>
      <c r="E37" s="14" t="s">
        <v>2272</v>
      </c>
      <c r="F37" s="29">
        <v>0</v>
      </c>
      <c r="G37" s="3">
        <v>1</v>
      </c>
      <c r="H37" s="4" t="s">
        <v>1262</v>
      </c>
      <c r="I37" s="4" t="s">
        <v>1263</v>
      </c>
      <c r="J37" s="3">
        <v>0</v>
      </c>
      <c r="K37" s="3">
        <v>1</v>
      </c>
      <c r="L37" s="3">
        <v>1</v>
      </c>
      <c r="M37" s="3">
        <v>1</v>
      </c>
      <c r="N37" s="3">
        <v>1</v>
      </c>
      <c r="O37" s="3">
        <v>25000</v>
      </c>
      <c r="P37" s="3">
        <v>25000</v>
      </c>
      <c r="Q37" s="3">
        <v>0</v>
      </c>
      <c r="R37" s="3">
        <v>0</v>
      </c>
      <c r="S37" s="3">
        <v>0</v>
      </c>
      <c r="T37" s="543"/>
    </row>
    <row r="38" spans="1:20" ht="76.5">
      <c r="A38" s="558"/>
      <c r="B38" s="539"/>
      <c r="C38" s="539"/>
      <c r="D38" s="14" t="s">
        <v>2259</v>
      </c>
      <c r="E38" s="14" t="s">
        <v>2260</v>
      </c>
      <c r="F38" s="5">
        <v>24</v>
      </c>
      <c r="G38" s="2">
        <f>F38*80%</f>
        <v>19.200000000000003</v>
      </c>
      <c r="H38" s="14" t="s">
        <v>2259</v>
      </c>
      <c r="I38" s="7" t="s">
        <v>2267</v>
      </c>
      <c r="J38" s="3"/>
      <c r="K38" s="3">
        <v>3</v>
      </c>
      <c r="L38" s="3">
        <v>8</v>
      </c>
      <c r="M38" s="3">
        <v>13</v>
      </c>
      <c r="N38" s="3">
        <v>19</v>
      </c>
      <c r="O38" s="13" t="s">
        <v>2268</v>
      </c>
      <c r="P38" s="3">
        <v>200000000</v>
      </c>
      <c r="Q38" s="3">
        <v>300000000</v>
      </c>
      <c r="R38" s="3">
        <v>400000000</v>
      </c>
      <c r="S38" s="3">
        <v>500000000</v>
      </c>
      <c r="T38" s="543"/>
    </row>
    <row r="39" spans="1:20" ht="89.25">
      <c r="A39" s="558"/>
      <c r="B39" s="539"/>
      <c r="C39" s="539"/>
      <c r="D39" s="549" t="s">
        <v>1264</v>
      </c>
      <c r="E39" s="14" t="s">
        <v>1265</v>
      </c>
      <c r="F39" s="29">
        <v>0</v>
      </c>
      <c r="G39" s="3">
        <v>1</v>
      </c>
      <c r="H39" s="4" t="s">
        <v>1266</v>
      </c>
      <c r="I39" s="4" t="s">
        <v>1267</v>
      </c>
      <c r="J39" s="3">
        <v>0</v>
      </c>
      <c r="K39" s="3">
        <v>0</v>
      </c>
      <c r="L39" s="3">
        <v>1</v>
      </c>
      <c r="M39" s="3">
        <v>1</v>
      </c>
      <c r="N39" s="3">
        <v>1</v>
      </c>
      <c r="O39" s="3">
        <v>300000</v>
      </c>
      <c r="P39" s="3">
        <v>0</v>
      </c>
      <c r="Q39" s="3">
        <v>300000</v>
      </c>
      <c r="R39" s="3">
        <v>0</v>
      </c>
      <c r="S39" s="3">
        <v>0</v>
      </c>
      <c r="T39" s="543"/>
    </row>
    <row r="40" spans="1:20" ht="102">
      <c r="A40" s="558"/>
      <c r="B40" s="539"/>
      <c r="C40" s="539"/>
      <c r="D40" s="549"/>
      <c r="E40" s="14" t="s">
        <v>1268</v>
      </c>
      <c r="F40" s="29">
        <v>0</v>
      </c>
      <c r="G40" s="3">
        <v>1</v>
      </c>
      <c r="H40" s="4" t="s">
        <v>1269</v>
      </c>
      <c r="I40" s="4" t="s">
        <v>1270</v>
      </c>
      <c r="J40" s="3">
        <v>0</v>
      </c>
      <c r="K40" s="3">
        <v>0</v>
      </c>
      <c r="L40" s="3">
        <v>1</v>
      </c>
      <c r="M40" s="3">
        <v>1</v>
      </c>
      <c r="N40" s="3">
        <v>1</v>
      </c>
      <c r="O40" s="3">
        <v>300000</v>
      </c>
      <c r="P40" s="3">
        <v>0</v>
      </c>
      <c r="Q40" s="3">
        <v>300000</v>
      </c>
      <c r="R40" s="3">
        <v>0</v>
      </c>
      <c r="S40" s="3">
        <v>0</v>
      </c>
      <c r="T40" s="543"/>
    </row>
    <row r="41" spans="1:20" ht="38.25">
      <c r="A41" s="558"/>
      <c r="B41" s="539"/>
      <c r="C41" s="539"/>
      <c r="D41" s="14" t="s">
        <v>2261</v>
      </c>
      <c r="E41" s="14" t="s">
        <v>2262</v>
      </c>
      <c r="F41" s="5">
        <v>0</v>
      </c>
      <c r="G41" s="6">
        <v>1</v>
      </c>
      <c r="H41" s="7"/>
      <c r="I41" s="4" t="s">
        <v>2269</v>
      </c>
      <c r="J41" s="3"/>
      <c r="K41" s="283">
        <v>25</v>
      </c>
      <c r="L41" s="284">
        <v>50</v>
      </c>
      <c r="M41" s="285">
        <v>75</v>
      </c>
      <c r="N41" s="285">
        <v>100</v>
      </c>
      <c r="O41" s="3">
        <f>2700*60000</f>
        <v>162000000</v>
      </c>
      <c r="P41" s="3"/>
      <c r="Q41" s="3">
        <v>162000000</v>
      </c>
      <c r="R41" s="3"/>
      <c r="S41" s="3"/>
      <c r="T41" s="543"/>
    </row>
    <row r="42" spans="1:20" ht="46.5" customHeight="1">
      <c r="A42" s="558"/>
      <c r="B42" s="539"/>
      <c r="C42" s="539"/>
      <c r="D42" s="14" t="s">
        <v>2263</v>
      </c>
      <c r="E42" s="14" t="s">
        <v>2264</v>
      </c>
      <c r="F42" s="5">
        <v>0</v>
      </c>
      <c r="G42" s="6">
        <v>0.3</v>
      </c>
      <c r="H42" s="4"/>
      <c r="I42" s="4"/>
      <c r="J42" s="3"/>
      <c r="K42" s="3"/>
      <c r="L42" s="3"/>
      <c r="M42" s="6">
        <v>0.15</v>
      </c>
      <c r="N42" s="6">
        <v>0.3</v>
      </c>
      <c r="O42" s="3"/>
      <c r="P42" s="3"/>
      <c r="Q42" s="3"/>
      <c r="R42" s="13" t="s">
        <v>2270</v>
      </c>
      <c r="S42" s="13" t="s">
        <v>2270</v>
      </c>
      <c r="T42" s="543"/>
    </row>
    <row r="43" spans="1:20" ht="63.75">
      <c r="A43" s="558"/>
      <c r="B43" s="539"/>
      <c r="C43" s="539"/>
      <c r="D43" s="30" t="s">
        <v>1273</v>
      </c>
      <c r="E43" s="30" t="s">
        <v>1274</v>
      </c>
      <c r="F43" s="31" t="s">
        <v>1275</v>
      </c>
      <c r="G43" s="31">
        <v>40</v>
      </c>
      <c r="H43" s="32" t="s">
        <v>1271</v>
      </c>
      <c r="I43" s="32" t="s">
        <v>1272</v>
      </c>
      <c r="J43" s="31">
        <v>15</v>
      </c>
      <c r="K43" s="31">
        <v>0</v>
      </c>
      <c r="L43" s="31">
        <v>10</v>
      </c>
      <c r="M43" s="31">
        <v>25</v>
      </c>
      <c r="N43" s="31">
        <v>40</v>
      </c>
      <c r="O43" s="31">
        <v>1000000</v>
      </c>
      <c r="P43" s="31">
        <v>0</v>
      </c>
      <c r="Q43" s="31">
        <v>250000</v>
      </c>
      <c r="R43" s="31">
        <v>375000</v>
      </c>
      <c r="S43" s="31">
        <v>375000</v>
      </c>
      <c r="T43" s="543"/>
    </row>
    <row r="44" spans="1:20" ht="76.5">
      <c r="A44" s="558"/>
      <c r="B44" s="539"/>
      <c r="C44" s="539"/>
      <c r="D44" s="14" t="s">
        <v>1276</v>
      </c>
      <c r="E44" s="14" t="s">
        <v>1277</v>
      </c>
      <c r="F44" s="29">
        <v>0.01</v>
      </c>
      <c r="G44" s="3">
        <v>1</v>
      </c>
      <c r="H44" s="4" t="s">
        <v>1278</v>
      </c>
      <c r="I44" s="4" t="s">
        <v>1278</v>
      </c>
      <c r="J44" s="3">
        <v>0</v>
      </c>
      <c r="K44" s="3">
        <v>0</v>
      </c>
      <c r="L44" s="3">
        <v>1</v>
      </c>
      <c r="M44" s="3">
        <v>1</v>
      </c>
      <c r="N44" s="3">
        <v>1</v>
      </c>
      <c r="O44" s="3">
        <v>0</v>
      </c>
      <c r="P44" s="3">
        <v>0</v>
      </c>
      <c r="Q44" s="3">
        <v>0</v>
      </c>
      <c r="R44" s="3">
        <v>0</v>
      </c>
      <c r="S44" s="3">
        <v>0</v>
      </c>
      <c r="T44" s="543"/>
    </row>
    <row r="45" spans="1:20" ht="184.5" customHeight="1" thickBot="1">
      <c r="A45" s="559"/>
      <c r="B45" s="552"/>
      <c r="C45" s="552"/>
      <c r="D45" s="44" t="s">
        <v>1279</v>
      </c>
      <c r="E45" s="44" t="s">
        <v>1280</v>
      </c>
      <c r="F45" s="63">
        <v>0.01</v>
      </c>
      <c r="G45" s="57">
        <v>1</v>
      </c>
      <c r="H45" s="56" t="s">
        <v>2284</v>
      </c>
      <c r="I45" s="56" t="s">
        <v>2284</v>
      </c>
      <c r="J45" s="57">
        <v>0</v>
      </c>
      <c r="K45" s="57">
        <v>0</v>
      </c>
      <c r="L45" s="57">
        <v>1</v>
      </c>
      <c r="M45" s="57">
        <v>1</v>
      </c>
      <c r="N45" s="57">
        <v>1</v>
      </c>
      <c r="O45" s="57">
        <v>0</v>
      </c>
      <c r="P45" s="57"/>
      <c r="Q45" s="57">
        <v>0</v>
      </c>
      <c r="R45" s="57">
        <v>0</v>
      </c>
      <c r="S45" s="57">
        <v>0</v>
      </c>
      <c r="T45" s="544"/>
    </row>
    <row r="46" spans="1:20" ht="115.5" customHeight="1">
      <c r="A46" s="557" t="s">
        <v>2285</v>
      </c>
      <c r="B46" s="585"/>
      <c r="C46" s="585"/>
      <c r="D46" s="38" t="s">
        <v>2286</v>
      </c>
      <c r="E46" s="38" t="s">
        <v>2287</v>
      </c>
      <c r="F46" s="48">
        <v>0</v>
      </c>
      <c r="G46" s="49">
        <v>1</v>
      </c>
      <c r="H46" s="38" t="s">
        <v>2291</v>
      </c>
      <c r="I46" s="50" t="s">
        <v>2292</v>
      </c>
      <c r="J46" s="51">
        <v>0</v>
      </c>
      <c r="K46" s="51">
        <v>1</v>
      </c>
      <c r="L46" s="51">
        <v>1</v>
      </c>
      <c r="M46" s="51">
        <v>1</v>
      </c>
      <c r="N46" s="51">
        <v>1</v>
      </c>
      <c r="O46" s="51" t="s">
        <v>2293</v>
      </c>
      <c r="P46" s="51" t="s">
        <v>2293</v>
      </c>
      <c r="Q46" s="51" t="s">
        <v>2293</v>
      </c>
      <c r="R46" s="51" t="s">
        <v>2293</v>
      </c>
      <c r="S46" s="51" t="s">
        <v>2293</v>
      </c>
      <c r="T46" s="52" t="s">
        <v>2294</v>
      </c>
    </row>
    <row r="47" spans="1:20" ht="105" customHeight="1">
      <c r="A47" s="558"/>
      <c r="B47" s="586"/>
      <c r="C47" s="586"/>
      <c r="D47" s="26" t="s">
        <v>2288</v>
      </c>
      <c r="E47" s="26" t="s">
        <v>2287</v>
      </c>
      <c r="F47" s="27"/>
      <c r="G47" s="24"/>
      <c r="H47" s="24"/>
      <c r="I47" s="24"/>
      <c r="J47" s="24"/>
      <c r="K47" s="24"/>
      <c r="L47" s="24"/>
      <c r="M47" s="24"/>
      <c r="N47" s="24"/>
      <c r="O47" s="24"/>
      <c r="P47" s="24"/>
      <c r="Q47" s="24"/>
      <c r="R47" s="24"/>
      <c r="S47" s="24"/>
      <c r="T47" s="53" t="s">
        <v>2297</v>
      </c>
    </row>
    <row r="48" spans="1:20" ht="90.75" customHeight="1" thickBot="1">
      <c r="A48" s="559"/>
      <c r="B48" s="587"/>
      <c r="C48" s="587"/>
      <c r="D48" s="44" t="s">
        <v>2289</v>
      </c>
      <c r="E48" s="44" t="s">
        <v>2290</v>
      </c>
      <c r="F48" s="54">
        <v>1</v>
      </c>
      <c r="G48" s="55">
        <v>2</v>
      </c>
      <c r="H48" s="56" t="s">
        <v>2295</v>
      </c>
      <c r="I48" s="56"/>
      <c r="J48" s="57">
        <v>1</v>
      </c>
      <c r="K48" s="57">
        <v>1</v>
      </c>
      <c r="L48" s="57">
        <v>2</v>
      </c>
      <c r="M48" s="57">
        <v>2</v>
      </c>
      <c r="N48" s="57">
        <v>2</v>
      </c>
      <c r="O48" s="57">
        <v>2</v>
      </c>
      <c r="P48" s="57">
        <v>30000</v>
      </c>
      <c r="Q48" s="57">
        <v>100000</v>
      </c>
      <c r="R48" s="57">
        <v>40000</v>
      </c>
      <c r="S48" s="57">
        <v>40000</v>
      </c>
      <c r="T48" s="58" t="s">
        <v>2296</v>
      </c>
    </row>
    <row r="49" spans="1:20" ht="102">
      <c r="A49" s="564" t="s">
        <v>2298</v>
      </c>
      <c r="B49" s="554"/>
      <c r="C49" s="579"/>
      <c r="D49" s="38" t="s">
        <v>2299</v>
      </c>
      <c r="E49" s="38" t="s">
        <v>2300</v>
      </c>
      <c r="F49" s="39" t="s">
        <v>2301</v>
      </c>
      <c r="G49" s="39" t="s">
        <v>2302</v>
      </c>
      <c r="H49" s="38" t="s">
        <v>2299</v>
      </c>
      <c r="I49" s="38" t="s">
        <v>2300</v>
      </c>
      <c r="J49" s="39" t="s">
        <v>2301</v>
      </c>
      <c r="K49" s="40">
        <v>0</v>
      </c>
      <c r="L49" s="41">
        <v>0.65</v>
      </c>
      <c r="M49" s="39" t="s">
        <v>2302</v>
      </c>
      <c r="N49" s="40">
        <v>0.65</v>
      </c>
      <c r="O49" s="42">
        <v>0</v>
      </c>
      <c r="P49" s="43">
        <v>0</v>
      </c>
      <c r="Q49" s="43">
        <v>0</v>
      </c>
      <c r="R49" s="42">
        <v>0</v>
      </c>
      <c r="S49" s="42">
        <v>0</v>
      </c>
      <c r="T49" s="536" t="s">
        <v>2303</v>
      </c>
    </row>
    <row r="50" spans="1:20" ht="63.75">
      <c r="A50" s="565"/>
      <c r="B50" s="555"/>
      <c r="C50" s="580"/>
      <c r="D50" s="14" t="s">
        <v>2304</v>
      </c>
      <c r="E50" s="14" t="s">
        <v>2305</v>
      </c>
      <c r="F50" s="8" t="s">
        <v>2306</v>
      </c>
      <c r="G50" s="8" t="s">
        <v>2307</v>
      </c>
      <c r="H50" s="14" t="s">
        <v>2304</v>
      </c>
      <c r="I50" s="14" t="s">
        <v>2305</v>
      </c>
      <c r="J50" s="8" t="s">
        <v>2306</v>
      </c>
      <c r="K50" s="8" t="s">
        <v>2307</v>
      </c>
      <c r="L50" s="10">
        <v>0.7</v>
      </c>
      <c r="M50" s="8" t="s">
        <v>2307</v>
      </c>
      <c r="N50" s="9">
        <v>0.7</v>
      </c>
      <c r="O50" s="2">
        <v>0</v>
      </c>
      <c r="P50" s="12">
        <v>0</v>
      </c>
      <c r="Q50" s="12">
        <v>0</v>
      </c>
      <c r="R50" s="2">
        <v>0</v>
      </c>
      <c r="S50" s="2">
        <v>0</v>
      </c>
      <c r="T50" s="537"/>
    </row>
    <row r="51" spans="1:20" ht="38.25">
      <c r="A51" s="565"/>
      <c r="B51" s="555"/>
      <c r="C51" s="580"/>
      <c r="D51" s="14" t="s">
        <v>2308</v>
      </c>
      <c r="E51" s="14" t="s">
        <v>2309</v>
      </c>
      <c r="F51" s="8" t="s">
        <v>2310</v>
      </c>
      <c r="G51" s="8" t="s">
        <v>2311</v>
      </c>
      <c r="H51" s="14" t="s">
        <v>2308</v>
      </c>
      <c r="I51" s="14" t="s">
        <v>2309</v>
      </c>
      <c r="J51" s="8" t="s">
        <v>2310</v>
      </c>
      <c r="K51" s="8" t="s">
        <v>2331</v>
      </c>
      <c r="L51" s="10">
        <v>0.15</v>
      </c>
      <c r="M51" s="8" t="s">
        <v>2311</v>
      </c>
      <c r="N51" s="9">
        <v>0.15</v>
      </c>
      <c r="O51" s="2">
        <v>0</v>
      </c>
      <c r="P51" s="12">
        <v>0</v>
      </c>
      <c r="Q51" s="12">
        <v>0</v>
      </c>
      <c r="R51" s="2">
        <v>0</v>
      </c>
      <c r="S51" s="2">
        <v>0</v>
      </c>
      <c r="T51" s="537"/>
    </row>
    <row r="52" spans="1:20" ht="51">
      <c r="A52" s="565"/>
      <c r="B52" s="555"/>
      <c r="C52" s="580"/>
      <c r="D52" s="14" t="s">
        <v>2312</v>
      </c>
      <c r="E52" s="14" t="s">
        <v>2313</v>
      </c>
      <c r="F52" s="11">
        <v>16.77</v>
      </c>
      <c r="G52" s="8" t="s">
        <v>2314</v>
      </c>
      <c r="H52" s="14" t="s">
        <v>2312</v>
      </c>
      <c r="I52" s="14" t="s">
        <v>2313</v>
      </c>
      <c r="J52" s="11">
        <v>16.77</v>
      </c>
      <c r="K52" s="8" t="s">
        <v>2314</v>
      </c>
      <c r="L52" s="10">
        <v>1</v>
      </c>
      <c r="M52" s="8" t="s">
        <v>2314</v>
      </c>
      <c r="N52" s="8" t="s">
        <v>2314</v>
      </c>
      <c r="O52" s="2">
        <v>0</v>
      </c>
      <c r="P52" s="12">
        <v>0</v>
      </c>
      <c r="Q52" s="12">
        <v>0</v>
      </c>
      <c r="R52" s="2">
        <v>0</v>
      </c>
      <c r="S52" s="2">
        <v>0</v>
      </c>
      <c r="T52" s="537"/>
    </row>
    <row r="53" spans="1:20" ht="63.75">
      <c r="A53" s="565"/>
      <c r="B53" s="555"/>
      <c r="C53" s="580"/>
      <c r="D53" s="14" t="s">
        <v>2315</v>
      </c>
      <c r="E53" s="14" t="s">
        <v>2316</v>
      </c>
      <c r="F53" s="8" t="s">
        <v>2317</v>
      </c>
      <c r="G53" s="8" t="s">
        <v>2318</v>
      </c>
      <c r="H53" s="14" t="s">
        <v>2315</v>
      </c>
      <c r="I53" s="14" t="s">
        <v>2316</v>
      </c>
      <c r="J53" s="8" t="s">
        <v>2317</v>
      </c>
      <c r="K53" s="8" t="s">
        <v>2318</v>
      </c>
      <c r="L53" s="8" t="s">
        <v>2318</v>
      </c>
      <c r="M53" s="8" t="s">
        <v>2318</v>
      </c>
      <c r="N53" s="8" t="s">
        <v>2318</v>
      </c>
      <c r="O53" s="2">
        <v>0</v>
      </c>
      <c r="P53" s="12">
        <v>0</v>
      </c>
      <c r="Q53" s="12">
        <v>0</v>
      </c>
      <c r="R53" s="2">
        <v>0</v>
      </c>
      <c r="S53" s="2">
        <v>0</v>
      </c>
      <c r="T53" s="537"/>
    </row>
    <row r="54" spans="1:20" ht="63.75">
      <c r="A54" s="565"/>
      <c r="B54" s="555"/>
      <c r="C54" s="580"/>
      <c r="D54" s="14" t="s">
        <v>2319</v>
      </c>
      <c r="E54" s="14" t="s">
        <v>2320</v>
      </c>
      <c r="F54" s="8" t="s">
        <v>2321</v>
      </c>
      <c r="G54" s="8" t="s">
        <v>2322</v>
      </c>
      <c r="H54" s="14" t="s">
        <v>2319</v>
      </c>
      <c r="I54" s="14" t="s">
        <v>2320</v>
      </c>
      <c r="J54" s="8" t="s">
        <v>2321</v>
      </c>
      <c r="K54" s="8" t="s">
        <v>2322</v>
      </c>
      <c r="L54" s="8" t="s">
        <v>2322</v>
      </c>
      <c r="M54" s="8" t="s">
        <v>2322</v>
      </c>
      <c r="N54" s="8" t="s">
        <v>2322</v>
      </c>
      <c r="O54" s="2">
        <v>0</v>
      </c>
      <c r="P54" s="12">
        <v>0</v>
      </c>
      <c r="Q54" s="12">
        <v>0</v>
      </c>
      <c r="R54" s="2">
        <v>0</v>
      </c>
      <c r="S54" s="2">
        <v>0</v>
      </c>
      <c r="T54" s="537"/>
    </row>
    <row r="55" spans="1:20" ht="63.75">
      <c r="A55" s="565"/>
      <c r="B55" s="555"/>
      <c r="C55" s="580"/>
      <c r="D55" s="14" t="s">
        <v>2323</v>
      </c>
      <c r="E55" s="14" t="s">
        <v>2324</v>
      </c>
      <c r="F55" s="8" t="s">
        <v>2325</v>
      </c>
      <c r="G55" s="8" t="s">
        <v>2326</v>
      </c>
      <c r="H55" s="14" t="s">
        <v>2323</v>
      </c>
      <c r="I55" s="14" t="s">
        <v>2324</v>
      </c>
      <c r="J55" s="8" t="s">
        <v>2325</v>
      </c>
      <c r="K55" s="8" t="s">
        <v>2326</v>
      </c>
      <c r="L55" s="8" t="s">
        <v>2326</v>
      </c>
      <c r="M55" s="8" t="s">
        <v>2326</v>
      </c>
      <c r="N55" s="8" t="s">
        <v>2326</v>
      </c>
      <c r="O55" s="2">
        <v>0</v>
      </c>
      <c r="P55" s="12">
        <v>0</v>
      </c>
      <c r="Q55" s="12">
        <v>0</v>
      </c>
      <c r="R55" s="2">
        <v>0</v>
      </c>
      <c r="S55" s="2">
        <v>0</v>
      </c>
      <c r="T55" s="537"/>
    </row>
    <row r="56" spans="1:20" ht="51.75" thickBot="1">
      <c r="A56" s="566"/>
      <c r="B56" s="556"/>
      <c r="C56" s="581"/>
      <c r="D56" s="44" t="s">
        <v>2327</v>
      </c>
      <c r="E56" s="44" t="s">
        <v>2328</v>
      </c>
      <c r="F56" s="45" t="s">
        <v>2329</v>
      </c>
      <c r="G56" s="45" t="s">
        <v>2330</v>
      </c>
      <c r="H56" s="44" t="s">
        <v>2327</v>
      </c>
      <c r="I56" s="44" t="s">
        <v>2328</v>
      </c>
      <c r="J56" s="45" t="s">
        <v>2329</v>
      </c>
      <c r="K56" s="45" t="s">
        <v>2330</v>
      </c>
      <c r="L56" s="45" t="s">
        <v>2330</v>
      </c>
      <c r="M56" s="45" t="s">
        <v>2330</v>
      </c>
      <c r="N56" s="45" t="s">
        <v>2330</v>
      </c>
      <c r="O56" s="46">
        <v>0</v>
      </c>
      <c r="P56" s="47">
        <v>0</v>
      </c>
      <c r="Q56" s="47">
        <v>0</v>
      </c>
      <c r="R56" s="46">
        <v>0</v>
      </c>
      <c r="S56" s="46">
        <v>0</v>
      </c>
      <c r="T56" s="538"/>
    </row>
    <row r="57" spans="1:20" ht="87.75" customHeight="1" thickBot="1">
      <c r="A57" s="33" t="s">
        <v>2332</v>
      </c>
      <c r="B57" s="34"/>
      <c r="C57" s="34"/>
      <c r="D57" s="35" t="s">
        <v>2333</v>
      </c>
      <c r="E57" s="35" t="s">
        <v>2334</v>
      </c>
      <c r="F57" s="36"/>
      <c r="G57" s="36"/>
      <c r="H57" s="36"/>
      <c r="I57" s="36"/>
      <c r="J57" s="36"/>
      <c r="K57" s="36"/>
      <c r="L57" s="36"/>
      <c r="M57" s="36"/>
      <c r="N57" s="36"/>
      <c r="O57" s="36"/>
      <c r="P57" s="36"/>
      <c r="Q57" s="36"/>
      <c r="R57" s="36"/>
      <c r="S57" s="36"/>
      <c r="T57" s="37"/>
    </row>
  </sheetData>
  <sheetProtection/>
  <mergeCells count="56">
    <mergeCell ref="D31:D32"/>
    <mergeCell ref="D10:D11"/>
    <mergeCell ref="D12:D13"/>
    <mergeCell ref="D18:D19"/>
    <mergeCell ref="C22:C27"/>
    <mergeCell ref="A29:A32"/>
    <mergeCell ref="B29:B32"/>
    <mergeCell ref="A22:A27"/>
    <mergeCell ref="B22:B27"/>
    <mergeCell ref="B10:B21"/>
    <mergeCell ref="C10:C21"/>
    <mergeCell ref="C29:C32"/>
    <mergeCell ref="C49:C56"/>
    <mergeCell ref="D39:D40"/>
    <mergeCell ref="A33:A45"/>
    <mergeCell ref="B33:B45"/>
    <mergeCell ref="A10:A21"/>
    <mergeCell ref="D23:D24"/>
    <mergeCell ref="B46:B48"/>
    <mergeCell ref="C46:C48"/>
    <mergeCell ref="C33:C45"/>
    <mergeCell ref="D34:D35"/>
    <mergeCell ref="A1:T1"/>
    <mergeCell ref="A2:T2"/>
    <mergeCell ref="A3:T3"/>
    <mergeCell ref="A4:T4"/>
    <mergeCell ref="A5:T5"/>
    <mergeCell ref="I8:N8"/>
    <mergeCell ref="O8:S8"/>
    <mergeCell ref="A8:A9"/>
    <mergeCell ref="B49:B56"/>
    <mergeCell ref="A46:A48"/>
    <mergeCell ref="A6:T7"/>
    <mergeCell ref="D8:D9"/>
    <mergeCell ref="T10:T21"/>
    <mergeCell ref="A49:A56"/>
    <mergeCell ref="T22:T27"/>
    <mergeCell ref="G23:G24"/>
    <mergeCell ref="T8:T9"/>
    <mergeCell ref="E8:H8"/>
    <mergeCell ref="B8:B9"/>
    <mergeCell ref="C8:C9"/>
    <mergeCell ref="E34:E35"/>
    <mergeCell ref="G18:G19"/>
    <mergeCell ref="F18:F19"/>
    <mergeCell ref="E18:E19"/>
    <mergeCell ref="F23:F24"/>
    <mergeCell ref="E23:E24"/>
    <mergeCell ref="F31:F32"/>
    <mergeCell ref="E31:E32"/>
    <mergeCell ref="T49:T56"/>
    <mergeCell ref="F34:F35"/>
    <mergeCell ref="G34:G35"/>
    <mergeCell ref="V34:V35"/>
    <mergeCell ref="T33:T45"/>
    <mergeCell ref="G31:G32"/>
  </mergeCells>
  <printOptions/>
  <pageMargins left="0.75" right="0.75" top="1" bottom="1" header="0.5" footer="0.5"/>
  <pageSetup horizontalDpi="600" verticalDpi="600" orientation="portrait" paperSize="9"/>
  <ignoredErrors>
    <ignoredError sqref="R28" emptyCellReference="1"/>
  </ignoredErrors>
</worksheet>
</file>

<file path=xl/worksheets/sheet3.xml><?xml version="1.0" encoding="utf-8"?>
<worksheet xmlns="http://schemas.openxmlformats.org/spreadsheetml/2006/main" xmlns:r="http://schemas.openxmlformats.org/officeDocument/2006/relationships">
  <sheetPr>
    <tabColor rgb="FF008000"/>
  </sheetPr>
  <dimension ref="A1:Y69"/>
  <sheetViews>
    <sheetView zoomScale="75" zoomScaleNormal="75" zoomScalePageLayoutView="0" workbookViewId="0" topLeftCell="A1">
      <pane ySplit="7" topLeftCell="A8" activePane="bottomLeft" state="frozen"/>
      <selection pane="topLeft" activeCell="E1" sqref="E1"/>
      <selection pane="bottomLeft" activeCell="A2" sqref="A2:W2"/>
    </sheetView>
  </sheetViews>
  <sheetFormatPr defaultColWidth="10.875" defaultRowHeight="15.75"/>
  <cols>
    <col min="1" max="1" width="45.00390625" style="207" bestFit="1" customWidth="1"/>
    <col min="2" max="2" width="20.00390625" style="207" bestFit="1" customWidth="1"/>
    <col min="3" max="3" width="43.00390625" style="207" bestFit="1" customWidth="1"/>
    <col min="4" max="4" width="34.125" style="207" bestFit="1" customWidth="1"/>
    <col min="5" max="5" width="34.875" style="207" bestFit="1" customWidth="1"/>
    <col min="6" max="6" width="14.375" style="207" bestFit="1" customWidth="1"/>
    <col min="7" max="8" width="14.875" style="207" bestFit="1" customWidth="1"/>
    <col min="9" max="9" width="17.50390625" style="207" bestFit="1" customWidth="1"/>
    <col min="10" max="10" width="29.50390625" style="207" bestFit="1" customWidth="1"/>
    <col min="11" max="11" width="22.00390625" style="207" bestFit="1" customWidth="1"/>
    <col min="12" max="12" width="27.00390625" style="207" bestFit="1" customWidth="1"/>
    <col min="13" max="13" width="13.50390625" style="207" bestFit="1" customWidth="1"/>
    <col min="14" max="17" width="14.375" style="207" bestFit="1" customWidth="1"/>
    <col min="18" max="18" width="17.625" style="207" bestFit="1" customWidth="1"/>
    <col min="19" max="19" width="15.625" style="207" bestFit="1" customWidth="1"/>
    <col min="20" max="22" width="20.00390625" style="207" bestFit="1" customWidth="1"/>
    <col min="23" max="23" width="43.50390625" style="207" bestFit="1" customWidth="1"/>
    <col min="24" max="16384" width="10.875" style="207" customWidth="1"/>
  </cols>
  <sheetData>
    <row r="1" spans="1:23" ht="18">
      <c r="A1" s="609" t="s">
        <v>1370</v>
      </c>
      <c r="B1" s="610"/>
      <c r="C1" s="610"/>
      <c r="D1" s="610"/>
      <c r="E1" s="610"/>
      <c r="F1" s="610"/>
      <c r="G1" s="610"/>
      <c r="H1" s="610"/>
      <c r="I1" s="610"/>
      <c r="J1" s="610"/>
      <c r="K1" s="610"/>
      <c r="L1" s="610"/>
      <c r="M1" s="610"/>
      <c r="N1" s="610"/>
      <c r="O1" s="610"/>
      <c r="P1" s="610"/>
      <c r="Q1" s="610"/>
      <c r="R1" s="610"/>
      <c r="S1" s="610"/>
      <c r="T1" s="610"/>
      <c r="U1" s="610"/>
      <c r="V1" s="610"/>
      <c r="W1" s="611"/>
    </row>
    <row r="2" spans="1:23" ht="18">
      <c r="A2" s="609" t="s">
        <v>1371</v>
      </c>
      <c r="B2" s="610"/>
      <c r="C2" s="610"/>
      <c r="D2" s="610"/>
      <c r="E2" s="610"/>
      <c r="F2" s="610"/>
      <c r="G2" s="610"/>
      <c r="H2" s="610"/>
      <c r="I2" s="610"/>
      <c r="J2" s="610"/>
      <c r="K2" s="610"/>
      <c r="L2" s="610"/>
      <c r="M2" s="610"/>
      <c r="N2" s="610"/>
      <c r="O2" s="610"/>
      <c r="P2" s="610"/>
      <c r="Q2" s="610"/>
      <c r="R2" s="610"/>
      <c r="S2" s="610"/>
      <c r="T2" s="610"/>
      <c r="U2" s="610"/>
      <c r="V2" s="610"/>
      <c r="W2" s="611"/>
    </row>
    <row r="3" spans="1:23" ht="18">
      <c r="A3" s="609" t="s">
        <v>2092</v>
      </c>
      <c r="B3" s="610"/>
      <c r="C3" s="610"/>
      <c r="D3" s="610"/>
      <c r="E3" s="610"/>
      <c r="F3" s="610"/>
      <c r="G3" s="610"/>
      <c r="H3" s="610"/>
      <c r="I3" s="610"/>
      <c r="J3" s="610"/>
      <c r="K3" s="610"/>
      <c r="L3" s="610"/>
      <c r="M3" s="610"/>
      <c r="N3" s="610"/>
      <c r="O3" s="610"/>
      <c r="P3" s="610"/>
      <c r="Q3" s="610"/>
      <c r="R3" s="610"/>
      <c r="S3" s="610"/>
      <c r="T3" s="610"/>
      <c r="U3" s="610"/>
      <c r="V3" s="610"/>
      <c r="W3" s="611"/>
    </row>
    <row r="4" spans="1:23" ht="18">
      <c r="A4" s="609" t="s">
        <v>2093</v>
      </c>
      <c r="B4" s="610"/>
      <c r="C4" s="610"/>
      <c r="D4" s="610"/>
      <c r="E4" s="610"/>
      <c r="F4" s="610"/>
      <c r="G4" s="610"/>
      <c r="H4" s="610"/>
      <c r="I4" s="610"/>
      <c r="J4" s="610"/>
      <c r="K4" s="610"/>
      <c r="L4" s="610"/>
      <c r="M4" s="610"/>
      <c r="N4" s="610"/>
      <c r="O4" s="610"/>
      <c r="P4" s="610"/>
      <c r="Q4" s="610"/>
      <c r="R4" s="610"/>
      <c r="S4" s="610"/>
      <c r="T4" s="610"/>
      <c r="U4" s="610"/>
      <c r="V4" s="610"/>
      <c r="W4" s="611"/>
    </row>
    <row r="5" spans="1:23" ht="16.5" customHeight="1">
      <c r="A5" s="605"/>
      <c r="B5" s="606"/>
      <c r="C5" s="606"/>
      <c r="D5" s="606"/>
      <c r="E5" s="606"/>
      <c r="F5" s="606"/>
      <c r="G5" s="606"/>
      <c r="H5" s="606"/>
      <c r="I5" s="606"/>
      <c r="J5" s="606"/>
      <c r="K5" s="606"/>
      <c r="L5" s="606"/>
      <c r="M5" s="606"/>
      <c r="N5" s="606"/>
      <c r="O5" s="606"/>
      <c r="P5" s="606"/>
      <c r="Q5" s="606"/>
      <c r="R5" s="606"/>
      <c r="S5" s="606"/>
      <c r="T5" s="606"/>
      <c r="U5" s="606"/>
      <c r="V5" s="606"/>
      <c r="W5" s="607"/>
    </row>
    <row r="6" spans="1:23" ht="15.75" customHeight="1">
      <c r="A6" s="608" t="s">
        <v>2094</v>
      </c>
      <c r="B6" s="608" t="s">
        <v>1848</v>
      </c>
      <c r="C6" s="608" t="s">
        <v>2097</v>
      </c>
      <c r="D6" s="608" t="s">
        <v>2098</v>
      </c>
      <c r="E6" s="608"/>
      <c r="F6" s="608"/>
      <c r="G6" s="608"/>
      <c r="H6" s="608"/>
      <c r="I6" s="608"/>
      <c r="J6" s="608" t="s">
        <v>2099</v>
      </c>
      <c r="K6" s="608"/>
      <c r="L6" s="608"/>
      <c r="M6" s="608"/>
      <c r="N6" s="608"/>
      <c r="O6" s="608"/>
      <c r="P6" s="608"/>
      <c r="Q6" s="608"/>
      <c r="R6" s="608" t="s">
        <v>2100</v>
      </c>
      <c r="S6" s="608"/>
      <c r="T6" s="608"/>
      <c r="U6" s="608"/>
      <c r="V6" s="608"/>
      <c r="W6" s="608" t="s">
        <v>2101</v>
      </c>
    </row>
    <row r="7" spans="1:23" ht="97.5" customHeight="1">
      <c r="A7" s="608"/>
      <c r="B7" s="608"/>
      <c r="C7" s="608"/>
      <c r="D7" s="344" t="s">
        <v>2102</v>
      </c>
      <c r="E7" s="352" t="s">
        <v>2103</v>
      </c>
      <c r="F7" s="344" t="s">
        <v>2107</v>
      </c>
      <c r="G7" s="344" t="s">
        <v>2108</v>
      </c>
      <c r="H7" s="344" t="s">
        <v>2109</v>
      </c>
      <c r="I7" s="344" t="s">
        <v>2104</v>
      </c>
      <c r="J7" s="353" t="s">
        <v>2105</v>
      </c>
      <c r="K7" s="344" t="s">
        <v>2102</v>
      </c>
      <c r="L7" s="344" t="s">
        <v>18</v>
      </c>
      <c r="M7" s="352" t="s">
        <v>2103</v>
      </c>
      <c r="N7" s="344" t="s">
        <v>2107</v>
      </c>
      <c r="O7" s="344" t="s">
        <v>2108</v>
      </c>
      <c r="P7" s="344" t="s">
        <v>2109</v>
      </c>
      <c r="Q7" s="344" t="s">
        <v>2104</v>
      </c>
      <c r="R7" s="344" t="s">
        <v>2110</v>
      </c>
      <c r="S7" s="344">
        <v>2012</v>
      </c>
      <c r="T7" s="344">
        <v>2013</v>
      </c>
      <c r="U7" s="344">
        <v>2014</v>
      </c>
      <c r="V7" s="344">
        <v>2015</v>
      </c>
      <c r="W7" s="608"/>
    </row>
    <row r="8" spans="1:23" ht="58.5" customHeight="1">
      <c r="A8" s="603" t="s">
        <v>1162</v>
      </c>
      <c r="B8" s="593">
        <v>17</v>
      </c>
      <c r="C8" s="590" t="s">
        <v>1163</v>
      </c>
      <c r="D8" s="14" t="s">
        <v>1164</v>
      </c>
      <c r="E8" s="17" t="s">
        <v>1166</v>
      </c>
      <c r="F8" s="17">
        <v>1</v>
      </c>
      <c r="G8" s="17">
        <v>1</v>
      </c>
      <c r="H8" s="17">
        <v>1</v>
      </c>
      <c r="I8" s="6">
        <v>1</v>
      </c>
      <c r="J8" s="4" t="s">
        <v>2078</v>
      </c>
      <c r="K8" s="4" t="s">
        <v>2079</v>
      </c>
      <c r="L8" s="4" t="s">
        <v>189</v>
      </c>
      <c r="M8" s="30">
        <v>3</v>
      </c>
      <c r="N8" s="30">
        <v>4</v>
      </c>
      <c r="O8" s="4" t="s">
        <v>2080</v>
      </c>
      <c r="P8" s="4" t="s">
        <v>2081</v>
      </c>
      <c r="Q8" s="4" t="s">
        <v>2267</v>
      </c>
      <c r="R8" s="3">
        <f>SUM(S8:V8)</f>
        <v>15000</v>
      </c>
      <c r="S8" s="3">
        <v>15000</v>
      </c>
      <c r="T8" s="30">
        <v>0</v>
      </c>
      <c r="U8" s="30">
        <v>0</v>
      </c>
      <c r="V8" s="30">
        <v>0</v>
      </c>
      <c r="W8" s="590" t="s">
        <v>1171</v>
      </c>
    </row>
    <row r="9" spans="1:23" ht="100.5" customHeight="1">
      <c r="A9" s="603"/>
      <c r="B9" s="593"/>
      <c r="C9" s="590"/>
      <c r="D9" s="14" t="s">
        <v>1165</v>
      </c>
      <c r="E9" s="17" t="s">
        <v>1167</v>
      </c>
      <c r="F9" s="17">
        <v>1</v>
      </c>
      <c r="G9" s="17">
        <v>1</v>
      </c>
      <c r="H9" s="17">
        <v>1</v>
      </c>
      <c r="I9" s="6">
        <v>1</v>
      </c>
      <c r="J9" s="4" t="s">
        <v>2082</v>
      </c>
      <c r="K9" s="4" t="s">
        <v>2083</v>
      </c>
      <c r="L9" s="4" t="s">
        <v>189</v>
      </c>
      <c r="M9" s="30">
        <v>47</v>
      </c>
      <c r="N9" s="30">
        <v>15</v>
      </c>
      <c r="O9" s="30">
        <v>30</v>
      </c>
      <c r="P9" s="30">
        <v>45</v>
      </c>
      <c r="Q9" s="30">
        <v>60</v>
      </c>
      <c r="R9" s="3">
        <f aca="true" t="shared" si="0" ref="R9:R56">SUM(S9:V9)</f>
        <v>15000</v>
      </c>
      <c r="S9" s="3">
        <v>15000</v>
      </c>
      <c r="T9" s="30">
        <v>0</v>
      </c>
      <c r="U9" s="30">
        <v>0</v>
      </c>
      <c r="V9" s="30">
        <v>0</v>
      </c>
      <c r="W9" s="590"/>
    </row>
    <row r="10" spans="1:23" ht="76.5" customHeight="1">
      <c r="A10" s="603"/>
      <c r="B10" s="593"/>
      <c r="C10" s="549" t="s">
        <v>652</v>
      </c>
      <c r="D10" s="14" t="s">
        <v>1173</v>
      </c>
      <c r="E10" s="18">
        <v>0</v>
      </c>
      <c r="F10" s="345">
        <v>0.2</v>
      </c>
      <c r="G10" s="345">
        <v>0.7</v>
      </c>
      <c r="H10" s="345">
        <v>1</v>
      </c>
      <c r="I10" s="345">
        <v>1</v>
      </c>
      <c r="J10" s="4" t="s">
        <v>2084</v>
      </c>
      <c r="K10" s="4" t="s">
        <v>1176</v>
      </c>
      <c r="L10" s="4" t="s">
        <v>189</v>
      </c>
      <c r="M10" s="30" t="s">
        <v>2978</v>
      </c>
      <c r="N10" s="3">
        <v>2</v>
      </c>
      <c r="O10" s="3">
        <v>50</v>
      </c>
      <c r="P10" s="3">
        <v>98</v>
      </c>
      <c r="Q10" s="3">
        <v>146</v>
      </c>
      <c r="R10" s="3">
        <f t="shared" si="0"/>
        <v>24000</v>
      </c>
      <c r="S10" s="3">
        <v>0</v>
      </c>
      <c r="T10" s="3">
        <v>8000</v>
      </c>
      <c r="U10" s="3">
        <v>8000</v>
      </c>
      <c r="V10" s="3">
        <v>8000</v>
      </c>
      <c r="W10" s="590"/>
    </row>
    <row r="11" spans="1:23" ht="51">
      <c r="A11" s="603"/>
      <c r="B11" s="593"/>
      <c r="C11" s="549"/>
      <c r="D11" s="14" t="s">
        <v>653</v>
      </c>
      <c r="E11" s="18">
        <v>0</v>
      </c>
      <c r="F11" s="18">
        <v>0</v>
      </c>
      <c r="G11" s="18">
        <v>7</v>
      </c>
      <c r="H11" s="18">
        <v>7</v>
      </c>
      <c r="I11" s="30">
        <v>7</v>
      </c>
      <c r="J11" s="4" t="s">
        <v>1177</v>
      </c>
      <c r="K11" s="4" t="s">
        <v>654</v>
      </c>
      <c r="L11" s="4" t="s">
        <v>189</v>
      </c>
      <c r="M11" s="30" t="s">
        <v>2978</v>
      </c>
      <c r="N11" s="4" t="s">
        <v>655</v>
      </c>
      <c r="O11" s="4">
        <v>7</v>
      </c>
      <c r="P11" s="4">
        <v>7</v>
      </c>
      <c r="Q11" s="4">
        <v>7</v>
      </c>
      <c r="R11" s="3">
        <f t="shared" si="0"/>
        <v>22475</v>
      </c>
      <c r="S11" s="3">
        <v>0</v>
      </c>
      <c r="T11" s="3">
        <v>22475</v>
      </c>
      <c r="U11" s="3">
        <v>0</v>
      </c>
      <c r="V11" s="3">
        <v>0</v>
      </c>
      <c r="W11" s="590"/>
    </row>
    <row r="12" spans="1:23" ht="32.25" customHeight="1">
      <c r="A12" s="603"/>
      <c r="B12" s="593"/>
      <c r="C12" s="14" t="s">
        <v>2922</v>
      </c>
      <c r="D12" s="14" t="s">
        <v>2923</v>
      </c>
      <c r="E12" s="18" t="s">
        <v>2924</v>
      </c>
      <c r="F12" s="297">
        <v>0</v>
      </c>
      <c r="G12" s="297">
        <f>398964*1.1</f>
        <v>438860.4</v>
      </c>
      <c r="H12" s="297">
        <f>398964*1.2</f>
        <v>478756.8</v>
      </c>
      <c r="I12" s="297">
        <f>398964*1.3</f>
        <v>518653.2</v>
      </c>
      <c r="J12" s="4" t="s">
        <v>656</v>
      </c>
      <c r="K12" s="4" t="s">
        <v>2926</v>
      </c>
      <c r="L12" s="4" t="s">
        <v>189</v>
      </c>
      <c r="M12" s="30">
        <v>0</v>
      </c>
      <c r="N12" s="2">
        <v>0</v>
      </c>
      <c r="O12" s="6">
        <v>0.1</v>
      </c>
      <c r="P12" s="6">
        <v>0.2</v>
      </c>
      <c r="Q12" s="6">
        <v>0.3</v>
      </c>
      <c r="R12" s="3">
        <f t="shared" si="0"/>
        <v>30000</v>
      </c>
      <c r="S12" s="3">
        <v>0</v>
      </c>
      <c r="T12" s="3">
        <v>10000</v>
      </c>
      <c r="U12" s="3">
        <v>10000</v>
      </c>
      <c r="V12" s="3">
        <v>10000</v>
      </c>
      <c r="W12" s="590"/>
    </row>
    <row r="13" spans="1:23" ht="38.25">
      <c r="A13" s="603"/>
      <c r="B13" s="593"/>
      <c r="C13" s="14" t="s">
        <v>2928</v>
      </c>
      <c r="D13" s="14" t="s">
        <v>2929</v>
      </c>
      <c r="E13" s="18">
        <v>0</v>
      </c>
      <c r="F13" s="18"/>
      <c r="G13" s="6">
        <v>0.1</v>
      </c>
      <c r="H13" s="6">
        <v>0.2</v>
      </c>
      <c r="I13" s="14" t="s">
        <v>657</v>
      </c>
      <c r="J13" s="4" t="s">
        <v>658</v>
      </c>
      <c r="K13" s="4" t="s">
        <v>659</v>
      </c>
      <c r="L13" s="4" t="s">
        <v>19</v>
      </c>
      <c r="M13" s="30">
        <v>0</v>
      </c>
      <c r="N13" s="30">
        <v>0</v>
      </c>
      <c r="O13" s="30">
        <v>1</v>
      </c>
      <c r="P13" s="30">
        <v>1</v>
      </c>
      <c r="Q13" s="30">
        <v>1</v>
      </c>
      <c r="R13" s="3">
        <f t="shared" si="0"/>
        <v>0</v>
      </c>
      <c r="S13" s="30">
        <v>0</v>
      </c>
      <c r="T13" s="30">
        <v>0</v>
      </c>
      <c r="U13" s="30">
        <v>0</v>
      </c>
      <c r="V13" s="30">
        <v>0</v>
      </c>
      <c r="W13" s="590"/>
    </row>
    <row r="14" spans="1:23" ht="38.25">
      <c r="A14" s="603"/>
      <c r="B14" s="593"/>
      <c r="C14" s="14" t="s">
        <v>2932</v>
      </c>
      <c r="D14" s="14" t="s">
        <v>2933</v>
      </c>
      <c r="E14" s="18">
        <v>4</v>
      </c>
      <c r="F14" s="18">
        <v>6</v>
      </c>
      <c r="G14" s="18">
        <v>6</v>
      </c>
      <c r="H14" s="18">
        <v>6</v>
      </c>
      <c r="I14" s="30">
        <v>6</v>
      </c>
      <c r="J14" s="4" t="s">
        <v>2934</v>
      </c>
      <c r="K14" s="4" t="s">
        <v>2085</v>
      </c>
      <c r="L14" s="4" t="s">
        <v>189</v>
      </c>
      <c r="M14" s="30" t="s">
        <v>2978</v>
      </c>
      <c r="N14" s="30">
        <v>10</v>
      </c>
      <c r="O14" s="4" t="s">
        <v>2086</v>
      </c>
      <c r="P14" s="4" t="s">
        <v>2086</v>
      </c>
      <c r="Q14" s="4" t="s">
        <v>2086</v>
      </c>
      <c r="R14" s="3">
        <f t="shared" si="0"/>
        <v>690454</v>
      </c>
      <c r="S14" s="346">
        <v>169639</v>
      </c>
      <c r="T14" s="3">
        <v>171607</v>
      </c>
      <c r="U14" s="3">
        <v>173597</v>
      </c>
      <c r="V14" s="3">
        <v>175611</v>
      </c>
      <c r="W14" s="590"/>
    </row>
    <row r="15" spans="1:23" ht="38.25">
      <c r="A15" s="603"/>
      <c r="B15" s="593"/>
      <c r="C15" s="560" t="s">
        <v>2087</v>
      </c>
      <c r="D15" s="560" t="s">
        <v>2088</v>
      </c>
      <c r="E15" s="597" t="s">
        <v>2978</v>
      </c>
      <c r="F15" s="597">
        <v>34</v>
      </c>
      <c r="G15" s="597">
        <v>60</v>
      </c>
      <c r="H15" s="597">
        <v>113</v>
      </c>
      <c r="I15" s="597">
        <v>200</v>
      </c>
      <c r="J15" s="4" t="s">
        <v>2979</v>
      </c>
      <c r="K15" s="4" t="s">
        <v>2980</v>
      </c>
      <c r="L15" s="4" t="s">
        <v>189</v>
      </c>
      <c r="M15" s="30" t="s">
        <v>2978</v>
      </c>
      <c r="N15" s="3">
        <v>34</v>
      </c>
      <c r="O15" s="3">
        <v>94</v>
      </c>
      <c r="P15" s="3">
        <v>147</v>
      </c>
      <c r="Q15" s="3">
        <v>200</v>
      </c>
      <c r="R15" s="3">
        <f t="shared" si="0"/>
        <v>724000</v>
      </c>
      <c r="S15" s="3">
        <v>181000</v>
      </c>
      <c r="T15" s="3">
        <f>+S15</f>
        <v>181000</v>
      </c>
      <c r="U15" s="3">
        <f>+T15</f>
        <v>181000</v>
      </c>
      <c r="V15" s="3">
        <f>+U15</f>
        <v>181000</v>
      </c>
      <c r="W15" s="590"/>
    </row>
    <row r="16" spans="1:23" ht="51">
      <c r="A16" s="603"/>
      <c r="B16" s="593"/>
      <c r="C16" s="604"/>
      <c r="D16" s="604"/>
      <c r="E16" s="598"/>
      <c r="F16" s="598"/>
      <c r="G16" s="598"/>
      <c r="H16" s="598"/>
      <c r="I16" s="598"/>
      <c r="J16" s="4" t="s">
        <v>2981</v>
      </c>
      <c r="K16" s="4" t="s">
        <v>2982</v>
      </c>
      <c r="L16" s="4" t="s">
        <v>2809</v>
      </c>
      <c r="M16" s="30" t="s">
        <v>2978</v>
      </c>
      <c r="N16" s="3">
        <v>100</v>
      </c>
      <c r="O16" s="3">
        <v>100</v>
      </c>
      <c r="P16" s="3">
        <v>100</v>
      </c>
      <c r="Q16" s="3">
        <v>100</v>
      </c>
      <c r="R16" s="3">
        <v>1250000</v>
      </c>
      <c r="S16" s="3">
        <v>50000</v>
      </c>
      <c r="T16" s="3">
        <v>400000</v>
      </c>
      <c r="U16" s="3">
        <v>400000</v>
      </c>
      <c r="V16" s="3">
        <v>400000</v>
      </c>
      <c r="W16" s="590"/>
    </row>
    <row r="17" spans="1:23" ht="38.25">
      <c r="A17" s="603"/>
      <c r="B17" s="593"/>
      <c r="C17" s="549" t="s">
        <v>2946</v>
      </c>
      <c r="D17" s="549" t="s">
        <v>2947</v>
      </c>
      <c r="E17" s="551">
        <v>14</v>
      </c>
      <c r="F17" s="551">
        <v>7</v>
      </c>
      <c r="G17" s="551">
        <v>7</v>
      </c>
      <c r="H17" s="551">
        <v>7</v>
      </c>
      <c r="I17" s="590">
        <v>7</v>
      </c>
      <c r="J17" s="4" t="s">
        <v>2090</v>
      </c>
      <c r="K17" s="4" t="s">
        <v>2949</v>
      </c>
      <c r="L17" s="4" t="s">
        <v>189</v>
      </c>
      <c r="M17" s="30" t="s">
        <v>2978</v>
      </c>
      <c r="N17" s="4" t="s">
        <v>651</v>
      </c>
      <c r="O17" s="4">
        <v>7</v>
      </c>
      <c r="P17" s="4" t="s">
        <v>2950</v>
      </c>
      <c r="Q17" s="4" t="s">
        <v>2950</v>
      </c>
      <c r="R17" s="3">
        <v>3388</v>
      </c>
      <c r="S17" s="3">
        <v>3388</v>
      </c>
      <c r="T17" s="3">
        <v>0</v>
      </c>
      <c r="U17" s="3">
        <v>0</v>
      </c>
      <c r="V17" s="3">
        <v>0</v>
      </c>
      <c r="W17" s="590"/>
    </row>
    <row r="18" spans="1:23" ht="63.75">
      <c r="A18" s="603"/>
      <c r="B18" s="593"/>
      <c r="C18" s="549"/>
      <c r="D18" s="549"/>
      <c r="E18" s="551"/>
      <c r="F18" s="551"/>
      <c r="G18" s="551"/>
      <c r="H18" s="551"/>
      <c r="I18" s="590"/>
      <c r="J18" s="4" t="s">
        <v>2089</v>
      </c>
      <c r="K18" s="4" t="s">
        <v>2953</v>
      </c>
      <c r="L18" s="4" t="s">
        <v>189</v>
      </c>
      <c r="M18" s="198">
        <v>0</v>
      </c>
      <c r="N18" s="198">
        <v>0</v>
      </c>
      <c r="O18" s="198">
        <v>1</v>
      </c>
      <c r="P18" s="198">
        <v>1</v>
      </c>
      <c r="Q18" s="198">
        <v>1</v>
      </c>
      <c r="R18" s="3">
        <f t="shared" si="0"/>
        <v>150000</v>
      </c>
      <c r="S18" s="3">
        <v>0</v>
      </c>
      <c r="T18" s="3">
        <v>50000</v>
      </c>
      <c r="U18" s="3">
        <v>50000</v>
      </c>
      <c r="V18" s="3">
        <v>50000</v>
      </c>
      <c r="W18" s="590"/>
    </row>
    <row r="19" spans="1:23" ht="25.5">
      <c r="A19" s="603"/>
      <c r="B19" s="593"/>
      <c r="C19" s="14" t="s">
        <v>2955</v>
      </c>
      <c r="D19" s="14" t="s">
        <v>2956</v>
      </c>
      <c r="E19" s="18">
        <v>0</v>
      </c>
      <c r="F19" s="18">
        <v>1</v>
      </c>
      <c r="G19" s="18">
        <v>2</v>
      </c>
      <c r="H19" s="18">
        <v>3</v>
      </c>
      <c r="I19" s="30">
        <v>4</v>
      </c>
      <c r="J19" s="4" t="s">
        <v>660</v>
      </c>
      <c r="K19" s="4" t="s">
        <v>2958</v>
      </c>
      <c r="L19" s="4" t="s">
        <v>189</v>
      </c>
      <c r="M19" s="302" t="s">
        <v>655</v>
      </c>
      <c r="N19" s="302">
        <v>1</v>
      </c>
      <c r="O19" s="302" t="s">
        <v>661</v>
      </c>
      <c r="P19" s="302" t="s">
        <v>662</v>
      </c>
      <c r="Q19" s="302" t="s">
        <v>663</v>
      </c>
      <c r="R19" s="3">
        <f t="shared" si="0"/>
        <v>80000</v>
      </c>
      <c r="S19" s="14">
        <v>0</v>
      </c>
      <c r="T19" s="3">
        <v>80000</v>
      </c>
      <c r="U19" s="3">
        <v>0</v>
      </c>
      <c r="V19" s="3">
        <v>0</v>
      </c>
      <c r="W19" s="590"/>
    </row>
    <row r="20" spans="1:23" ht="38.25">
      <c r="A20" s="603"/>
      <c r="B20" s="593"/>
      <c r="C20" s="14" t="s">
        <v>2959</v>
      </c>
      <c r="D20" s="14" t="s">
        <v>2960</v>
      </c>
      <c r="E20" s="18">
        <v>0</v>
      </c>
      <c r="F20" s="18"/>
      <c r="G20" s="18">
        <v>2</v>
      </c>
      <c r="H20" s="18">
        <v>4</v>
      </c>
      <c r="I20" s="30">
        <v>5</v>
      </c>
      <c r="J20" s="4" t="s">
        <v>2961</v>
      </c>
      <c r="K20" s="4" t="s">
        <v>2962</v>
      </c>
      <c r="L20" s="4" t="s">
        <v>189</v>
      </c>
      <c r="M20" s="30">
        <v>0</v>
      </c>
      <c r="N20" s="30">
        <v>0</v>
      </c>
      <c r="O20" s="4" t="s">
        <v>651</v>
      </c>
      <c r="P20" s="4" t="s">
        <v>651</v>
      </c>
      <c r="Q20" s="4" t="s">
        <v>651</v>
      </c>
      <c r="R20" s="3">
        <v>12000</v>
      </c>
      <c r="S20" s="14">
        <v>0</v>
      </c>
      <c r="T20" s="3">
        <v>4000</v>
      </c>
      <c r="U20" s="3">
        <v>4000</v>
      </c>
      <c r="V20" s="3">
        <f>+U20</f>
        <v>4000</v>
      </c>
      <c r="W20" s="590"/>
    </row>
    <row r="21" spans="1:23" ht="57" customHeight="1">
      <c r="A21" s="603" t="s">
        <v>2965</v>
      </c>
      <c r="B21" s="593">
        <v>35.48</v>
      </c>
      <c r="C21" s="14" t="s">
        <v>2966</v>
      </c>
      <c r="D21" s="14" t="s">
        <v>2967</v>
      </c>
      <c r="E21" s="17" t="s">
        <v>2968</v>
      </c>
      <c r="F21" s="2">
        <v>13</v>
      </c>
      <c r="G21" s="2">
        <v>13</v>
      </c>
      <c r="H21" s="2">
        <v>13</v>
      </c>
      <c r="I21" s="2">
        <v>13</v>
      </c>
      <c r="J21" s="14" t="s">
        <v>2966</v>
      </c>
      <c r="K21" s="14" t="s">
        <v>2967</v>
      </c>
      <c r="L21" s="14" t="s">
        <v>189</v>
      </c>
      <c r="M21" s="30">
        <v>0</v>
      </c>
      <c r="N21" s="4">
        <v>13</v>
      </c>
      <c r="O21" s="4">
        <v>13</v>
      </c>
      <c r="P21" s="4">
        <v>13</v>
      </c>
      <c r="Q21" s="4">
        <v>13</v>
      </c>
      <c r="R21" s="3">
        <f t="shared" si="0"/>
        <v>440000</v>
      </c>
      <c r="S21" s="321">
        <v>220000</v>
      </c>
      <c r="T21" s="321">
        <f>+S21</f>
        <v>220000</v>
      </c>
      <c r="U21" s="321">
        <v>0</v>
      </c>
      <c r="V21" s="321">
        <v>0</v>
      </c>
      <c r="W21" s="596" t="s">
        <v>1688</v>
      </c>
    </row>
    <row r="22" spans="1:23" ht="77.25" customHeight="1">
      <c r="A22" s="603"/>
      <c r="B22" s="593"/>
      <c r="C22" s="549" t="s">
        <v>2969</v>
      </c>
      <c r="D22" s="549" t="s">
        <v>2970</v>
      </c>
      <c r="E22" s="545" t="s">
        <v>2971</v>
      </c>
      <c r="F22" s="570">
        <v>13</v>
      </c>
      <c r="G22" s="570">
        <v>30</v>
      </c>
      <c r="H22" s="570">
        <v>30</v>
      </c>
      <c r="I22" s="570">
        <v>30</v>
      </c>
      <c r="J22" s="4" t="s">
        <v>582</v>
      </c>
      <c r="K22" s="4" t="s">
        <v>2973</v>
      </c>
      <c r="L22" s="4" t="s">
        <v>189</v>
      </c>
      <c r="M22" s="30" t="s">
        <v>2978</v>
      </c>
      <c r="N22" s="4">
        <v>13</v>
      </c>
      <c r="O22" s="4">
        <v>30</v>
      </c>
      <c r="P22" s="4">
        <v>30</v>
      </c>
      <c r="Q22" s="4">
        <v>30</v>
      </c>
      <c r="R22" s="3">
        <f t="shared" si="0"/>
        <v>727000</v>
      </c>
      <c r="S22" s="321">
        <v>370000</v>
      </c>
      <c r="T22" s="321">
        <f>727000-S22</f>
        <v>357000</v>
      </c>
      <c r="U22" s="321">
        <v>0</v>
      </c>
      <c r="V22" s="321">
        <v>0</v>
      </c>
      <c r="W22" s="596"/>
    </row>
    <row r="23" spans="1:23" ht="44.25" customHeight="1">
      <c r="A23" s="603"/>
      <c r="B23" s="593"/>
      <c r="C23" s="549"/>
      <c r="D23" s="549"/>
      <c r="E23" s="545"/>
      <c r="F23" s="570"/>
      <c r="G23" s="570"/>
      <c r="H23" s="570"/>
      <c r="I23" s="570"/>
      <c r="J23" s="4" t="s">
        <v>583</v>
      </c>
      <c r="K23" s="4" t="s">
        <v>584</v>
      </c>
      <c r="L23" s="4" t="s">
        <v>189</v>
      </c>
      <c r="M23" s="30" t="s">
        <v>2978</v>
      </c>
      <c r="N23" s="30">
        <v>0</v>
      </c>
      <c r="O23" s="4">
        <v>17</v>
      </c>
      <c r="P23" s="4">
        <v>17</v>
      </c>
      <c r="Q23" s="4">
        <v>17</v>
      </c>
      <c r="R23" s="3">
        <f t="shared" si="0"/>
        <v>643000</v>
      </c>
      <c r="S23" s="321">
        <v>60000</v>
      </c>
      <c r="T23" s="321">
        <v>183000</v>
      </c>
      <c r="U23" s="321">
        <v>400000</v>
      </c>
      <c r="V23" s="321">
        <v>0</v>
      </c>
      <c r="W23" s="596"/>
    </row>
    <row r="24" spans="1:23" ht="44.25" customHeight="1">
      <c r="A24" s="603"/>
      <c r="B24" s="593"/>
      <c r="C24" s="549"/>
      <c r="D24" s="549"/>
      <c r="E24" s="545"/>
      <c r="F24" s="570"/>
      <c r="G24" s="570"/>
      <c r="H24" s="570"/>
      <c r="I24" s="570"/>
      <c r="J24" s="4" t="s">
        <v>355</v>
      </c>
      <c r="K24" s="4" t="s">
        <v>356</v>
      </c>
      <c r="L24" s="4" t="s">
        <v>189</v>
      </c>
      <c r="M24" s="30">
        <v>0</v>
      </c>
      <c r="N24" s="30">
        <v>0</v>
      </c>
      <c r="O24" s="4" t="s">
        <v>1477</v>
      </c>
      <c r="P24" s="4" t="s">
        <v>1477</v>
      </c>
      <c r="Q24" s="4" t="s">
        <v>1477</v>
      </c>
      <c r="R24" s="3">
        <f t="shared" si="0"/>
        <v>18000000</v>
      </c>
      <c r="S24" s="321">
        <v>0</v>
      </c>
      <c r="T24" s="321">
        <v>6000000</v>
      </c>
      <c r="U24" s="321">
        <f>+T24</f>
        <v>6000000</v>
      </c>
      <c r="V24" s="321">
        <f>+T24</f>
        <v>6000000</v>
      </c>
      <c r="W24" s="596"/>
    </row>
    <row r="25" spans="1:23" ht="74.25" customHeight="1">
      <c r="A25" s="603"/>
      <c r="B25" s="593"/>
      <c r="C25" s="14" t="s">
        <v>2976</v>
      </c>
      <c r="D25" s="14" t="s">
        <v>2977</v>
      </c>
      <c r="E25" s="18" t="s">
        <v>2978</v>
      </c>
      <c r="F25" s="18">
        <v>1</v>
      </c>
      <c r="G25" s="18">
        <v>2</v>
      </c>
      <c r="H25" s="18">
        <v>3</v>
      </c>
      <c r="I25" s="2">
        <v>4</v>
      </c>
      <c r="J25" s="4" t="s">
        <v>585</v>
      </c>
      <c r="K25" s="4" t="s">
        <v>1211</v>
      </c>
      <c r="L25" s="4" t="s">
        <v>189</v>
      </c>
      <c r="M25" s="30" t="s">
        <v>2978</v>
      </c>
      <c r="N25" s="4">
        <v>18</v>
      </c>
      <c r="O25" s="4">
        <v>36</v>
      </c>
      <c r="P25" s="4">
        <v>54</v>
      </c>
      <c r="Q25" s="4">
        <v>72</v>
      </c>
      <c r="R25" s="3">
        <f t="shared" si="0"/>
        <v>1068000</v>
      </c>
      <c r="S25" s="321">
        <v>150000</v>
      </c>
      <c r="T25" s="321">
        <f>+S25</f>
        <v>150000</v>
      </c>
      <c r="U25" s="321">
        <v>200000</v>
      </c>
      <c r="V25" s="321">
        <v>568000</v>
      </c>
      <c r="W25" s="596"/>
    </row>
    <row r="26" spans="1:23" ht="84.75" customHeight="1">
      <c r="A26" s="603"/>
      <c r="B26" s="593"/>
      <c r="C26" s="14" t="s">
        <v>1212</v>
      </c>
      <c r="D26" s="14" t="s">
        <v>1213</v>
      </c>
      <c r="E26" s="17" t="s">
        <v>1214</v>
      </c>
      <c r="F26" s="28">
        <v>1</v>
      </c>
      <c r="G26" s="28">
        <v>1</v>
      </c>
      <c r="H26" s="28">
        <v>1</v>
      </c>
      <c r="I26" s="28">
        <v>1</v>
      </c>
      <c r="J26" s="14" t="s">
        <v>1212</v>
      </c>
      <c r="K26" s="14" t="s">
        <v>1213</v>
      </c>
      <c r="L26" s="14" t="s">
        <v>189</v>
      </c>
      <c r="M26" s="30" t="s">
        <v>2978</v>
      </c>
      <c r="N26" s="4">
        <v>100</v>
      </c>
      <c r="O26" s="4">
        <v>100</v>
      </c>
      <c r="P26" s="4">
        <v>100</v>
      </c>
      <c r="Q26" s="4">
        <v>100</v>
      </c>
      <c r="R26" s="3">
        <f t="shared" si="0"/>
        <v>740000</v>
      </c>
      <c r="S26" s="321">
        <v>90000</v>
      </c>
      <c r="T26" s="321">
        <f>+S26</f>
        <v>90000</v>
      </c>
      <c r="U26" s="321">
        <v>210000</v>
      </c>
      <c r="V26" s="321">
        <v>350000</v>
      </c>
      <c r="W26" s="596"/>
    </row>
    <row r="27" spans="1:23" ht="66.75" customHeight="1">
      <c r="A27" s="603"/>
      <c r="B27" s="593"/>
      <c r="C27" s="14" t="s">
        <v>1215</v>
      </c>
      <c r="D27" s="14" t="s">
        <v>1216</v>
      </c>
      <c r="E27" s="18" t="s">
        <v>2978</v>
      </c>
      <c r="F27" s="18">
        <v>10</v>
      </c>
      <c r="G27" s="18">
        <v>15</v>
      </c>
      <c r="H27" s="18">
        <v>20</v>
      </c>
      <c r="I27" s="2">
        <v>30</v>
      </c>
      <c r="J27" s="4" t="s">
        <v>1217</v>
      </c>
      <c r="K27" s="4" t="s">
        <v>1218</v>
      </c>
      <c r="L27" s="4" t="s">
        <v>189</v>
      </c>
      <c r="M27" s="4">
        <v>0</v>
      </c>
      <c r="N27" s="4">
        <v>3</v>
      </c>
      <c r="O27" s="4">
        <v>33</v>
      </c>
      <c r="P27" s="4">
        <v>63</v>
      </c>
      <c r="Q27" s="4">
        <v>93</v>
      </c>
      <c r="R27" s="3">
        <f t="shared" si="0"/>
        <v>744000</v>
      </c>
      <c r="S27" s="321">
        <v>10000</v>
      </c>
      <c r="T27" s="321">
        <v>100000</v>
      </c>
      <c r="U27" s="321">
        <v>317000</v>
      </c>
      <c r="V27" s="321">
        <f>+U27</f>
        <v>317000</v>
      </c>
      <c r="W27" s="596"/>
    </row>
    <row r="28" spans="1:23" ht="38.25">
      <c r="A28" s="592" t="s">
        <v>1219</v>
      </c>
      <c r="B28" s="593">
        <v>9.9</v>
      </c>
      <c r="C28" s="14" t="s">
        <v>586</v>
      </c>
      <c r="D28" s="14" t="s">
        <v>1221</v>
      </c>
      <c r="E28" s="18">
        <v>0</v>
      </c>
      <c r="F28" s="18">
        <v>3</v>
      </c>
      <c r="G28" s="18">
        <v>5</v>
      </c>
      <c r="H28" s="18">
        <v>5</v>
      </c>
      <c r="I28" s="2">
        <v>5</v>
      </c>
      <c r="J28" s="14" t="s">
        <v>1220</v>
      </c>
      <c r="K28" s="14" t="s">
        <v>1221</v>
      </c>
      <c r="L28" s="14" t="s">
        <v>189</v>
      </c>
      <c r="M28" s="4">
        <v>0</v>
      </c>
      <c r="N28" s="4">
        <v>3</v>
      </c>
      <c r="O28" s="4">
        <v>5</v>
      </c>
      <c r="P28" s="4">
        <v>5</v>
      </c>
      <c r="Q28" s="4">
        <v>5</v>
      </c>
      <c r="R28" s="3">
        <f t="shared" si="0"/>
        <v>260000</v>
      </c>
      <c r="S28" s="31">
        <v>220000</v>
      </c>
      <c r="T28" s="31">
        <v>40000</v>
      </c>
      <c r="U28" s="31">
        <v>0</v>
      </c>
      <c r="V28" s="31">
        <v>0</v>
      </c>
      <c r="W28" s="3" t="s">
        <v>1222</v>
      </c>
    </row>
    <row r="29" spans="1:23" ht="88.5" customHeight="1">
      <c r="A29" s="603"/>
      <c r="B29" s="593"/>
      <c r="C29" s="14" t="s">
        <v>587</v>
      </c>
      <c r="D29" s="14" t="s">
        <v>1224</v>
      </c>
      <c r="E29" s="17" t="s">
        <v>2978</v>
      </c>
      <c r="F29" s="17"/>
      <c r="G29" s="2">
        <v>1</v>
      </c>
      <c r="H29" s="2">
        <v>1</v>
      </c>
      <c r="I29" s="2">
        <v>1</v>
      </c>
      <c r="J29" s="4" t="s">
        <v>2243</v>
      </c>
      <c r="K29" s="4" t="s">
        <v>588</v>
      </c>
      <c r="L29" s="4" t="s">
        <v>189</v>
      </c>
      <c r="M29" s="30" t="s">
        <v>2978</v>
      </c>
      <c r="N29" s="30">
        <v>0</v>
      </c>
      <c r="O29" s="345">
        <v>0.5</v>
      </c>
      <c r="P29" s="345">
        <v>0.5</v>
      </c>
      <c r="Q29" s="345">
        <v>0.5</v>
      </c>
      <c r="R29" s="3">
        <f t="shared" si="0"/>
        <v>30000</v>
      </c>
      <c r="S29" s="31">
        <v>0</v>
      </c>
      <c r="T29" s="31">
        <v>10000</v>
      </c>
      <c r="U29" s="31">
        <v>10000</v>
      </c>
      <c r="V29" s="31">
        <v>10000</v>
      </c>
      <c r="W29" s="3" t="s">
        <v>649</v>
      </c>
    </row>
    <row r="30" spans="1:23" ht="38.25">
      <c r="A30" s="603"/>
      <c r="B30" s="593"/>
      <c r="C30" s="549" t="s">
        <v>2244</v>
      </c>
      <c r="D30" s="549" t="s">
        <v>2245</v>
      </c>
      <c r="E30" s="590" t="s">
        <v>2978</v>
      </c>
      <c r="F30" s="594">
        <v>1</v>
      </c>
      <c r="G30" s="594">
        <v>1</v>
      </c>
      <c r="H30" s="594">
        <v>1</v>
      </c>
      <c r="I30" s="594">
        <v>1</v>
      </c>
      <c r="J30" s="4" t="s">
        <v>589</v>
      </c>
      <c r="K30" s="4" t="s">
        <v>2249</v>
      </c>
      <c r="L30" s="4" t="s">
        <v>189</v>
      </c>
      <c r="M30" s="30" t="s">
        <v>2978</v>
      </c>
      <c r="N30" s="4">
        <v>6</v>
      </c>
      <c r="O30" s="4">
        <v>12</v>
      </c>
      <c r="P30" s="4">
        <v>24</v>
      </c>
      <c r="Q30" s="4">
        <v>36</v>
      </c>
      <c r="R30" s="3">
        <f t="shared" si="0"/>
        <v>40000</v>
      </c>
      <c r="S30" s="31">
        <v>10000</v>
      </c>
      <c r="T30" s="31">
        <v>10000</v>
      </c>
      <c r="U30" s="31">
        <v>10000</v>
      </c>
      <c r="V30" s="31">
        <v>10000</v>
      </c>
      <c r="W30" s="596" t="s">
        <v>1222</v>
      </c>
    </row>
    <row r="31" spans="1:23" ht="38.25" customHeight="1">
      <c r="A31" s="603"/>
      <c r="B31" s="593"/>
      <c r="C31" s="549"/>
      <c r="D31" s="549"/>
      <c r="E31" s="590"/>
      <c r="F31" s="594"/>
      <c r="G31" s="594"/>
      <c r="H31" s="594"/>
      <c r="I31" s="594"/>
      <c r="J31" s="4" t="s">
        <v>590</v>
      </c>
      <c r="K31" s="4" t="s">
        <v>2247</v>
      </c>
      <c r="L31" s="4" t="s">
        <v>2809</v>
      </c>
      <c r="M31" s="30" t="s">
        <v>2978</v>
      </c>
      <c r="N31" s="4">
        <v>100</v>
      </c>
      <c r="O31" s="4">
        <v>100</v>
      </c>
      <c r="P31" s="4">
        <v>100</v>
      </c>
      <c r="Q31" s="4">
        <v>100</v>
      </c>
      <c r="R31" s="3">
        <f t="shared" si="0"/>
        <v>270000</v>
      </c>
      <c r="S31" s="31">
        <v>70000</v>
      </c>
      <c r="T31" s="31">
        <v>40000</v>
      </c>
      <c r="U31" s="31">
        <v>80000</v>
      </c>
      <c r="V31" s="31">
        <v>80000</v>
      </c>
      <c r="W31" s="596"/>
    </row>
    <row r="32" spans="1:23" ht="44.25" customHeight="1">
      <c r="A32" s="592" t="s">
        <v>2250</v>
      </c>
      <c r="B32" s="593">
        <v>12.4</v>
      </c>
      <c r="C32" s="198" t="s">
        <v>2255</v>
      </c>
      <c r="D32" s="14" t="s">
        <v>2256</v>
      </c>
      <c r="E32" s="30" t="s">
        <v>2978</v>
      </c>
      <c r="F32" s="30">
        <v>0</v>
      </c>
      <c r="G32" s="30">
        <v>1</v>
      </c>
      <c r="H32" s="30">
        <v>1</v>
      </c>
      <c r="I32" s="2">
        <v>1</v>
      </c>
      <c r="J32" s="4" t="s">
        <v>591</v>
      </c>
      <c r="K32" s="4" t="s">
        <v>592</v>
      </c>
      <c r="L32" s="4" t="s">
        <v>189</v>
      </c>
      <c r="M32" s="198" t="s">
        <v>2978</v>
      </c>
      <c r="N32" s="302" t="s">
        <v>655</v>
      </c>
      <c r="O32" s="302" t="s">
        <v>1477</v>
      </c>
      <c r="P32" s="302" t="s">
        <v>1477</v>
      </c>
      <c r="Q32" s="302" t="s">
        <v>1477</v>
      </c>
      <c r="R32" s="3">
        <f t="shared" si="0"/>
        <v>0</v>
      </c>
      <c r="S32" s="198">
        <v>0</v>
      </c>
      <c r="T32" s="198">
        <v>0</v>
      </c>
      <c r="U32" s="198">
        <v>0</v>
      </c>
      <c r="V32" s="198">
        <v>0</v>
      </c>
      <c r="W32" s="30" t="s">
        <v>649</v>
      </c>
    </row>
    <row r="33" spans="1:23" ht="38.25">
      <c r="A33" s="592"/>
      <c r="B33" s="593"/>
      <c r="C33" s="595" t="s">
        <v>2251</v>
      </c>
      <c r="D33" s="549" t="s">
        <v>2252</v>
      </c>
      <c r="E33" s="590" t="s">
        <v>2978</v>
      </c>
      <c r="F33" s="590">
        <v>1</v>
      </c>
      <c r="G33" s="590">
        <v>1</v>
      </c>
      <c r="H33" s="590">
        <v>1</v>
      </c>
      <c r="I33" s="590">
        <v>1</v>
      </c>
      <c r="J33" s="4" t="s">
        <v>2253</v>
      </c>
      <c r="K33" s="4" t="s">
        <v>2254</v>
      </c>
      <c r="L33" s="4" t="s">
        <v>189</v>
      </c>
      <c r="M33" s="30" t="s">
        <v>2978</v>
      </c>
      <c r="N33" s="4">
        <v>1</v>
      </c>
      <c r="O33" s="4">
        <v>2</v>
      </c>
      <c r="P33" s="4">
        <v>3</v>
      </c>
      <c r="Q33" s="4">
        <v>4</v>
      </c>
      <c r="R33" s="3">
        <f t="shared" si="0"/>
        <v>200000</v>
      </c>
      <c r="S33" s="3">
        <v>50000</v>
      </c>
      <c r="T33" s="3">
        <v>50000</v>
      </c>
      <c r="U33" s="3">
        <v>50000</v>
      </c>
      <c r="V33" s="3">
        <v>50000</v>
      </c>
      <c r="W33" s="590" t="s">
        <v>1688</v>
      </c>
    </row>
    <row r="34" spans="1:23" ht="38.25">
      <c r="A34" s="592"/>
      <c r="B34" s="593"/>
      <c r="C34" s="595"/>
      <c r="D34" s="549"/>
      <c r="E34" s="590"/>
      <c r="F34" s="590"/>
      <c r="G34" s="590"/>
      <c r="H34" s="590"/>
      <c r="I34" s="590"/>
      <c r="J34" s="4" t="s">
        <v>2251</v>
      </c>
      <c r="K34" s="4" t="s">
        <v>2252</v>
      </c>
      <c r="L34" s="4" t="s">
        <v>189</v>
      </c>
      <c r="M34" s="30" t="s">
        <v>2978</v>
      </c>
      <c r="N34" s="4">
        <v>1</v>
      </c>
      <c r="O34" s="4">
        <v>1</v>
      </c>
      <c r="P34" s="4">
        <v>1</v>
      </c>
      <c r="Q34" s="4">
        <v>1</v>
      </c>
      <c r="R34" s="3">
        <f t="shared" si="0"/>
        <v>1000000</v>
      </c>
      <c r="S34" s="3">
        <v>250000</v>
      </c>
      <c r="T34" s="3">
        <v>250000</v>
      </c>
      <c r="U34" s="3">
        <v>250000</v>
      </c>
      <c r="V34" s="3">
        <v>250000</v>
      </c>
      <c r="W34" s="590"/>
    </row>
    <row r="35" spans="1:23" ht="106.5" customHeight="1">
      <c r="A35" s="592"/>
      <c r="B35" s="593"/>
      <c r="C35" s="14" t="s">
        <v>2257</v>
      </c>
      <c r="D35" s="14" t="s">
        <v>2258</v>
      </c>
      <c r="E35" s="29">
        <v>0</v>
      </c>
      <c r="F35" s="29">
        <v>0</v>
      </c>
      <c r="G35" s="29">
        <v>1</v>
      </c>
      <c r="H35" s="29">
        <v>1</v>
      </c>
      <c r="I35" s="2">
        <v>1</v>
      </c>
      <c r="J35" s="4" t="s">
        <v>2265</v>
      </c>
      <c r="K35" s="4" t="s">
        <v>2266</v>
      </c>
      <c r="L35" s="4" t="s">
        <v>189</v>
      </c>
      <c r="M35" s="3">
        <v>0</v>
      </c>
      <c r="N35" s="3">
        <v>0</v>
      </c>
      <c r="O35" s="3">
        <v>1</v>
      </c>
      <c r="P35" s="3">
        <v>1</v>
      </c>
      <c r="Q35" s="3">
        <v>1</v>
      </c>
      <c r="R35" s="3">
        <f t="shared" si="0"/>
        <v>30000</v>
      </c>
      <c r="S35" s="3">
        <v>0</v>
      </c>
      <c r="T35" s="3">
        <v>30000</v>
      </c>
      <c r="U35" s="3">
        <v>0</v>
      </c>
      <c r="V35" s="3">
        <v>0</v>
      </c>
      <c r="W35" s="30" t="s">
        <v>2091</v>
      </c>
    </row>
    <row r="36" spans="1:23" ht="51">
      <c r="A36" s="592"/>
      <c r="B36" s="593"/>
      <c r="C36" s="14" t="s">
        <v>2271</v>
      </c>
      <c r="D36" s="14" t="s">
        <v>2272</v>
      </c>
      <c r="E36" s="29">
        <v>0</v>
      </c>
      <c r="F36" s="29">
        <v>1</v>
      </c>
      <c r="G36" s="29">
        <v>1</v>
      </c>
      <c r="H36" s="29">
        <v>1</v>
      </c>
      <c r="I36" s="3">
        <v>1</v>
      </c>
      <c r="J36" s="4" t="s">
        <v>1262</v>
      </c>
      <c r="K36" s="4" t="s">
        <v>1263</v>
      </c>
      <c r="L36" s="4" t="s">
        <v>189</v>
      </c>
      <c r="M36" s="3">
        <v>0</v>
      </c>
      <c r="N36" s="3">
        <v>1</v>
      </c>
      <c r="O36" s="3">
        <v>1</v>
      </c>
      <c r="P36" s="3">
        <v>1</v>
      </c>
      <c r="Q36" s="3">
        <v>1</v>
      </c>
      <c r="R36" s="3">
        <f t="shared" si="0"/>
        <v>25000</v>
      </c>
      <c r="S36" s="3">
        <v>25000</v>
      </c>
      <c r="T36" s="3">
        <v>0</v>
      </c>
      <c r="U36" s="3">
        <v>0</v>
      </c>
      <c r="V36" s="3">
        <v>0</v>
      </c>
      <c r="W36" s="590" t="s">
        <v>593</v>
      </c>
    </row>
    <row r="37" spans="1:23" ht="38.25">
      <c r="A37" s="592"/>
      <c r="B37" s="593"/>
      <c r="C37" s="14" t="s">
        <v>2259</v>
      </c>
      <c r="D37" s="14" t="s">
        <v>2260</v>
      </c>
      <c r="E37" s="28">
        <v>0.24</v>
      </c>
      <c r="F37" s="28">
        <v>0.1</v>
      </c>
      <c r="G37" s="28">
        <v>0.3</v>
      </c>
      <c r="H37" s="28">
        <v>0.5</v>
      </c>
      <c r="I37" s="6">
        <v>0.8</v>
      </c>
      <c r="J37" s="14" t="s">
        <v>2259</v>
      </c>
      <c r="K37" s="302" t="s">
        <v>594</v>
      </c>
      <c r="L37" s="302" t="s">
        <v>189</v>
      </c>
      <c r="M37" s="6">
        <v>0</v>
      </c>
      <c r="N37" s="6">
        <v>0.1</v>
      </c>
      <c r="O37" s="6">
        <v>0.3</v>
      </c>
      <c r="P37" s="6">
        <v>0.5</v>
      </c>
      <c r="Q37" s="6">
        <v>1</v>
      </c>
      <c r="R37" s="3">
        <f t="shared" si="0"/>
        <v>400000</v>
      </c>
      <c r="S37" s="3">
        <v>100000</v>
      </c>
      <c r="T37" s="3">
        <f>+S37</f>
        <v>100000</v>
      </c>
      <c r="U37" s="3">
        <f>+T37</f>
        <v>100000</v>
      </c>
      <c r="V37" s="3">
        <f>+U37</f>
        <v>100000</v>
      </c>
      <c r="W37" s="590"/>
    </row>
    <row r="38" spans="1:23" ht="76.5">
      <c r="A38" s="592"/>
      <c r="B38" s="593"/>
      <c r="C38" s="549" t="s">
        <v>1264</v>
      </c>
      <c r="D38" s="14" t="s">
        <v>1265</v>
      </c>
      <c r="E38" s="29">
        <v>0</v>
      </c>
      <c r="F38" s="29">
        <v>0</v>
      </c>
      <c r="G38" s="29">
        <v>1</v>
      </c>
      <c r="H38" s="29">
        <v>1</v>
      </c>
      <c r="I38" s="3">
        <v>1</v>
      </c>
      <c r="J38" s="4" t="s">
        <v>1266</v>
      </c>
      <c r="K38" s="4" t="s">
        <v>1267</v>
      </c>
      <c r="L38" s="4" t="s">
        <v>189</v>
      </c>
      <c r="M38" s="3">
        <v>0</v>
      </c>
      <c r="N38" s="3">
        <v>0</v>
      </c>
      <c r="O38" s="3">
        <v>1</v>
      </c>
      <c r="P38" s="3">
        <v>1</v>
      </c>
      <c r="Q38" s="3">
        <v>1</v>
      </c>
      <c r="R38" s="3">
        <f t="shared" si="0"/>
        <v>150000</v>
      </c>
      <c r="S38" s="3">
        <v>0</v>
      </c>
      <c r="T38" s="3">
        <v>150000</v>
      </c>
      <c r="U38" s="3">
        <v>0</v>
      </c>
      <c r="V38" s="3">
        <v>0</v>
      </c>
      <c r="W38" s="590"/>
    </row>
    <row r="39" spans="1:23" ht="63.75">
      <c r="A39" s="592"/>
      <c r="B39" s="593"/>
      <c r="C39" s="549"/>
      <c r="D39" s="14" t="s">
        <v>1268</v>
      </c>
      <c r="E39" s="29">
        <v>0</v>
      </c>
      <c r="F39" s="29">
        <v>0</v>
      </c>
      <c r="G39" s="29">
        <v>1</v>
      </c>
      <c r="H39" s="29">
        <v>1</v>
      </c>
      <c r="I39" s="3">
        <v>1</v>
      </c>
      <c r="J39" s="4" t="s">
        <v>1269</v>
      </c>
      <c r="K39" s="4" t="s">
        <v>1270</v>
      </c>
      <c r="L39" s="4" t="s">
        <v>189</v>
      </c>
      <c r="M39" s="3">
        <v>0</v>
      </c>
      <c r="N39" s="3">
        <v>0</v>
      </c>
      <c r="O39" s="3">
        <v>1</v>
      </c>
      <c r="P39" s="3">
        <v>1</v>
      </c>
      <c r="Q39" s="3">
        <v>1</v>
      </c>
      <c r="R39" s="3">
        <f t="shared" si="0"/>
        <v>150000</v>
      </c>
      <c r="S39" s="3">
        <v>0</v>
      </c>
      <c r="T39" s="3">
        <v>150000</v>
      </c>
      <c r="U39" s="3">
        <v>0</v>
      </c>
      <c r="V39" s="3">
        <v>0</v>
      </c>
      <c r="W39" s="590"/>
    </row>
    <row r="40" spans="1:25" ht="25.5">
      <c r="A40" s="592"/>
      <c r="B40" s="593"/>
      <c r="C40" s="14" t="s">
        <v>2261</v>
      </c>
      <c r="D40" s="14" t="s">
        <v>2262</v>
      </c>
      <c r="E40" s="5">
        <v>0</v>
      </c>
      <c r="F40" s="303">
        <v>0.25</v>
      </c>
      <c r="G40" s="303">
        <v>0.5</v>
      </c>
      <c r="H40" s="303">
        <v>0.75</v>
      </c>
      <c r="I40" s="6">
        <v>1</v>
      </c>
      <c r="J40" s="302" t="s">
        <v>595</v>
      </c>
      <c r="K40" s="4" t="s">
        <v>2269</v>
      </c>
      <c r="L40" s="4" t="s">
        <v>189</v>
      </c>
      <c r="M40" s="143" t="s">
        <v>2978</v>
      </c>
      <c r="N40" s="303">
        <v>0.25</v>
      </c>
      <c r="O40" s="303">
        <v>0.5</v>
      </c>
      <c r="P40" s="303">
        <v>0.75</v>
      </c>
      <c r="Q40" s="303">
        <v>1</v>
      </c>
      <c r="R40" s="3">
        <f t="shared" si="0"/>
        <v>162000</v>
      </c>
      <c r="S40" s="3">
        <v>0</v>
      </c>
      <c r="T40" s="3">
        <v>0</v>
      </c>
      <c r="U40" s="3">
        <v>162000</v>
      </c>
      <c r="V40" s="3">
        <v>0</v>
      </c>
      <c r="W40" s="30" t="s">
        <v>13</v>
      </c>
      <c r="Y40" s="204"/>
    </row>
    <row r="41" spans="1:23" ht="46.5" customHeight="1">
      <c r="A41" s="592"/>
      <c r="B41" s="593"/>
      <c r="C41" s="14" t="s">
        <v>2263</v>
      </c>
      <c r="D41" s="14" t="s">
        <v>2264</v>
      </c>
      <c r="E41" s="5">
        <v>0</v>
      </c>
      <c r="F41" s="303">
        <v>0</v>
      </c>
      <c r="G41" s="303">
        <v>0</v>
      </c>
      <c r="H41" s="6">
        <v>0.15</v>
      </c>
      <c r="I41" s="6">
        <v>0.3</v>
      </c>
      <c r="J41" s="14" t="s">
        <v>2263</v>
      </c>
      <c r="K41" s="14" t="s">
        <v>2264</v>
      </c>
      <c r="L41" s="14" t="s">
        <v>189</v>
      </c>
      <c r="M41" s="3" t="s">
        <v>2978</v>
      </c>
      <c r="N41" s="303">
        <v>0</v>
      </c>
      <c r="O41" s="303">
        <v>0</v>
      </c>
      <c r="P41" s="6">
        <v>0.15</v>
      </c>
      <c r="Q41" s="6">
        <v>0.3</v>
      </c>
      <c r="R41" s="3">
        <f t="shared" si="0"/>
        <v>0</v>
      </c>
      <c r="S41" s="3">
        <v>0</v>
      </c>
      <c r="T41" s="3">
        <v>0</v>
      </c>
      <c r="U41" s="143">
        <v>0</v>
      </c>
      <c r="V41" s="143">
        <v>0</v>
      </c>
      <c r="W41" s="30" t="s">
        <v>593</v>
      </c>
    </row>
    <row r="42" spans="1:23" ht="38.25">
      <c r="A42" s="592"/>
      <c r="B42" s="593"/>
      <c r="C42" s="30" t="s">
        <v>1273</v>
      </c>
      <c r="D42" s="30" t="s">
        <v>1274</v>
      </c>
      <c r="E42" s="31" t="s">
        <v>1275</v>
      </c>
      <c r="F42" s="31">
        <v>0</v>
      </c>
      <c r="G42" s="31">
        <v>10</v>
      </c>
      <c r="H42" s="31">
        <v>25</v>
      </c>
      <c r="I42" s="31">
        <v>40</v>
      </c>
      <c r="J42" s="32" t="s">
        <v>1271</v>
      </c>
      <c r="K42" s="32" t="s">
        <v>1272</v>
      </c>
      <c r="L42" s="32" t="s">
        <v>189</v>
      </c>
      <c r="M42" s="31">
        <v>15</v>
      </c>
      <c r="N42" s="31">
        <v>0</v>
      </c>
      <c r="O42" s="31">
        <v>10</v>
      </c>
      <c r="P42" s="31">
        <v>25</v>
      </c>
      <c r="Q42" s="31">
        <v>40</v>
      </c>
      <c r="R42" s="3">
        <f t="shared" si="0"/>
        <v>1000000</v>
      </c>
      <c r="S42" s="31">
        <v>0</v>
      </c>
      <c r="T42" s="31">
        <v>250000</v>
      </c>
      <c r="U42" s="31">
        <v>375000</v>
      </c>
      <c r="V42" s="31">
        <v>375000</v>
      </c>
      <c r="W42" s="30" t="s">
        <v>593</v>
      </c>
    </row>
    <row r="43" spans="1:23" ht="51">
      <c r="A43" s="592"/>
      <c r="B43" s="593"/>
      <c r="C43" s="14" t="s">
        <v>1276</v>
      </c>
      <c r="D43" s="14" t="s">
        <v>1277</v>
      </c>
      <c r="E43" s="29">
        <v>0.01</v>
      </c>
      <c r="F43" s="29">
        <v>0</v>
      </c>
      <c r="G43" s="29">
        <v>1</v>
      </c>
      <c r="H43" s="29">
        <v>1</v>
      </c>
      <c r="I43" s="3">
        <v>1</v>
      </c>
      <c r="J43" s="4" t="s">
        <v>1278</v>
      </c>
      <c r="K43" s="4" t="s">
        <v>1278</v>
      </c>
      <c r="L43" s="4" t="s">
        <v>189</v>
      </c>
      <c r="M43" s="3">
        <v>0</v>
      </c>
      <c r="N43" s="3">
        <v>0</v>
      </c>
      <c r="O43" s="3">
        <v>1</v>
      </c>
      <c r="P43" s="3">
        <v>1</v>
      </c>
      <c r="Q43" s="3">
        <v>1</v>
      </c>
      <c r="R43" s="3">
        <f t="shared" si="0"/>
        <v>0</v>
      </c>
      <c r="S43" s="3">
        <v>0</v>
      </c>
      <c r="T43" s="3">
        <v>0</v>
      </c>
      <c r="U43" s="3">
        <v>0</v>
      </c>
      <c r="V43" s="3">
        <v>0</v>
      </c>
      <c r="W43" s="30" t="s">
        <v>593</v>
      </c>
    </row>
    <row r="44" spans="1:23" ht="184.5" customHeight="1">
      <c r="A44" s="592"/>
      <c r="B44" s="593"/>
      <c r="C44" s="14" t="s">
        <v>1279</v>
      </c>
      <c r="D44" s="14" t="s">
        <v>1280</v>
      </c>
      <c r="E44" s="29">
        <v>0.01</v>
      </c>
      <c r="F44" s="29">
        <v>0</v>
      </c>
      <c r="G44" s="29">
        <v>1</v>
      </c>
      <c r="H44" s="29">
        <v>1</v>
      </c>
      <c r="I44" s="3">
        <v>1</v>
      </c>
      <c r="J44" s="4" t="s">
        <v>2284</v>
      </c>
      <c r="K44" s="4" t="s">
        <v>2284</v>
      </c>
      <c r="L44" s="4" t="s">
        <v>189</v>
      </c>
      <c r="M44" s="3">
        <v>0</v>
      </c>
      <c r="N44" s="3">
        <v>0</v>
      </c>
      <c r="O44" s="3">
        <v>1</v>
      </c>
      <c r="P44" s="3">
        <v>1</v>
      </c>
      <c r="Q44" s="3">
        <v>1</v>
      </c>
      <c r="R44" s="3">
        <f t="shared" si="0"/>
        <v>0</v>
      </c>
      <c r="S44" s="3">
        <v>0</v>
      </c>
      <c r="T44" s="3">
        <v>0</v>
      </c>
      <c r="U44" s="3">
        <v>0</v>
      </c>
      <c r="V44" s="3">
        <v>0</v>
      </c>
      <c r="W44" s="30" t="s">
        <v>593</v>
      </c>
    </row>
    <row r="45" spans="1:23" ht="115.5" customHeight="1">
      <c r="A45" s="592" t="s">
        <v>2285</v>
      </c>
      <c r="B45" s="600">
        <v>0.1</v>
      </c>
      <c r="C45" s="14" t="s">
        <v>2286</v>
      </c>
      <c r="D45" s="14" t="s">
        <v>2287</v>
      </c>
      <c r="E45" s="28">
        <v>0</v>
      </c>
      <c r="F45" s="5">
        <v>1</v>
      </c>
      <c r="G45" s="5">
        <v>1</v>
      </c>
      <c r="H45" s="5">
        <v>1</v>
      </c>
      <c r="I45" s="5">
        <v>1</v>
      </c>
      <c r="J45" s="14" t="s">
        <v>2291</v>
      </c>
      <c r="K45" s="4" t="s">
        <v>2292</v>
      </c>
      <c r="L45" s="4" t="s">
        <v>189</v>
      </c>
      <c r="M45" s="3">
        <v>0</v>
      </c>
      <c r="N45" s="3">
        <v>1</v>
      </c>
      <c r="O45" s="3">
        <v>1</v>
      </c>
      <c r="P45" s="3">
        <v>1</v>
      </c>
      <c r="Q45" s="3">
        <v>1</v>
      </c>
      <c r="R45" s="3">
        <f t="shared" si="0"/>
        <v>0</v>
      </c>
      <c r="S45" s="3">
        <v>0</v>
      </c>
      <c r="T45" s="3">
        <v>0</v>
      </c>
      <c r="U45" s="3">
        <v>0</v>
      </c>
      <c r="V45" s="3">
        <v>0</v>
      </c>
      <c r="W45" s="4" t="s">
        <v>358</v>
      </c>
    </row>
    <row r="46" spans="1:23" ht="105" customHeight="1">
      <c r="A46" s="592"/>
      <c r="B46" s="600"/>
      <c r="C46" s="198" t="s">
        <v>2288</v>
      </c>
      <c r="D46" s="198" t="s">
        <v>2287</v>
      </c>
      <c r="E46" s="198" t="s">
        <v>2978</v>
      </c>
      <c r="F46" s="198"/>
      <c r="G46" s="198">
        <v>1</v>
      </c>
      <c r="H46" s="198">
        <v>1</v>
      </c>
      <c r="I46" s="30">
        <v>1</v>
      </c>
      <c r="J46" s="30" t="s">
        <v>596</v>
      </c>
      <c r="K46" s="30" t="s">
        <v>2292</v>
      </c>
      <c r="L46" s="4" t="s">
        <v>189</v>
      </c>
      <c r="M46" s="30">
        <v>0</v>
      </c>
      <c r="N46" s="30">
        <v>1</v>
      </c>
      <c r="O46" s="30">
        <v>1</v>
      </c>
      <c r="P46" s="30">
        <v>1</v>
      </c>
      <c r="Q46" s="30">
        <v>1</v>
      </c>
      <c r="R46" s="3">
        <f t="shared" si="0"/>
        <v>0</v>
      </c>
      <c r="S46" s="30">
        <v>0</v>
      </c>
      <c r="T46" s="30">
        <v>0</v>
      </c>
      <c r="U46" s="30">
        <v>0</v>
      </c>
      <c r="V46" s="30">
        <v>0</v>
      </c>
      <c r="W46" s="30" t="s">
        <v>597</v>
      </c>
    </row>
    <row r="47" spans="1:23" ht="90.75" customHeight="1">
      <c r="A47" s="592"/>
      <c r="B47" s="600"/>
      <c r="C47" s="14" t="s">
        <v>2289</v>
      </c>
      <c r="D47" s="14" t="s">
        <v>2290</v>
      </c>
      <c r="E47" s="5">
        <v>1</v>
      </c>
      <c r="F47" s="5"/>
      <c r="G47" s="5">
        <v>1</v>
      </c>
      <c r="H47" s="5">
        <v>2</v>
      </c>
      <c r="I47" s="2">
        <v>2</v>
      </c>
      <c r="J47" s="4" t="s">
        <v>2295</v>
      </c>
      <c r="K47" s="14" t="s">
        <v>2290</v>
      </c>
      <c r="L47" s="14" t="s">
        <v>189</v>
      </c>
      <c r="M47" s="3">
        <v>1</v>
      </c>
      <c r="N47" s="3">
        <v>1</v>
      </c>
      <c r="O47" s="3">
        <v>2</v>
      </c>
      <c r="P47" s="3">
        <v>2</v>
      </c>
      <c r="Q47" s="3">
        <v>2</v>
      </c>
      <c r="R47" s="3">
        <f t="shared" si="0"/>
        <v>0</v>
      </c>
      <c r="S47" s="3">
        <v>0</v>
      </c>
      <c r="T47" s="3">
        <v>0</v>
      </c>
      <c r="U47" s="3">
        <v>0</v>
      </c>
      <c r="V47" s="3">
        <v>0</v>
      </c>
      <c r="W47" s="30" t="s">
        <v>2296</v>
      </c>
    </row>
    <row r="48" spans="1:23" ht="76.5">
      <c r="A48" s="601" t="s">
        <v>2298</v>
      </c>
      <c r="B48" s="602">
        <v>25.03</v>
      </c>
      <c r="C48" s="14" t="s">
        <v>2299</v>
      </c>
      <c r="D48" s="14" t="s">
        <v>2300</v>
      </c>
      <c r="E48" s="152">
        <v>0.44</v>
      </c>
      <c r="F48" s="9">
        <v>0</v>
      </c>
      <c r="G48" s="10">
        <v>0.65</v>
      </c>
      <c r="H48" s="8" t="s">
        <v>2302</v>
      </c>
      <c r="I48" s="9">
        <v>0.65</v>
      </c>
      <c r="J48" s="14" t="s">
        <v>2299</v>
      </c>
      <c r="K48" s="14" t="s">
        <v>2300</v>
      </c>
      <c r="L48" s="14" t="s">
        <v>2809</v>
      </c>
      <c r="M48" s="8" t="s">
        <v>2301</v>
      </c>
      <c r="N48" s="9">
        <v>0</v>
      </c>
      <c r="O48" s="10">
        <v>0.65</v>
      </c>
      <c r="P48" s="8" t="s">
        <v>2302</v>
      </c>
      <c r="Q48" s="9">
        <v>0.65</v>
      </c>
      <c r="R48" s="3">
        <f t="shared" si="0"/>
        <v>0</v>
      </c>
      <c r="S48" s="12">
        <v>0</v>
      </c>
      <c r="T48" s="12">
        <v>0</v>
      </c>
      <c r="U48" s="2">
        <v>0</v>
      </c>
      <c r="V48" s="2">
        <v>0</v>
      </c>
      <c r="W48" s="591" t="s">
        <v>598</v>
      </c>
    </row>
    <row r="49" spans="1:23" ht="38.25">
      <c r="A49" s="601"/>
      <c r="B49" s="602"/>
      <c r="C49" s="14" t="s">
        <v>2304</v>
      </c>
      <c r="D49" s="14" t="s">
        <v>2305</v>
      </c>
      <c r="E49" s="152" t="s">
        <v>2306</v>
      </c>
      <c r="F49" s="8" t="s">
        <v>2307</v>
      </c>
      <c r="G49" s="10">
        <v>0.7</v>
      </c>
      <c r="H49" s="8" t="s">
        <v>2307</v>
      </c>
      <c r="I49" s="9">
        <v>0.7</v>
      </c>
      <c r="J49" s="14" t="s">
        <v>2304</v>
      </c>
      <c r="K49" s="14" t="s">
        <v>2305</v>
      </c>
      <c r="L49" s="14" t="s">
        <v>2809</v>
      </c>
      <c r="M49" s="8" t="s">
        <v>2306</v>
      </c>
      <c r="N49" s="8" t="s">
        <v>2307</v>
      </c>
      <c r="O49" s="10">
        <v>0.7</v>
      </c>
      <c r="P49" s="8" t="s">
        <v>2307</v>
      </c>
      <c r="Q49" s="9">
        <v>0.7</v>
      </c>
      <c r="R49" s="3">
        <f t="shared" si="0"/>
        <v>0</v>
      </c>
      <c r="S49" s="12">
        <v>0</v>
      </c>
      <c r="T49" s="12">
        <v>0</v>
      </c>
      <c r="U49" s="2">
        <v>0</v>
      </c>
      <c r="V49" s="2">
        <v>0</v>
      </c>
      <c r="W49" s="591"/>
    </row>
    <row r="50" spans="1:23" ht="38.25">
      <c r="A50" s="601"/>
      <c r="B50" s="602"/>
      <c r="C50" s="14" t="s">
        <v>2308</v>
      </c>
      <c r="D50" s="14" t="s">
        <v>2309</v>
      </c>
      <c r="E50" s="152" t="s">
        <v>2310</v>
      </c>
      <c r="F50" s="8" t="s">
        <v>2331</v>
      </c>
      <c r="G50" s="10">
        <v>0.15</v>
      </c>
      <c r="H50" s="8" t="s">
        <v>2311</v>
      </c>
      <c r="I50" s="9">
        <v>0.15</v>
      </c>
      <c r="J50" s="14" t="s">
        <v>2308</v>
      </c>
      <c r="K50" s="14" t="s">
        <v>2309</v>
      </c>
      <c r="L50" s="14" t="s">
        <v>2809</v>
      </c>
      <c r="M50" s="8" t="s">
        <v>2310</v>
      </c>
      <c r="N50" s="8" t="s">
        <v>2331</v>
      </c>
      <c r="O50" s="10">
        <v>0.15</v>
      </c>
      <c r="P50" s="8" t="s">
        <v>2311</v>
      </c>
      <c r="Q50" s="9">
        <v>0.15</v>
      </c>
      <c r="R50" s="3">
        <f t="shared" si="0"/>
        <v>0</v>
      </c>
      <c r="S50" s="12">
        <v>0</v>
      </c>
      <c r="T50" s="12">
        <v>0</v>
      </c>
      <c r="U50" s="2">
        <v>0</v>
      </c>
      <c r="V50" s="2">
        <v>0</v>
      </c>
      <c r="W50" s="591"/>
    </row>
    <row r="51" spans="1:23" ht="38.25">
      <c r="A51" s="601"/>
      <c r="B51" s="602"/>
      <c r="C51" s="14" t="s">
        <v>2312</v>
      </c>
      <c r="D51" s="14" t="s">
        <v>2313</v>
      </c>
      <c r="E51" s="11">
        <v>16.77</v>
      </c>
      <c r="F51" s="8" t="s">
        <v>2314</v>
      </c>
      <c r="G51" s="10">
        <v>1</v>
      </c>
      <c r="H51" s="8" t="s">
        <v>2314</v>
      </c>
      <c r="I51" s="8" t="s">
        <v>2314</v>
      </c>
      <c r="J51" s="14" t="s">
        <v>2312</v>
      </c>
      <c r="K51" s="14" t="s">
        <v>2313</v>
      </c>
      <c r="L51" s="14" t="s">
        <v>2809</v>
      </c>
      <c r="M51" s="11">
        <v>16.77</v>
      </c>
      <c r="N51" s="8" t="s">
        <v>2314</v>
      </c>
      <c r="O51" s="10">
        <v>1</v>
      </c>
      <c r="P51" s="8" t="s">
        <v>2314</v>
      </c>
      <c r="Q51" s="8" t="s">
        <v>2314</v>
      </c>
      <c r="R51" s="3">
        <f t="shared" si="0"/>
        <v>0</v>
      </c>
      <c r="S51" s="12">
        <v>0</v>
      </c>
      <c r="T51" s="12">
        <v>0</v>
      </c>
      <c r="U51" s="2">
        <v>0</v>
      </c>
      <c r="V51" s="2">
        <v>0</v>
      </c>
      <c r="W51" s="591"/>
    </row>
    <row r="52" spans="1:23" ht="51">
      <c r="A52" s="601"/>
      <c r="B52" s="602"/>
      <c r="C52" s="14" t="s">
        <v>2315</v>
      </c>
      <c r="D52" s="14" t="s">
        <v>2316</v>
      </c>
      <c r="E52" s="8" t="s">
        <v>2317</v>
      </c>
      <c r="F52" s="8" t="s">
        <v>2318</v>
      </c>
      <c r="G52" s="8" t="s">
        <v>2318</v>
      </c>
      <c r="H52" s="8" t="s">
        <v>2318</v>
      </c>
      <c r="I52" s="8" t="s">
        <v>2318</v>
      </c>
      <c r="J52" s="14" t="s">
        <v>2315</v>
      </c>
      <c r="K52" s="14" t="s">
        <v>2316</v>
      </c>
      <c r="L52" s="14" t="s">
        <v>2809</v>
      </c>
      <c r="M52" s="8" t="s">
        <v>2317</v>
      </c>
      <c r="N52" s="8" t="s">
        <v>2318</v>
      </c>
      <c r="O52" s="8" t="s">
        <v>2318</v>
      </c>
      <c r="P52" s="8" t="s">
        <v>2318</v>
      </c>
      <c r="Q52" s="8" t="s">
        <v>2318</v>
      </c>
      <c r="R52" s="3">
        <f t="shared" si="0"/>
        <v>0</v>
      </c>
      <c r="S52" s="12">
        <v>0</v>
      </c>
      <c r="T52" s="12">
        <v>0</v>
      </c>
      <c r="U52" s="2">
        <v>0</v>
      </c>
      <c r="V52" s="2">
        <v>0</v>
      </c>
      <c r="W52" s="591"/>
    </row>
    <row r="53" spans="1:23" ht="51">
      <c r="A53" s="601"/>
      <c r="B53" s="602"/>
      <c r="C53" s="14" t="s">
        <v>2319</v>
      </c>
      <c r="D53" s="14" t="s">
        <v>2320</v>
      </c>
      <c r="E53" s="8" t="s">
        <v>2321</v>
      </c>
      <c r="F53" s="8" t="s">
        <v>2322</v>
      </c>
      <c r="G53" s="8" t="s">
        <v>2322</v>
      </c>
      <c r="H53" s="8" t="s">
        <v>2322</v>
      </c>
      <c r="I53" s="8" t="s">
        <v>2322</v>
      </c>
      <c r="J53" s="14" t="s">
        <v>2319</v>
      </c>
      <c r="K53" s="14" t="s">
        <v>2320</v>
      </c>
      <c r="L53" s="14" t="s">
        <v>2809</v>
      </c>
      <c r="M53" s="8" t="s">
        <v>2321</v>
      </c>
      <c r="N53" s="8" t="s">
        <v>2322</v>
      </c>
      <c r="O53" s="8" t="s">
        <v>2322</v>
      </c>
      <c r="P53" s="8" t="s">
        <v>2322</v>
      </c>
      <c r="Q53" s="8" t="s">
        <v>2322</v>
      </c>
      <c r="R53" s="3">
        <f t="shared" si="0"/>
        <v>0</v>
      </c>
      <c r="S53" s="12">
        <v>0</v>
      </c>
      <c r="T53" s="12">
        <v>0</v>
      </c>
      <c r="U53" s="2">
        <v>0</v>
      </c>
      <c r="V53" s="2">
        <v>0</v>
      </c>
      <c r="W53" s="591"/>
    </row>
    <row r="54" spans="1:23" ht="38.25">
      <c r="A54" s="601"/>
      <c r="B54" s="602"/>
      <c r="C54" s="14" t="s">
        <v>2323</v>
      </c>
      <c r="D54" s="14" t="s">
        <v>2324</v>
      </c>
      <c r="E54" s="8" t="s">
        <v>2325</v>
      </c>
      <c r="F54" s="8" t="s">
        <v>2326</v>
      </c>
      <c r="G54" s="8" t="s">
        <v>2326</v>
      </c>
      <c r="H54" s="8" t="s">
        <v>2326</v>
      </c>
      <c r="I54" s="8" t="s">
        <v>2326</v>
      </c>
      <c r="J54" s="14" t="s">
        <v>2323</v>
      </c>
      <c r="K54" s="14" t="s">
        <v>2324</v>
      </c>
      <c r="L54" s="14" t="s">
        <v>2809</v>
      </c>
      <c r="M54" s="8" t="s">
        <v>2325</v>
      </c>
      <c r="N54" s="8" t="s">
        <v>2326</v>
      </c>
      <c r="O54" s="8" t="s">
        <v>2326</v>
      </c>
      <c r="P54" s="8" t="s">
        <v>2326</v>
      </c>
      <c r="Q54" s="8" t="s">
        <v>2326</v>
      </c>
      <c r="R54" s="3">
        <f t="shared" si="0"/>
        <v>0</v>
      </c>
      <c r="S54" s="12">
        <v>0</v>
      </c>
      <c r="T54" s="12">
        <v>0</v>
      </c>
      <c r="U54" s="2">
        <v>0</v>
      </c>
      <c r="V54" s="2">
        <v>0</v>
      </c>
      <c r="W54" s="591"/>
    </row>
    <row r="55" spans="1:23" ht="38.25">
      <c r="A55" s="601"/>
      <c r="B55" s="602"/>
      <c r="C55" s="14" t="s">
        <v>2327</v>
      </c>
      <c r="D55" s="14" t="s">
        <v>2328</v>
      </c>
      <c r="E55" s="8" t="s">
        <v>2329</v>
      </c>
      <c r="F55" s="8" t="s">
        <v>2330</v>
      </c>
      <c r="G55" s="8" t="s">
        <v>2330</v>
      </c>
      <c r="H55" s="8" t="s">
        <v>2330</v>
      </c>
      <c r="I55" s="8" t="s">
        <v>2330</v>
      </c>
      <c r="J55" s="14" t="s">
        <v>2327</v>
      </c>
      <c r="K55" s="14" t="s">
        <v>2328</v>
      </c>
      <c r="L55" s="14" t="s">
        <v>2809</v>
      </c>
      <c r="M55" s="8" t="s">
        <v>2329</v>
      </c>
      <c r="N55" s="8" t="s">
        <v>2330</v>
      </c>
      <c r="O55" s="8" t="s">
        <v>2330</v>
      </c>
      <c r="P55" s="8" t="s">
        <v>2330</v>
      </c>
      <c r="Q55" s="8" t="s">
        <v>2330</v>
      </c>
      <c r="R55" s="3">
        <f t="shared" si="0"/>
        <v>0</v>
      </c>
      <c r="S55" s="12">
        <v>0</v>
      </c>
      <c r="T55" s="12">
        <v>0</v>
      </c>
      <c r="U55" s="2">
        <v>0</v>
      </c>
      <c r="V55" s="2">
        <v>0</v>
      </c>
      <c r="W55" s="591"/>
    </row>
    <row r="56" spans="1:23" ht="87.75" customHeight="1">
      <c r="A56" s="99" t="s">
        <v>2332</v>
      </c>
      <c r="B56" s="321">
        <v>0.0894</v>
      </c>
      <c r="C56" s="14" t="s">
        <v>2333</v>
      </c>
      <c r="D56" s="14" t="s">
        <v>2334</v>
      </c>
      <c r="E56" s="30" t="s">
        <v>2978</v>
      </c>
      <c r="F56" s="30">
        <v>2</v>
      </c>
      <c r="G56" s="30">
        <v>4</v>
      </c>
      <c r="H56" s="30">
        <v>6</v>
      </c>
      <c r="I56" s="30">
        <v>8</v>
      </c>
      <c r="J56" s="30" t="s">
        <v>599</v>
      </c>
      <c r="K56" s="14" t="s">
        <v>2334</v>
      </c>
      <c r="L56" s="14" t="s">
        <v>189</v>
      </c>
      <c r="M56" s="30" t="s">
        <v>2978</v>
      </c>
      <c r="N56" s="30">
        <v>2</v>
      </c>
      <c r="O56" s="30">
        <v>4</v>
      </c>
      <c r="P56" s="30">
        <v>6</v>
      </c>
      <c r="Q56" s="30">
        <v>8</v>
      </c>
      <c r="R56" s="3">
        <f t="shared" si="0"/>
        <v>0</v>
      </c>
      <c r="S56" s="30">
        <v>0</v>
      </c>
      <c r="T56" s="30">
        <v>0</v>
      </c>
      <c r="U56" s="30">
        <v>0</v>
      </c>
      <c r="V56" s="30">
        <v>0</v>
      </c>
      <c r="W56" s="30" t="s">
        <v>600</v>
      </c>
    </row>
    <row r="57" ht="12.75">
      <c r="B57" s="347"/>
    </row>
    <row r="58" spans="1:24" ht="15.75">
      <c r="A58" s="599" t="s">
        <v>357</v>
      </c>
      <c r="B58" s="599"/>
      <c r="C58" s="599"/>
      <c r="D58" s="599"/>
      <c r="E58" s="599"/>
      <c r="F58" s="599"/>
      <c r="G58" s="599"/>
      <c r="H58" s="599"/>
      <c r="I58" s="599"/>
      <c r="J58" s="599"/>
      <c r="K58" s="599"/>
      <c r="L58" s="599"/>
      <c r="M58" s="599"/>
      <c r="N58" s="599"/>
      <c r="O58" s="599"/>
      <c r="P58" s="599"/>
      <c r="Q58" s="599"/>
      <c r="R58" s="354">
        <f>SUM(R8:R57)</f>
        <v>29095317</v>
      </c>
      <c r="S58" s="354">
        <f>SUM(S8:S56)</f>
        <v>2059027</v>
      </c>
      <c r="T58" s="354">
        <f>SUM(T8:T56)</f>
        <v>9107082</v>
      </c>
      <c r="U58" s="354">
        <f>SUM(U8:U56)</f>
        <v>8990597</v>
      </c>
      <c r="V58" s="354">
        <f>SUM(V8:V56)</f>
        <v>8938611</v>
      </c>
      <c r="W58" s="355"/>
      <c r="X58" s="348"/>
    </row>
    <row r="59" spans="2:20" ht="12.75">
      <c r="B59" s="349"/>
      <c r="C59" s="349"/>
      <c r="D59" s="349"/>
      <c r="E59" s="349"/>
      <c r="F59" s="349"/>
      <c r="G59" s="349"/>
      <c r="H59" s="349"/>
      <c r="I59" s="349"/>
      <c r="J59" s="349"/>
      <c r="K59" s="349"/>
      <c r="L59" s="349"/>
      <c r="M59" s="349"/>
      <c r="N59" s="349"/>
      <c r="O59" s="349"/>
      <c r="P59" s="349"/>
      <c r="Q59" s="349"/>
      <c r="R59" s="350"/>
      <c r="S59" s="204"/>
      <c r="T59" s="351"/>
    </row>
    <row r="60" spans="2:19" ht="12.75">
      <c r="B60" s="204"/>
      <c r="C60" s="204"/>
      <c r="D60" s="204"/>
      <c r="E60" s="204"/>
      <c r="F60" s="204"/>
      <c r="G60" s="204"/>
      <c r="H60" s="204"/>
      <c r="I60" s="204"/>
      <c r="J60" s="204"/>
      <c r="K60" s="204"/>
      <c r="L60" s="204"/>
      <c r="M60" s="204"/>
      <c r="N60" s="204"/>
      <c r="O60" s="204"/>
      <c r="P60" s="204"/>
      <c r="Q60" s="204"/>
      <c r="R60" s="204"/>
      <c r="S60" s="204"/>
    </row>
    <row r="61" spans="2:19" ht="12.75">
      <c r="B61" s="204"/>
      <c r="C61" s="204"/>
      <c r="D61" s="204"/>
      <c r="E61" s="204"/>
      <c r="F61" s="204"/>
      <c r="G61" s="204"/>
      <c r="H61" s="204"/>
      <c r="I61" s="204"/>
      <c r="J61" s="204"/>
      <c r="K61" s="204"/>
      <c r="L61" s="204"/>
      <c r="M61" s="204"/>
      <c r="N61" s="204"/>
      <c r="O61" s="204"/>
      <c r="P61" s="204"/>
      <c r="Q61" s="204"/>
      <c r="R61" s="204"/>
      <c r="S61" s="204"/>
    </row>
    <row r="62" spans="2:19" ht="12.75">
      <c r="B62" s="204"/>
      <c r="C62" s="204"/>
      <c r="D62" s="204"/>
      <c r="E62" s="204"/>
      <c r="F62" s="204"/>
      <c r="G62" s="204"/>
      <c r="H62" s="204"/>
      <c r="I62" s="204"/>
      <c r="J62" s="204"/>
      <c r="K62" s="204"/>
      <c r="L62" s="204"/>
      <c r="M62" s="204"/>
      <c r="N62" s="204"/>
      <c r="O62" s="204"/>
      <c r="P62" s="204"/>
      <c r="Q62" s="204"/>
      <c r="R62" s="204"/>
      <c r="S62" s="204"/>
    </row>
    <row r="69" ht="12.75">
      <c r="R69" s="204"/>
    </row>
  </sheetData>
  <sheetProtection selectLockedCells="1" selectUnlockedCells="1"/>
  <mergeCells count="69">
    <mergeCell ref="A1:W1"/>
    <mergeCell ref="A2:W2"/>
    <mergeCell ref="A3:W3"/>
    <mergeCell ref="A4:W4"/>
    <mergeCell ref="E15:E16"/>
    <mergeCell ref="F15:F16"/>
    <mergeCell ref="G15:G16"/>
    <mergeCell ref="H15:H16"/>
    <mergeCell ref="W8:W20"/>
    <mergeCell ref="A5:W5"/>
    <mergeCell ref="A6:A7"/>
    <mergeCell ref="R6:V6"/>
    <mergeCell ref="W6:W7"/>
    <mergeCell ref="D6:I6"/>
    <mergeCell ref="J6:Q6"/>
    <mergeCell ref="B6:B7"/>
    <mergeCell ref="C6:C7"/>
    <mergeCell ref="A21:A27"/>
    <mergeCell ref="B21:B27"/>
    <mergeCell ref="C22:C24"/>
    <mergeCell ref="A28:A31"/>
    <mergeCell ref="B28:B31"/>
    <mergeCell ref="C30:C31"/>
    <mergeCell ref="A8:A20"/>
    <mergeCell ref="B8:B20"/>
    <mergeCell ref="C8:C9"/>
    <mergeCell ref="F17:F18"/>
    <mergeCell ref="C10:C11"/>
    <mergeCell ref="D17:D18"/>
    <mergeCell ref="C17:C18"/>
    <mergeCell ref="E17:E18"/>
    <mergeCell ref="C15:C16"/>
    <mergeCell ref="D15:D16"/>
    <mergeCell ref="W21:W27"/>
    <mergeCell ref="I22:I24"/>
    <mergeCell ref="I30:I31"/>
    <mergeCell ref="W30:W31"/>
    <mergeCell ref="I15:I16"/>
    <mergeCell ref="A58:Q58"/>
    <mergeCell ref="A45:A47"/>
    <mergeCell ref="B45:B47"/>
    <mergeCell ref="A48:A55"/>
    <mergeCell ref="B48:B55"/>
    <mergeCell ref="I17:I18"/>
    <mergeCell ref="F22:F24"/>
    <mergeCell ref="E30:E31"/>
    <mergeCell ref="D30:D31"/>
    <mergeCell ref="D22:D24"/>
    <mergeCell ref="C33:C34"/>
    <mergeCell ref="G30:G31"/>
    <mergeCell ref="I33:I34"/>
    <mergeCell ref="H30:H31"/>
    <mergeCell ref="G33:G34"/>
    <mergeCell ref="C38:C39"/>
    <mergeCell ref="A32:A44"/>
    <mergeCell ref="B32:B44"/>
    <mergeCell ref="G17:G18"/>
    <mergeCell ref="H17:H18"/>
    <mergeCell ref="E22:E24"/>
    <mergeCell ref="F30:F31"/>
    <mergeCell ref="H22:H24"/>
    <mergeCell ref="G22:G24"/>
    <mergeCell ref="H33:H34"/>
    <mergeCell ref="W36:W39"/>
    <mergeCell ref="W48:W55"/>
    <mergeCell ref="D33:D34"/>
    <mergeCell ref="E33:E34"/>
    <mergeCell ref="W33:W34"/>
    <mergeCell ref="F33:F34"/>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sheetPr>
    <tabColor rgb="FF800000"/>
  </sheetPr>
  <dimension ref="A1:T200"/>
  <sheetViews>
    <sheetView zoomScale="90" zoomScaleNormal="90" zoomScalePageLayoutView="0" workbookViewId="0" topLeftCell="B8">
      <pane ySplit="2" topLeftCell="A10" activePane="bottomLeft" state="frozen"/>
      <selection pane="topLeft" activeCell="A8" sqref="A8"/>
      <selection pane="bottomLeft" activeCell="P138" sqref="P138"/>
    </sheetView>
  </sheetViews>
  <sheetFormatPr defaultColWidth="10.875" defaultRowHeight="15.75"/>
  <cols>
    <col min="1" max="1" width="33.875" style="80" customWidth="1"/>
    <col min="2" max="2" width="13.875" style="80" customWidth="1"/>
    <col min="3" max="3" width="17.125" style="80" customWidth="1"/>
    <col min="4" max="4" width="32.375" style="80" customWidth="1"/>
    <col min="5" max="5" width="25.625" style="80" customWidth="1"/>
    <col min="6" max="6" width="26.125" style="80" customWidth="1"/>
    <col min="7" max="7" width="10.875" style="80" bestFit="1" customWidth="1"/>
    <col min="8" max="8" width="17.625" style="80" customWidth="1"/>
    <col min="9" max="9" width="16.50390625" style="80" customWidth="1"/>
    <col min="10" max="10" width="10.125" style="80" bestFit="1" customWidth="1"/>
    <col min="11" max="11" width="9.625" style="80" bestFit="1" customWidth="1"/>
    <col min="12" max="13" width="14.125" style="80" bestFit="1" customWidth="1"/>
    <col min="14" max="14" width="10.375" style="80" bestFit="1" customWidth="1"/>
    <col min="15" max="15" width="12.00390625" style="80" customWidth="1"/>
    <col min="16" max="16" width="13.125" style="80" customWidth="1"/>
    <col min="17" max="17" width="15.125" style="80" customWidth="1"/>
    <col min="18" max="18" width="15.375" style="80" customWidth="1"/>
    <col min="19" max="19" width="18.125" style="80" customWidth="1"/>
    <col min="20" max="20" width="16.125" style="80" customWidth="1"/>
    <col min="21" max="16384" width="10.875" style="80" customWidth="1"/>
  </cols>
  <sheetData>
    <row r="1" spans="1:20" ht="12.75" hidden="1">
      <c r="A1" s="626" t="s">
        <v>1370</v>
      </c>
      <c r="B1" s="626"/>
      <c r="C1" s="626"/>
      <c r="D1" s="626"/>
      <c r="E1" s="626"/>
      <c r="F1" s="626"/>
      <c r="G1" s="626"/>
      <c r="H1" s="626"/>
      <c r="I1" s="626"/>
      <c r="J1" s="626"/>
      <c r="K1" s="626"/>
      <c r="L1" s="626"/>
      <c r="M1" s="626"/>
      <c r="N1" s="626"/>
      <c r="O1" s="626"/>
      <c r="P1" s="626"/>
      <c r="Q1" s="626"/>
      <c r="R1" s="626"/>
      <c r="S1" s="626"/>
      <c r="T1" s="626"/>
    </row>
    <row r="2" spans="1:20" ht="12.75" hidden="1">
      <c r="A2" s="626" t="s">
        <v>1371</v>
      </c>
      <c r="B2" s="626"/>
      <c r="C2" s="626"/>
      <c r="D2" s="626"/>
      <c r="E2" s="626"/>
      <c r="F2" s="626"/>
      <c r="G2" s="626"/>
      <c r="H2" s="626"/>
      <c r="I2" s="626"/>
      <c r="J2" s="626"/>
      <c r="K2" s="626"/>
      <c r="L2" s="626"/>
      <c r="M2" s="626"/>
      <c r="N2" s="626"/>
      <c r="O2" s="626"/>
      <c r="P2" s="626"/>
      <c r="Q2" s="626"/>
      <c r="R2" s="626"/>
      <c r="S2" s="626"/>
      <c r="T2" s="626"/>
    </row>
    <row r="3" spans="1:20" ht="12.75" hidden="1">
      <c r="A3" s="626" t="s">
        <v>2092</v>
      </c>
      <c r="B3" s="626"/>
      <c r="C3" s="626"/>
      <c r="D3" s="626"/>
      <c r="E3" s="626"/>
      <c r="F3" s="626"/>
      <c r="G3" s="626"/>
      <c r="H3" s="626"/>
      <c r="I3" s="626"/>
      <c r="J3" s="626"/>
      <c r="K3" s="626"/>
      <c r="L3" s="626"/>
      <c r="M3" s="626"/>
      <c r="N3" s="626"/>
      <c r="O3" s="626"/>
      <c r="P3" s="626"/>
      <c r="Q3" s="626"/>
      <c r="R3" s="626"/>
      <c r="S3" s="626"/>
      <c r="T3" s="626"/>
    </row>
    <row r="4" spans="1:20" ht="12.75" hidden="1">
      <c r="A4" s="626" t="s">
        <v>2093</v>
      </c>
      <c r="B4" s="626"/>
      <c r="C4" s="626"/>
      <c r="D4" s="626"/>
      <c r="E4" s="626"/>
      <c r="F4" s="626"/>
      <c r="G4" s="626"/>
      <c r="H4" s="626"/>
      <c r="I4" s="626"/>
      <c r="J4" s="626"/>
      <c r="K4" s="626"/>
      <c r="L4" s="626"/>
      <c r="M4" s="626"/>
      <c r="N4" s="626"/>
      <c r="O4" s="626"/>
      <c r="P4" s="626"/>
      <c r="Q4" s="626"/>
      <c r="R4" s="626"/>
      <c r="S4" s="626"/>
      <c r="T4" s="626"/>
    </row>
    <row r="5" spans="1:20" ht="12.75" hidden="1">
      <c r="A5" s="626" t="s">
        <v>1370</v>
      </c>
      <c r="B5" s="626"/>
      <c r="C5" s="626"/>
      <c r="D5" s="626"/>
      <c r="E5" s="626"/>
      <c r="F5" s="626"/>
      <c r="G5" s="626"/>
      <c r="H5" s="626"/>
      <c r="I5" s="626"/>
      <c r="J5" s="626"/>
      <c r="K5" s="626"/>
      <c r="L5" s="626"/>
      <c r="M5" s="626"/>
      <c r="N5" s="626"/>
      <c r="O5" s="626"/>
      <c r="P5" s="626"/>
      <c r="Q5" s="626"/>
      <c r="R5" s="626"/>
      <c r="S5" s="626"/>
      <c r="T5" s="626"/>
    </row>
    <row r="6" spans="1:20" ht="16.5" customHeight="1" hidden="1">
      <c r="A6" s="626"/>
      <c r="B6" s="626"/>
      <c r="C6" s="626"/>
      <c r="D6" s="626"/>
      <c r="E6" s="626"/>
      <c r="F6" s="626"/>
      <c r="G6" s="626"/>
      <c r="H6" s="626"/>
      <c r="I6" s="626"/>
      <c r="J6" s="626"/>
      <c r="K6" s="626"/>
      <c r="L6" s="626"/>
      <c r="M6" s="626"/>
      <c r="N6" s="626"/>
      <c r="O6" s="626"/>
      <c r="P6" s="626"/>
      <c r="Q6" s="626"/>
      <c r="R6" s="626"/>
      <c r="S6" s="626"/>
      <c r="T6" s="626"/>
    </row>
    <row r="7" spans="1:20" ht="16.5" customHeight="1" hidden="1">
      <c r="A7" s="627"/>
      <c r="B7" s="627"/>
      <c r="C7" s="627"/>
      <c r="D7" s="627"/>
      <c r="E7" s="627"/>
      <c r="F7" s="627"/>
      <c r="G7" s="627"/>
      <c r="H7" s="627"/>
      <c r="I7" s="627"/>
      <c r="J7" s="627"/>
      <c r="K7" s="627"/>
      <c r="L7" s="627"/>
      <c r="M7" s="627"/>
      <c r="N7" s="627"/>
      <c r="O7" s="627"/>
      <c r="P7" s="627"/>
      <c r="Q7" s="627"/>
      <c r="R7" s="627"/>
      <c r="S7" s="627"/>
      <c r="T7" s="627"/>
    </row>
    <row r="8" spans="1:20" ht="15" customHeight="1">
      <c r="A8" s="557" t="s">
        <v>2094</v>
      </c>
      <c r="B8" s="547" t="s">
        <v>2095</v>
      </c>
      <c r="C8" s="547" t="s">
        <v>2096</v>
      </c>
      <c r="D8" s="547" t="s">
        <v>2097</v>
      </c>
      <c r="E8" s="625" t="s">
        <v>2098</v>
      </c>
      <c r="F8" s="625"/>
      <c r="G8" s="625"/>
      <c r="H8" s="625"/>
      <c r="I8" s="625" t="s">
        <v>2099</v>
      </c>
      <c r="J8" s="625"/>
      <c r="K8" s="625"/>
      <c r="L8" s="625"/>
      <c r="M8" s="625"/>
      <c r="N8" s="625"/>
      <c r="O8" s="625" t="s">
        <v>2100</v>
      </c>
      <c r="P8" s="625"/>
      <c r="Q8" s="625"/>
      <c r="R8" s="625"/>
      <c r="S8" s="625"/>
      <c r="T8" s="622" t="s">
        <v>2101</v>
      </c>
    </row>
    <row r="9" spans="1:20" ht="66" customHeight="1" thickBot="1">
      <c r="A9" s="624"/>
      <c r="B9" s="548"/>
      <c r="C9" s="548"/>
      <c r="D9" s="548"/>
      <c r="E9" s="74" t="s">
        <v>2102</v>
      </c>
      <c r="F9" s="75" t="s">
        <v>2103</v>
      </c>
      <c r="G9" s="74" t="s">
        <v>2104</v>
      </c>
      <c r="H9" s="76" t="s">
        <v>2105</v>
      </c>
      <c r="I9" s="74" t="s">
        <v>2102</v>
      </c>
      <c r="J9" s="75" t="s">
        <v>2106</v>
      </c>
      <c r="K9" s="74" t="s">
        <v>2107</v>
      </c>
      <c r="L9" s="74" t="s">
        <v>2108</v>
      </c>
      <c r="M9" s="74" t="s">
        <v>2109</v>
      </c>
      <c r="N9" s="74" t="s">
        <v>2104</v>
      </c>
      <c r="O9" s="74" t="s">
        <v>2110</v>
      </c>
      <c r="P9" s="74">
        <v>2012</v>
      </c>
      <c r="Q9" s="74">
        <v>2013</v>
      </c>
      <c r="R9" s="74">
        <v>2014</v>
      </c>
      <c r="S9" s="74">
        <v>2015</v>
      </c>
      <c r="T9" s="623"/>
    </row>
    <row r="10" spans="1:20" ht="51">
      <c r="A10" s="557" t="s">
        <v>2335</v>
      </c>
      <c r="B10" s="613"/>
      <c r="C10" s="613"/>
      <c r="D10" s="38" t="s">
        <v>2336</v>
      </c>
      <c r="E10" s="38" t="s">
        <v>2337</v>
      </c>
      <c r="F10" s="87">
        <v>42</v>
      </c>
      <c r="G10" s="38"/>
      <c r="H10" s="38"/>
      <c r="I10" s="38"/>
      <c r="J10" s="38"/>
      <c r="K10" s="38"/>
      <c r="L10" s="38"/>
      <c r="M10" s="38"/>
      <c r="N10" s="51"/>
      <c r="O10" s="51"/>
      <c r="P10" s="82"/>
      <c r="Q10" s="51"/>
      <c r="R10" s="51"/>
      <c r="S10" s="51"/>
      <c r="T10" s="83"/>
    </row>
    <row r="11" spans="1:20" ht="38.25">
      <c r="A11" s="558"/>
      <c r="B11" s="549"/>
      <c r="C11" s="549"/>
      <c r="D11" s="14" t="s">
        <v>2754</v>
      </c>
      <c r="E11" s="14" t="s">
        <v>2755</v>
      </c>
      <c r="F11" s="79">
        <f>9048*0.45</f>
        <v>4071.6</v>
      </c>
      <c r="G11" s="14"/>
      <c r="H11" s="14"/>
      <c r="I11" s="14"/>
      <c r="J11" s="14"/>
      <c r="K11" s="14"/>
      <c r="L11" s="14"/>
      <c r="M11" s="14"/>
      <c r="N11" s="3"/>
      <c r="O11" s="3"/>
      <c r="P11" s="77"/>
      <c r="Q11" s="3"/>
      <c r="R11" s="3"/>
      <c r="S11" s="3"/>
      <c r="T11" s="84"/>
    </row>
    <row r="12" spans="1:20" ht="38.25">
      <c r="A12" s="558"/>
      <c r="B12" s="549"/>
      <c r="C12" s="549"/>
      <c r="D12" s="14" t="s">
        <v>2756</v>
      </c>
      <c r="E12" s="14" t="s">
        <v>2757</v>
      </c>
      <c r="F12" s="79">
        <f>9048*0.4</f>
        <v>3619.2000000000003</v>
      </c>
      <c r="G12" s="14"/>
      <c r="H12" s="14"/>
      <c r="I12" s="14"/>
      <c r="J12" s="14"/>
      <c r="K12" s="14"/>
      <c r="L12" s="14"/>
      <c r="M12" s="14"/>
      <c r="N12" s="3"/>
      <c r="O12" s="3"/>
      <c r="P12" s="77"/>
      <c r="Q12" s="3"/>
      <c r="R12" s="3"/>
      <c r="S12" s="3"/>
      <c r="T12" s="84"/>
    </row>
    <row r="13" spans="1:20" ht="51">
      <c r="A13" s="558"/>
      <c r="B13" s="549"/>
      <c r="C13" s="549"/>
      <c r="D13" s="14" t="s">
        <v>2758</v>
      </c>
      <c r="E13" s="14" t="s">
        <v>2759</v>
      </c>
      <c r="F13" s="79">
        <f>9048*0.38</f>
        <v>3438.2400000000002</v>
      </c>
      <c r="G13" s="14"/>
      <c r="H13" s="14"/>
      <c r="I13" s="14"/>
      <c r="J13" s="14"/>
      <c r="K13" s="14"/>
      <c r="L13" s="14"/>
      <c r="M13" s="14"/>
      <c r="N13" s="3"/>
      <c r="O13" s="3"/>
      <c r="P13" s="77"/>
      <c r="Q13" s="3"/>
      <c r="R13" s="3"/>
      <c r="S13" s="3"/>
      <c r="T13" s="84"/>
    </row>
    <row r="14" spans="1:20" ht="38.25">
      <c r="A14" s="558"/>
      <c r="B14" s="549"/>
      <c r="C14" s="549"/>
      <c r="D14" s="14" t="s">
        <v>2761</v>
      </c>
      <c r="E14" s="14" t="s">
        <v>2762</v>
      </c>
      <c r="F14" s="79">
        <f>7749*0.5</f>
        <v>3874.5</v>
      </c>
      <c r="G14" s="14"/>
      <c r="H14" s="14"/>
      <c r="I14" s="14"/>
      <c r="J14" s="14"/>
      <c r="K14" s="14"/>
      <c r="L14" s="14"/>
      <c r="M14" s="14"/>
      <c r="N14" s="3"/>
      <c r="O14" s="3"/>
      <c r="P14" s="77"/>
      <c r="Q14" s="3"/>
      <c r="R14" s="3"/>
      <c r="S14" s="3"/>
      <c r="T14" s="84"/>
    </row>
    <row r="15" spans="1:20" ht="38.25">
      <c r="A15" s="558"/>
      <c r="B15" s="549"/>
      <c r="C15" s="549"/>
      <c r="D15" s="14" t="s">
        <v>2763</v>
      </c>
      <c r="E15" s="14" t="s">
        <v>2764</v>
      </c>
      <c r="F15" s="79">
        <f>7749*0.3</f>
        <v>2324.7</v>
      </c>
      <c r="G15" s="14"/>
      <c r="H15" s="14"/>
      <c r="I15" s="14"/>
      <c r="J15" s="14"/>
      <c r="K15" s="14"/>
      <c r="L15" s="14"/>
      <c r="M15" s="14"/>
      <c r="N15" s="3"/>
      <c r="O15" s="3"/>
      <c r="P15" s="77"/>
      <c r="Q15" s="3"/>
      <c r="R15" s="3"/>
      <c r="S15" s="3"/>
      <c r="T15" s="84"/>
    </row>
    <row r="16" spans="1:20" ht="51">
      <c r="A16" s="558"/>
      <c r="B16" s="549"/>
      <c r="C16" s="549"/>
      <c r="D16" s="14" t="s">
        <v>2765</v>
      </c>
      <c r="E16" s="14" t="s">
        <v>1680</v>
      </c>
      <c r="F16" s="79">
        <f>7749*0.41</f>
        <v>3177.0899999999997</v>
      </c>
      <c r="G16" s="14"/>
      <c r="H16" s="14"/>
      <c r="I16" s="14"/>
      <c r="J16" s="14"/>
      <c r="K16" s="14"/>
      <c r="L16" s="14"/>
      <c r="M16" s="14"/>
      <c r="N16" s="3"/>
      <c r="O16" s="3"/>
      <c r="P16" s="77"/>
      <c r="Q16" s="3"/>
      <c r="R16" s="3"/>
      <c r="S16" s="3"/>
      <c r="T16" s="84"/>
    </row>
    <row r="17" spans="1:20" ht="26.25" thickBot="1">
      <c r="A17" s="559"/>
      <c r="B17" s="553"/>
      <c r="C17" s="553"/>
      <c r="D17" s="44" t="s">
        <v>1681</v>
      </c>
      <c r="E17" s="44" t="s">
        <v>1682</v>
      </c>
      <c r="F17" s="44" t="s">
        <v>1683</v>
      </c>
      <c r="G17" s="44"/>
      <c r="H17" s="44"/>
      <c r="I17" s="44"/>
      <c r="J17" s="44"/>
      <c r="K17" s="44"/>
      <c r="L17" s="44"/>
      <c r="M17" s="44"/>
      <c r="N17" s="57"/>
      <c r="O17" s="57"/>
      <c r="P17" s="85"/>
      <c r="Q17" s="57"/>
      <c r="R17" s="57"/>
      <c r="S17" s="57"/>
      <c r="T17" s="86"/>
    </row>
    <row r="18" spans="1:20" ht="25.5">
      <c r="A18" s="618" t="s">
        <v>2584</v>
      </c>
      <c r="B18" s="614"/>
      <c r="C18" s="614"/>
      <c r="D18" s="117" t="s">
        <v>2585</v>
      </c>
      <c r="E18" s="126" t="s">
        <v>2586</v>
      </c>
      <c r="F18" s="236"/>
      <c r="G18" s="236"/>
      <c r="H18" s="604" t="s">
        <v>1689</v>
      </c>
      <c r="I18" s="126" t="s">
        <v>1690</v>
      </c>
      <c r="J18" s="126">
        <v>120</v>
      </c>
      <c r="K18" s="126" t="s">
        <v>2760</v>
      </c>
      <c r="L18" s="126">
        <v>120</v>
      </c>
      <c r="M18" s="126">
        <v>120</v>
      </c>
      <c r="N18" s="126">
        <v>30</v>
      </c>
      <c r="O18" s="238">
        <v>0</v>
      </c>
      <c r="P18" s="237">
        <f aca="true" t="shared" si="0" ref="P18:P50">+IF(O18&gt;N18,1,O18/N18)</f>
        <v>0</v>
      </c>
      <c r="Q18" s="117">
        <f aca="true" t="shared" si="1" ref="Q18:Q50">+N18+R18</f>
        <v>60</v>
      </c>
      <c r="R18" s="117">
        <v>30</v>
      </c>
      <c r="S18" s="117">
        <v>0</v>
      </c>
      <c r="T18" s="117">
        <f aca="true" t="shared" si="2" ref="T18:T50">+IF(S18&gt;R18,1,S18/R18)</f>
        <v>0</v>
      </c>
    </row>
    <row r="19" spans="1:20" ht="25.5">
      <c r="A19" s="619"/>
      <c r="B19" s="615"/>
      <c r="C19" s="615"/>
      <c r="D19" s="178" t="s">
        <v>2588</v>
      </c>
      <c r="E19" s="4" t="s">
        <v>2587</v>
      </c>
      <c r="F19" s="2"/>
      <c r="G19" s="2"/>
      <c r="H19" s="549"/>
      <c r="I19" s="14" t="s">
        <v>1691</v>
      </c>
      <c r="J19" s="14">
        <v>4</v>
      </c>
      <c r="K19" s="14" t="s">
        <v>1687</v>
      </c>
      <c r="L19" s="14" t="s">
        <v>2338</v>
      </c>
      <c r="M19" s="14" t="s">
        <v>2338</v>
      </c>
      <c r="N19" s="14">
        <v>3</v>
      </c>
      <c r="O19" s="239">
        <v>0</v>
      </c>
      <c r="P19" s="77">
        <f t="shared" si="0"/>
        <v>0</v>
      </c>
      <c r="Q19" s="2">
        <f t="shared" si="1"/>
        <v>6</v>
      </c>
      <c r="R19" s="2">
        <v>3</v>
      </c>
      <c r="S19" s="2">
        <v>0</v>
      </c>
      <c r="T19" s="2">
        <f t="shared" si="2"/>
        <v>0</v>
      </c>
    </row>
    <row r="20" spans="1:20" ht="12.75">
      <c r="A20" s="619"/>
      <c r="B20" s="615"/>
      <c r="C20" s="615"/>
      <c r="D20" s="14"/>
      <c r="E20" s="4"/>
      <c r="F20" s="2"/>
      <c r="G20" s="2"/>
      <c r="H20" s="549"/>
      <c r="I20" s="14" t="s">
        <v>1686</v>
      </c>
      <c r="J20" s="14">
        <v>4</v>
      </c>
      <c r="K20" s="14" t="s">
        <v>1686</v>
      </c>
      <c r="L20" s="14">
        <v>1</v>
      </c>
      <c r="M20" s="14">
        <v>1</v>
      </c>
      <c r="N20" s="14">
        <v>1</v>
      </c>
      <c r="O20" s="239">
        <v>0</v>
      </c>
      <c r="P20" s="77">
        <f t="shared" si="0"/>
        <v>0</v>
      </c>
      <c r="Q20" s="2">
        <f t="shared" si="1"/>
        <v>2</v>
      </c>
      <c r="R20" s="2">
        <v>1</v>
      </c>
      <c r="S20" s="2">
        <v>0</v>
      </c>
      <c r="T20" s="2">
        <f t="shared" si="2"/>
        <v>0</v>
      </c>
    </row>
    <row r="21" spans="1:20" ht="25.5">
      <c r="A21" s="619"/>
      <c r="B21" s="615"/>
      <c r="C21" s="615"/>
      <c r="D21" s="14"/>
      <c r="E21" s="4"/>
      <c r="F21" s="2"/>
      <c r="G21" s="2"/>
      <c r="H21" s="549" t="s">
        <v>1692</v>
      </c>
      <c r="I21" s="14" t="s">
        <v>1693</v>
      </c>
      <c r="J21" s="14">
        <v>40</v>
      </c>
      <c r="K21" s="14" t="s">
        <v>1694</v>
      </c>
      <c r="L21" s="14">
        <v>20</v>
      </c>
      <c r="M21" s="14">
        <v>20</v>
      </c>
      <c r="N21" s="14">
        <v>10</v>
      </c>
      <c r="O21" s="239">
        <v>0</v>
      </c>
      <c r="P21" s="77">
        <f t="shared" si="0"/>
        <v>0</v>
      </c>
      <c r="Q21" s="2">
        <f t="shared" si="1"/>
        <v>20</v>
      </c>
      <c r="R21" s="2">
        <v>10</v>
      </c>
      <c r="S21" s="2">
        <v>0</v>
      </c>
      <c r="T21" s="2">
        <f t="shared" si="2"/>
        <v>0</v>
      </c>
    </row>
    <row r="22" spans="1:20" ht="38.25">
      <c r="A22" s="619"/>
      <c r="B22" s="615"/>
      <c r="C22" s="615"/>
      <c r="D22" s="14"/>
      <c r="E22" s="4"/>
      <c r="F22" s="2"/>
      <c r="G22" s="2"/>
      <c r="H22" s="549"/>
      <c r="I22" s="14" t="s">
        <v>1695</v>
      </c>
      <c r="J22" s="14">
        <v>2000</v>
      </c>
      <c r="K22" s="14" t="s">
        <v>1696</v>
      </c>
      <c r="L22" s="14">
        <v>1500</v>
      </c>
      <c r="M22" s="14">
        <v>1500</v>
      </c>
      <c r="N22" s="14">
        <v>500</v>
      </c>
      <c r="O22" s="239">
        <v>0</v>
      </c>
      <c r="P22" s="77">
        <f t="shared" si="0"/>
        <v>0</v>
      </c>
      <c r="Q22" s="2">
        <f t="shared" si="1"/>
        <v>1000</v>
      </c>
      <c r="R22" s="2">
        <v>500</v>
      </c>
      <c r="S22" s="2">
        <v>0</v>
      </c>
      <c r="T22" s="2">
        <f t="shared" si="2"/>
        <v>0</v>
      </c>
    </row>
    <row r="23" spans="1:20" ht="38.25">
      <c r="A23" s="619"/>
      <c r="B23" s="615"/>
      <c r="C23" s="615"/>
      <c r="D23" s="178"/>
      <c r="E23" s="4"/>
      <c r="F23" s="2"/>
      <c r="G23" s="2"/>
      <c r="H23" s="549"/>
      <c r="I23" s="14" t="s">
        <v>1697</v>
      </c>
      <c r="J23" s="14">
        <v>3000</v>
      </c>
      <c r="K23" s="14" t="s">
        <v>1696</v>
      </c>
      <c r="L23" s="14">
        <f>228+12+13</f>
        <v>253</v>
      </c>
      <c r="M23" s="14">
        <v>253</v>
      </c>
      <c r="N23" s="14">
        <v>750</v>
      </c>
      <c r="O23" s="239">
        <v>0</v>
      </c>
      <c r="P23" s="77">
        <f t="shared" si="0"/>
        <v>0</v>
      </c>
      <c r="Q23" s="2">
        <f t="shared" si="1"/>
        <v>1500</v>
      </c>
      <c r="R23" s="2">
        <v>750</v>
      </c>
      <c r="S23" s="2">
        <v>0</v>
      </c>
      <c r="T23" s="2">
        <f t="shared" si="2"/>
        <v>0</v>
      </c>
    </row>
    <row r="24" spans="1:20" ht="89.25">
      <c r="A24" s="619"/>
      <c r="B24" s="615"/>
      <c r="C24" s="615"/>
      <c r="D24" s="178"/>
      <c r="E24" s="4"/>
      <c r="F24" s="3"/>
      <c r="G24" s="3"/>
      <c r="H24" s="549"/>
      <c r="I24" s="14" t="s">
        <v>1698</v>
      </c>
      <c r="J24" s="14" t="s">
        <v>1699</v>
      </c>
      <c r="K24" s="14" t="s">
        <v>1700</v>
      </c>
      <c r="L24" s="3">
        <v>1500</v>
      </c>
      <c r="M24" s="3">
        <v>1500</v>
      </c>
      <c r="N24" s="14">
        <v>500</v>
      </c>
      <c r="O24" s="239">
        <v>0</v>
      </c>
      <c r="P24" s="77">
        <f t="shared" si="0"/>
        <v>0</v>
      </c>
      <c r="Q24" s="2">
        <f t="shared" si="1"/>
        <v>1200</v>
      </c>
      <c r="R24" s="2">
        <v>700</v>
      </c>
      <c r="S24" s="2">
        <v>0</v>
      </c>
      <c r="T24" s="2">
        <f t="shared" si="2"/>
        <v>0</v>
      </c>
    </row>
    <row r="25" spans="1:20" ht="51">
      <c r="A25" s="619"/>
      <c r="B25" s="615"/>
      <c r="C25" s="615"/>
      <c r="D25" s="178"/>
      <c r="E25" s="4"/>
      <c r="F25" s="3"/>
      <c r="G25" s="3"/>
      <c r="H25" s="549" t="s">
        <v>1701</v>
      </c>
      <c r="I25" s="14" t="s">
        <v>1702</v>
      </c>
      <c r="J25" s="14">
        <v>1</v>
      </c>
      <c r="K25" s="14" t="s">
        <v>1702</v>
      </c>
      <c r="L25" s="3">
        <v>1</v>
      </c>
      <c r="M25" s="3">
        <v>1</v>
      </c>
      <c r="N25" s="14">
        <v>0</v>
      </c>
      <c r="O25" s="239">
        <v>0</v>
      </c>
      <c r="P25" s="77" t="e">
        <f t="shared" si="0"/>
        <v>#DIV/0!</v>
      </c>
      <c r="Q25" s="2">
        <f t="shared" si="1"/>
        <v>1</v>
      </c>
      <c r="R25" s="2">
        <v>1</v>
      </c>
      <c r="S25" s="2">
        <v>0</v>
      </c>
      <c r="T25" s="2">
        <f t="shared" si="2"/>
        <v>0</v>
      </c>
    </row>
    <row r="26" spans="1:20" ht="38.25">
      <c r="A26" s="619"/>
      <c r="B26" s="615"/>
      <c r="C26" s="615"/>
      <c r="D26" s="178"/>
      <c r="E26" s="4"/>
      <c r="F26" s="3"/>
      <c r="G26" s="3"/>
      <c r="H26" s="549"/>
      <c r="I26" s="14" t="s">
        <v>1703</v>
      </c>
      <c r="J26" s="14">
        <v>61</v>
      </c>
      <c r="K26" s="14" t="s">
        <v>1704</v>
      </c>
      <c r="L26" s="3"/>
      <c r="M26" s="3"/>
      <c r="N26" s="14">
        <v>10</v>
      </c>
      <c r="O26" s="239">
        <v>0</v>
      </c>
      <c r="P26" s="77">
        <f t="shared" si="0"/>
        <v>0</v>
      </c>
      <c r="Q26" s="2">
        <f t="shared" si="1"/>
        <v>30</v>
      </c>
      <c r="R26" s="2">
        <v>20</v>
      </c>
      <c r="S26" s="2">
        <v>0</v>
      </c>
      <c r="T26" s="2">
        <f t="shared" si="2"/>
        <v>0</v>
      </c>
    </row>
    <row r="27" spans="1:20" ht="25.5">
      <c r="A27" s="619"/>
      <c r="B27" s="615"/>
      <c r="C27" s="615"/>
      <c r="D27" s="620"/>
      <c r="E27" s="621"/>
      <c r="F27" s="596"/>
      <c r="G27" s="596"/>
      <c r="H27" s="549"/>
      <c r="I27" s="14" t="s">
        <v>1705</v>
      </c>
      <c r="J27" s="14">
        <v>200</v>
      </c>
      <c r="K27" s="14" t="s">
        <v>2760</v>
      </c>
      <c r="L27" s="3" t="s">
        <v>2338</v>
      </c>
      <c r="M27" s="3" t="s">
        <v>2338</v>
      </c>
      <c r="N27" s="14">
        <v>5</v>
      </c>
      <c r="O27" s="239">
        <v>0</v>
      </c>
      <c r="P27" s="77">
        <f t="shared" si="0"/>
        <v>0</v>
      </c>
      <c r="Q27" s="2">
        <f t="shared" si="1"/>
        <v>10</v>
      </c>
      <c r="R27" s="2">
        <v>5</v>
      </c>
      <c r="S27" s="2">
        <v>0</v>
      </c>
      <c r="T27" s="2">
        <f t="shared" si="2"/>
        <v>0</v>
      </c>
    </row>
    <row r="28" spans="1:20" ht="51">
      <c r="A28" s="619"/>
      <c r="B28" s="615"/>
      <c r="C28" s="615"/>
      <c r="D28" s="620"/>
      <c r="E28" s="621"/>
      <c r="F28" s="596"/>
      <c r="G28" s="596"/>
      <c r="H28" s="549"/>
      <c r="I28" s="14" t="s">
        <v>1684</v>
      </c>
      <c r="J28" s="14">
        <v>10</v>
      </c>
      <c r="K28" s="14" t="s">
        <v>177</v>
      </c>
      <c r="L28" s="3" t="s">
        <v>2338</v>
      </c>
      <c r="M28" s="3" t="s">
        <v>2338</v>
      </c>
      <c r="N28" s="14">
        <v>10</v>
      </c>
      <c r="O28" s="239">
        <v>0</v>
      </c>
      <c r="P28" s="77">
        <f t="shared" si="0"/>
        <v>0</v>
      </c>
      <c r="Q28" s="2">
        <f t="shared" si="1"/>
        <v>30</v>
      </c>
      <c r="R28" s="2">
        <v>20</v>
      </c>
      <c r="S28" s="2">
        <v>0</v>
      </c>
      <c r="T28" s="2">
        <f t="shared" si="2"/>
        <v>0</v>
      </c>
    </row>
    <row r="29" spans="1:20" ht="25.5">
      <c r="A29" s="619"/>
      <c r="B29" s="615"/>
      <c r="C29" s="615"/>
      <c r="D29" s="620"/>
      <c r="E29" s="621"/>
      <c r="F29" s="596"/>
      <c r="G29" s="596"/>
      <c r="H29" s="549" t="s">
        <v>178</v>
      </c>
      <c r="I29" s="14" t="s">
        <v>179</v>
      </c>
      <c r="J29" s="14">
        <v>20</v>
      </c>
      <c r="K29" s="14" t="s">
        <v>180</v>
      </c>
      <c r="L29" s="3" t="s">
        <v>2338</v>
      </c>
      <c r="M29" s="3" t="s">
        <v>2338</v>
      </c>
      <c r="N29" s="14">
        <v>3</v>
      </c>
      <c r="O29" s="239">
        <v>0</v>
      </c>
      <c r="P29" s="77">
        <f t="shared" si="0"/>
        <v>0</v>
      </c>
      <c r="Q29" s="2">
        <f t="shared" si="1"/>
        <v>9</v>
      </c>
      <c r="R29" s="2">
        <v>6</v>
      </c>
      <c r="S29" s="2">
        <v>0</v>
      </c>
      <c r="T29" s="2">
        <f t="shared" si="2"/>
        <v>0</v>
      </c>
    </row>
    <row r="30" spans="1:20" ht="25.5">
      <c r="A30" s="619"/>
      <c r="B30" s="615"/>
      <c r="C30" s="615"/>
      <c r="D30" s="620"/>
      <c r="E30" s="596"/>
      <c r="F30" s="596"/>
      <c r="G30" s="596"/>
      <c r="H30" s="549"/>
      <c r="I30" s="14" t="s">
        <v>181</v>
      </c>
      <c r="J30" s="14">
        <v>8</v>
      </c>
      <c r="K30" s="14" t="s">
        <v>182</v>
      </c>
      <c r="L30" s="3" t="s">
        <v>2338</v>
      </c>
      <c r="M30" s="3" t="s">
        <v>2338</v>
      </c>
      <c r="N30" s="14">
        <v>2</v>
      </c>
      <c r="O30" s="239">
        <v>0</v>
      </c>
      <c r="P30" s="77">
        <f t="shared" si="0"/>
        <v>0</v>
      </c>
      <c r="Q30" s="2">
        <f t="shared" si="1"/>
        <v>5</v>
      </c>
      <c r="R30" s="2">
        <v>3</v>
      </c>
      <c r="S30" s="2">
        <v>0</v>
      </c>
      <c r="T30" s="2">
        <f t="shared" si="2"/>
        <v>0</v>
      </c>
    </row>
    <row r="31" spans="1:20" ht="12.75">
      <c r="A31" s="619"/>
      <c r="B31" s="615"/>
      <c r="C31" s="615"/>
      <c r="D31" s="620"/>
      <c r="E31" s="596"/>
      <c r="F31" s="596"/>
      <c r="G31" s="596"/>
      <c r="H31" s="549"/>
      <c r="I31" s="14" t="s">
        <v>183</v>
      </c>
      <c r="J31" s="14">
        <v>8</v>
      </c>
      <c r="K31" s="14" t="s">
        <v>184</v>
      </c>
      <c r="L31" s="3" t="s">
        <v>2338</v>
      </c>
      <c r="M31" s="3" t="s">
        <v>2338</v>
      </c>
      <c r="N31" s="14">
        <v>4</v>
      </c>
      <c r="O31" s="239">
        <v>0</v>
      </c>
      <c r="P31" s="77">
        <f t="shared" si="0"/>
        <v>0</v>
      </c>
      <c r="Q31" s="2">
        <f t="shared" si="1"/>
        <v>10</v>
      </c>
      <c r="R31" s="2">
        <v>6</v>
      </c>
      <c r="S31" s="2">
        <v>0</v>
      </c>
      <c r="T31" s="2">
        <f t="shared" si="2"/>
        <v>0</v>
      </c>
    </row>
    <row r="32" spans="1:20" ht="25.5">
      <c r="A32" s="604"/>
      <c r="B32" s="615"/>
      <c r="C32" s="616"/>
      <c r="D32" s="4"/>
      <c r="E32" s="104"/>
      <c r="F32" s="104"/>
      <c r="G32" s="104"/>
      <c r="H32" s="549"/>
      <c r="I32" s="14" t="s">
        <v>185</v>
      </c>
      <c r="J32" s="14">
        <v>20</v>
      </c>
      <c r="K32" s="14" t="s">
        <v>185</v>
      </c>
      <c r="L32" s="3"/>
      <c r="M32" s="3"/>
      <c r="N32" s="14">
        <v>2</v>
      </c>
      <c r="O32" s="239">
        <v>0</v>
      </c>
      <c r="P32" s="77">
        <f t="shared" si="0"/>
        <v>0</v>
      </c>
      <c r="Q32" s="2">
        <f t="shared" si="1"/>
        <v>5</v>
      </c>
      <c r="R32" s="2">
        <v>3</v>
      </c>
      <c r="S32" s="2">
        <v>0</v>
      </c>
      <c r="T32" s="2">
        <f t="shared" si="2"/>
        <v>0</v>
      </c>
    </row>
    <row r="33" spans="1:20" ht="51">
      <c r="A33" s="549" t="s">
        <v>186</v>
      </c>
      <c r="B33" s="88"/>
      <c r="C33" s="6"/>
      <c r="D33" s="90" t="s">
        <v>187</v>
      </c>
      <c r="E33" s="90" t="s">
        <v>2418</v>
      </c>
      <c r="F33" s="90" t="s">
        <v>2419</v>
      </c>
      <c r="G33" s="91">
        <f>113678/0.9546</f>
        <v>119084.43327047979</v>
      </c>
      <c r="H33" s="549" t="s">
        <v>2810</v>
      </c>
      <c r="I33" s="14" t="s">
        <v>2811</v>
      </c>
      <c r="J33" s="14">
        <v>16000</v>
      </c>
      <c r="K33" s="14" t="s">
        <v>2812</v>
      </c>
      <c r="L33" s="79">
        <v>6617</v>
      </c>
      <c r="M33" s="79">
        <v>6617</v>
      </c>
      <c r="N33" s="14">
        <v>4000</v>
      </c>
      <c r="O33" s="239">
        <v>0</v>
      </c>
      <c r="P33" s="77">
        <f t="shared" si="0"/>
        <v>0</v>
      </c>
      <c r="Q33" s="2">
        <f t="shared" si="1"/>
        <v>8000</v>
      </c>
      <c r="R33" s="2">
        <v>4000</v>
      </c>
      <c r="S33" s="2">
        <v>0</v>
      </c>
      <c r="T33" s="2">
        <f t="shared" si="2"/>
        <v>0</v>
      </c>
    </row>
    <row r="34" spans="1:20" ht="25.5">
      <c r="A34" s="549"/>
      <c r="B34" s="6"/>
      <c r="C34" s="6"/>
      <c r="D34" s="90" t="s">
        <v>2813</v>
      </c>
      <c r="E34" s="90" t="s">
        <v>2814</v>
      </c>
      <c r="F34" s="90" t="s">
        <v>2815</v>
      </c>
      <c r="G34" s="91">
        <f>9268/0.8286</f>
        <v>11185.131547188028</v>
      </c>
      <c r="H34" s="549"/>
      <c r="I34" s="14" t="s">
        <v>2816</v>
      </c>
      <c r="J34" s="14">
        <v>8000</v>
      </c>
      <c r="K34" s="14" t="s">
        <v>2817</v>
      </c>
      <c r="L34" s="79">
        <v>5094</v>
      </c>
      <c r="M34" s="79">
        <v>5094</v>
      </c>
      <c r="N34" s="14">
        <v>2000</v>
      </c>
      <c r="O34" s="239">
        <v>0</v>
      </c>
      <c r="P34" s="77">
        <f t="shared" si="0"/>
        <v>0</v>
      </c>
      <c r="Q34" s="2">
        <f t="shared" si="1"/>
        <v>4000</v>
      </c>
      <c r="R34" s="2">
        <v>2000</v>
      </c>
      <c r="S34" s="2">
        <v>0</v>
      </c>
      <c r="T34" s="2">
        <f t="shared" si="2"/>
        <v>0</v>
      </c>
    </row>
    <row r="35" spans="1:20" ht="25.5">
      <c r="A35" s="549"/>
      <c r="B35" s="617"/>
      <c r="C35" s="6"/>
      <c r="D35" s="90" t="s">
        <v>2818</v>
      </c>
      <c r="E35" s="90" t="s">
        <v>2819</v>
      </c>
      <c r="F35" s="90" t="s">
        <v>2820</v>
      </c>
      <c r="G35" s="91">
        <f>45639/0.9891</f>
        <v>46141.947224749776</v>
      </c>
      <c r="H35" s="549"/>
      <c r="I35" s="14" t="s">
        <v>2821</v>
      </c>
      <c r="J35" s="14">
        <v>20000</v>
      </c>
      <c r="K35" s="14" t="s">
        <v>2822</v>
      </c>
      <c r="L35" s="79">
        <v>25596</v>
      </c>
      <c r="M35" s="79">
        <v>25596</v>
      </c>
      <c r="N35" s="14">
        <v>5000</v>
      </c>
      <c r="O35" s="239">
        <v>0</v>
      </c>
      <c r="P35" s="77">
        <f t="shared" si="0"/>
        <v>0</v>
      </c>
      <c r="Q35" s="2">
        <f t="shared" si="1"/>
        <v>10000</v>
      </c>
      <c r="R35" s="2">
        <v>5000</v>
      </c>
      <c r="S35" s="2">
        <v>0</v>
      </c>
      <c r="T35" s="2">
        <f t="shared" si="2"/>
        <v>0</v>
      </c>
    </row>
    <row r="36" spans="1:20" ht="38.25">
      <c r="A36" s="549"/>
      <c r="B36" s="617"/>
      <c r="C36" s="6"/>
      <c r="D36" s="90" t="s">
        <v>2114</v>
      </c>
      <c r="E36" s="90" t="s">
        <v>2115</v>
      </c>
      <c r="F36" s="90" t="s">
        <v>2116</v>
      </c>
      <c r="G36" s="91">
        <f>36903/1.13</f>
        <v>32657.52212389381</v>
      </c>
      <c r="H36" s="549"/>
      <c r="I36" s="14" t="s">
        <v>2117</v>
      </c>
      <c r="J36" s="14">
        <v>4400</v>
      </c>
      <c r="K36" s="14" t="s">
        <v>2118</v>
      </c>
      <c r="L36" s="90" t="s">
        <v>2338</v>
      </c>
      <c r="M36" s="90" t="s">
        <v>2338</v>
      </c>
      <c r="N36" s="14">
        <v>1100</v>
      </c>
      <c r="O36" s="239">
        <v>0</v>
      </c>
      <c r="P36" s="77">
        <f t="shared" si="0"/>
        <v>0</v>
      </c>
      <c r="Q36" s="2">
        <f t="shared" si="1"/>
        <v>2200</v>
      </c>
      <c r="R36" s="2">
        <v>1100</v>
      </c>
      <c r="S36" s="2">
        <v>0</v>
      </c>
      <c r="T36" s="2">
        <f t="shared" si="2"/>
        <v>0</v>
      </c>
    </row>
    <row r="37" spans="1:20" ht="51">
      <c r="A37" s="549"/>
      <c r="B37" s="617"/>
      <c r="C37" s="6"/>
      <c r="D37" s="90" t="s">
        <v>2119</v>
      </c>
      <c r="E37" s="90" t="s">
        <v>2120</v>
      </c>
      <c r="F37" s="90" t="s">
        <v>2121</v>
      </c>
      <c r="G37" s="91">
        <f>13675/0.8157</f>
        <v>16764.741939438518</v>
      </c>
      <c r="H37" s="549"/>
      <c r="I37" s="14" t="s">
        <v>2122</v>
      </c>
      <c r="J37" s="14">
        <v>1200</v>
      </c>
      <c r="K37" s="14" t="s">
        <v>2123</v>
      </c>
      <c r="L37" s="90" t="s">
        <v>2338</v>
      </c>
      <c r="M37" s="90" t="s">
        <v>2338</v>
      </c>
      <c r="N37" s="14">
        <v>300</v>
      </c>
      <c r="O37" s="239">
        <v>0</v>
      </c>
      <c r="P37" s="77">
        <f t="shared" si="0"/>
        <v>0</v>
      </c>
      <c r="Q37" s="2">
        <f t="shared" si="1"/>
        <v>600</v>
      </c>
      <c r="R37" s="2">
        <v>300</v>
      </c>
      <c r="S37" s="2">
        <v>0</v>
      </c>
      <c r="T37" s="2">
        <f t="shared" si="2"/>
        <v>0</v>
      </c>
    </row>
    <row r="38" spans="1:20" ht="38.25">
      <c r="A38" s="549"/>
      <c r="B38" s="617"/>
      <c r="C38" s="6"/>
      <c r="D38" s="90" t="s">
        <v>2124</v>
      </c>
      <c r="E38" s="90" t="s">
        <v>2125</v>
      </c>
      <c r="F38" s="90" t="s">
        <v>2126</v>
      </c>
      <c r="G38" s="91">
        <f>9632*0.04</f>
        <v>385.28000000000003</v>
      </c>
      <c r="H38" s="549"/>
      <c r="I38" s="14" t="s">
        <v>2127</v>
      </c>
      <c r="J38" s="14">
        <v>4000</v>
      </c>
      <c r="K38" s="14" t="s">
        <v>2128</v>
      </c>
      <c r="L38" s="90" t="s">
        <v>2338</v>
      </c>
      <c r="M38" s="90" t="s">
        <v>2338</v>
      </c>
      <c r="N38" s="14">
        <v>1000</v>
      </c>
      <c r="O38" s="239">
        <v>0</v>
      </c>
      <c r="P38" s="77">
        <f t="shared" si="0"/>
        <v>0</v>
      </c>
      <c r="Q38" s="2">
        <f t="shared" si="1"/>
        <v>2000</v>
      </c>
      <c r="R38" s="2">
        <v>1000</v>
      </c>
      <c r="S38" s="2">
        <v>0</v>
      </c>
      <c r="T38" s="2">
        <f t="shared" si="2"/>
        <v>0</v>
      </c>
    </row>
    <row r="39" spans="1:20" ht="25.5">
      <c r="A39" s="549"/>
      <c r="B39" s="81"/>
      <c r="C39" s="81"/>
      <c r="D39" s="90" t="s">
        <v>2129</v>
      </c>
      <c r="E39" s="90" t="s">
        <v>2130</v>
      </c>
      <c r="F39" s="90" t="s">
        <v>2131</v>
      </c>
      <c r="G39" s="91">
        <f>46989*0.0699</f>
        <v>3284.5311</v>
      </c>
      <c r="H39" s="549"/>
      <c r="I39" s="14" t="s">
        <v>2132</v>
      </c>
      <c r="J39" s="14">
        <v>1000</v>
      </c>
      <c r="K39" s="14" t="s">
        <v>2133</v>
      </c>
      <c r="L39" s="90" t="s">
        <v>2338</v>
      </c>
      <c r="M39" s="90" t="s">
        <v>2338</v>
      </c>
      <c r="N39" s="14">
        <v>250</v>
      </c>
      <c r="O39" s="239">
        <v>0</v>
      </c>
      <c r="P39" s="77">
        <f t="shared" si="0"/>
        <v>0</v>
      </c>
      <c r="Q39" s="2">
        <f t="shared" si="1"/>
        <v>500</v>
      </c>
      <c r="R39" s="2">
        <v>250</v>
      </c>
      <c r="S39" s="2">
        <v>0</v>
      </c>
      <c r="T39" s="2">
        <f t="shared" si="2"/>
        <v>0</v>
      </c>
    </row>
    <row r="40" spans="1:20" ht="25.5">
      <c r="A40" s="549"/>
      <c r="B40" s="81"/>
      <c r="C40" s="81"/>
      <c r="D40" s="90" t="s">
        <v>2134</v>
      </c>
      <c r="E40" s="90" t="s">
        <v>2135</v>
      </c>
      <c r="F40" s="90" t="s">
        <v>2136</v>
      </c>
      <c r="G40" s="91">
        <f>37140*0.0715</f>
        <v>2655.5099999999998</v>
      </c>
      <c r="H40" s="549"/>
      <c r="I40" s="14" t="s">
        <v>2137</v>
      </c>
      <c r="J40" s="14">
        <v>3600</v>
      </c>
      <c r="K40" s="14" t="s">
        <v>2138</v>
      </c>
      <c r="L40" s="79">
        <v>5525</v>
      </c>
      <c r="M40" s="79">
        <v>5525</v>
      </c>
      <c r="N40" s="14">
        <v>900</v>
      </c>
      <c r="O40" s="239">
        <v>0</v>
      </c>
      <c r="P40" s="77">
        <f t="shared" si="0"/>
        <v>0</v>
      </c>
      <c r="Q40" s="2">
        <f t="shared" si="1"/>
        <v>1800</v>
      </c>
      <c r="R40" s="2">
        <v>900</v>
      </c>
      <c r="S40" s="2">
        <v>0</v>
      </c>
      <c r="T40" s="2">
        <f t="shared" si="2"/>
        <v>0</v>
      </c>
    </row>
    <row r="41" spans="1:20" ht="38.25">
      <c r="A41" s="549"/>
      <c r="B41" s="81"/>
      <c r="C41" s="81"/>
      <c r="D41" s="90" t="s">
        <v>2139</v>
      </c>
      <c r="E41" s="90" t="s">
        <v>2140</v>
      </c>
      <c r="F41" s="90" t="s">
        <v>2141</v>
      </c>
      <c r="G41" s="91">
        <f>14224*0.0704</f>
        <v>1001.3696000000001</v>
      </c>
      <c r="H41" s="549"/>
      <c r="I41" s="14" t="s">
        <v>2142</v>
      </c>
      <c r="J41" s="14">
        <v>24500</v>
      </c>
      <c r="K41" s="14" t="s">
        <v>2143</v>
      </c>
      <c r="L41" s="90" t="s">
        <v>2338</v>
      </c>
      <c r="M41" s="90" t="s">
        <v>2338</v>
      </c>
      <c r="N41" s="14">
        <v>6000</v>
      </c>
      <c r="O41" s="239">
        <v>0</v>
      </c>
      <c r="P41" s="77">
        <f t="shared" si="0"/>
        <v>0</v>
      </c>
      <c r="Q41" s="2">
        <f t="shared" si="1"/>
        <v>12250</v>
      </c>
      <c r="R41" s="2">
        <v>6250</v>
      </c>
      <c r="S41" s="2">
        <v>0</v>
      </c>
      <c r="T41" s="2">
        <f t="shared" si="2"/>
        <v>0</v>
      </c>
    </row>
    <row r="42" spans="1:20" ht="25.5">
      <c r="A42" s="549"/>
      <c r="B42" s="81"/>
      <c r="C42" s="81"/>
      <c r="D42" s="90" t="s">
        <v>2144</v>
      </c>
      <c r="E42" s="90" t="s">
        <v>2145</v>
      </c>
      <c r="F42" s="90" t="s">
        <v>2146</v>
      </c>
      <c r="G42" s="91">
        <f>116344*0.063</f>
        <v>7329.6720000000005</v>
      </c>
      <c r="H42" s="612" t="s">
        <v>2147</v>
      </c>
      <c r="I42" s="14" t="s">
        <v>2148</v>
      </c>
      <c r="J42" s="14">
        <v>4800</v>
      </c>
      <c r="K42" s="14" t="s">
        <v>2148</v>
      </c>
      <c r="L42" s="90"/>
      <c r="M42" s="90"/>
      <c r="N42" s="14">
        <v>1200</v>
      </c>
      <c r="O42" s="239">
        <v>0</v>
      </c>
      <c r="P42" s="77">
        <f t="shared" si="0"/>
        <v>0</v>
      </c>
      <c r="Q42" s="2">
        <f t="shared" si="1"/>
        <v>2400</v>
      </c>
      <c r="R42" s="2">
        <v>1200</v>
      </c>
      <c r="S42" s="2">
        <v>0</v>
      </c>
      <c r="T42" s="2">
        <f t="shared" si="2"/>
        <v>0</v>
      </c>
    </row>
    <row r="43" spans="1:20" ht="25.5">
      <c r="A43" s="549"/>
      <c r="B43" s="81"/>
      <c r="C43" s="81"/>
      <c r="D43" s="90" t="s">
        <v>2149</v>
      </c>
      <c r="E43" s="90" t="s">
        <v>2150</v>
      </c>
      <c r="F43" s="90" t="s">
        <v>2151</v>
      </c>
      <c r="G43" s="91">
        <f>9632*0.04</f>
        <v>385.28000000000003</v>
      </c>
      <c r="H43" s="549"/>
      <c r="I43" s="14" t="s">
        <v>2152</v>
      </c>
      <c r="J43" s="14">
        <v>1</v>
      </c>
      <c r="K43" s="14" t="s">
        <v>2153</v>
      </c>
      <c r="L43" s="78"/>
      <c r="M43" s="78"/>
      <c r="N43" s="14">
        <v>0</v>
      </c>
      <c r="O43" s="239">
        <v>0</v>
      </c>
      <c r="P43" s="77" t="e">
        <f t="shared" si="0"/>
        <v>#DIV/0!</v>
      </c>
      <c r="Q43" s="2">
        <f t="shared" si="1"/>
        <v>0</v>
      </c>
      <c r="R43" s="2">
        <v>0</v>
      </c>
      <c r="S43" s="2">
        <v>0</v>
      </c>
      <c r="T43" s="2" t="e">
        <f t="shared" si="2"/>
        <v>#DIV/0!</v>
      </c>
    </row>
    <row r="44" spans="1:20" ht="38.25">
      <c r="A44" s="549"/>
      <c r="B44" s="81"/>
      <c r="C44" s="81"/>
      <c r="D44" s="90" t="s">
        <v>2154</v>
      </c>
      <c r="E44" s="90" t="s">
        <v>2155</v>
      </c>
      <c r="F44" s="90" t="s">
        <v>2156</v>
      </c>
      <c r="G44" s="91">
        <f>46989*0.0478</f>
        <v>2246.0742</v>
      </c>
      <c r="H44" s="549"/>
      <c r="I44" s="14" t="s">
        <v>2157</v>
      </c>
      <c r="J44" s="14">
        <v>20</v>
      </c>
      <c r="K44" s="14" t="s">
        <v>2158</v>
      </c>
      <c r="L44" s="78"/>
      <c r="M44" s="78"/>
      <c r="N44" s="14">
        <v>5</v>
      </c>
      <c r="O44" s="239">
        <v>0</v>
      </c>
      <c r="P44" s="77">
        <f t="shared" si="0"/>
        <v>0</v>
      </c>
      <c r="Q44" s="2">
        <f t="shared" si="1"/>
        <v>10</v>
      </c>
      <c r="R44" s="2">
        <v>5</v>
      </c>
      <c r="S44" s="2">
        <v>0</v>
      </c>
      <c r="T44" s="2">
        <f t="shared" si="2"/>
        <v>0</v>
      </c>
    </row>
    <row r="45" spans="1:20" ht="63.75">
      <c r="A45" s="549"/>
      <c r="B45" s="81"/>
      <c r="C45" s="81"/>
      <c r="D45" s="90" t="s">
        <v>2159</v>
      </c>
      <c r="E45" s="90" t="s">
        <v>2160</v>
      </c>
      <c r="F45" s="90" t="s">
        <v>2161</v>
      </c>
      <c r="G45" s="91">
        <f>37140*0.0401</f>
        <v>1489.3139999999999</v>
      </c>
      <c r="H45" s="549"/>
      <c r="I45" s="14" t="s">
        <v>2162</v>
      </c>
      <c r="J45" s="14">
        <v>2000</v>
      </c>
      <c r="K45" s="14" t="s">
        <v>2163</v>
      </c>
      <c r="L45" s="78"/>
      <c r="M45" s="78"/>
      <c r="N45" s="14">
        <v>500</v>
      </c>
      <c r="O45" s="239">
        <v>0</v>
      </c>
      <c r="P45" s="77">
        <f t="shared" si="0"/>
        <v>0</v>
      </c>
      <c r="Q45" s="2">
        <f t="shared" si="1"/>
        <v>1000</v>
      </c>
      <c r="R45" s="2">
        <v>500</v>
      </c>
      <c r="S45" s="2">
        <v>0</v>
      </c>
      <c r="T45" s="2">
        <f t="shared" si="2"/>
        <v>0</v>
      </c>
    </row>
    <row r="46" spans="1:20" ht="51">
      <c r="A46" s="549"/>
      <c r="B46" s="81"/>
      <c r="C46" s="81"/>
      <c r="D46" s="90" t="s">
        <v>2164</v>
      </c>
      <c r="E46" s="90" t="s">
        <v>2165</v>
      </c>
      <c r="F46" s="90" t="s">
        <v>2166</v>
      </c>
      <c r="G46" s="91">
        <f>14224*0.0241</f>
        <v>342.7984</v>
      </c>
      <c r="H46" s="612" t="s">
        <v>2167</v>
      </c>
      <c r="I46" s="14" t="s">
        <v>2168</v>
      </c>
      <c r="J46" s="14">
        <v>36000000</v>
      </c>
      <c r="K46" s="14" t="s">
        <v>2169</v>
      </c>
      <c r="L46" s="79">
        <v>29904549</v>
      </c>
      <c r="M46" s="79">
        <v>29904549</v>
      </c>
      <c r="N46" s="14">
        <v>9000000</v>
      </c>
      <c r="O46" s="239">
        <v>0</v>
      </c>
      <c r="P46" s="77">
        <f t="shared" si="0"/>
        <v>0</v>
      </c>
      <c r="Q46" s="2">
        <f t="shared" si="1"/>
        <v>18000000</v>
      </c>
      <c r="R46" s="2">
        <v>9000000</v>
      </c>
      <c r="S46" s="2">
        <v>0</v>
      </c>
      <c r="T46" s="2">
        <f t="shared" si="2"/>
        <v>0</v>
      </c>
    </row>
    <row r="47" spans="1:20" ht="127.5">
      <c r="A47" s="549"/>
      <c r="B47" s="81"/>
      <c r="C47" s="81"/>
      <c r="D47" s="90" t="s">
        <v>2170</v>
      </c>
      <c r="E47" s="90" t="s">
        <v>2171</v>
      </c>
      <c r="F47" s="90" t="s">
        <v>2172</v>
      </c>
      <c r="G47" s="91">
        <f>116344*0.0401</f>
        <v>4665.394399999999</v>
      </c>
      <c r="H47" s="612"/>
      <c r="I47" s="14" t="s">
        <v>2173</v>
      </c>
      <c r="J47" s="14">
        <v>16000</v>
      </c>
      <c r="K47" s="14" t="s">
        <v>2174</v>
      </c>
      <c r="L47" s="79">
        <v>17054</v>
      </c>
      <c r="M47" s="79">
        <v>17054</v>
      </c>
      <c r="N47" s="14">
        <v>2500</v>
      </c>
      <c r="O47" s="239">
        <v>0</v>
      </c>
      <c r="P47" s="77">
        <f t="shared" si="0"/>
        <v>0</v>
      </c>
      <c r="Q47" s="2">
        <f t="shared" si="1"/>
        <v>5000</v>
      </c>
      <c r="R47" s="2">
        <v>2500</v>
      </c>
      <c r="S47" s="2">
        <v>0</v>
      </c>
      <c r="T47" s="2">
        <f t="shared" si="2"/>
        <v>0</v>
      </c>
    </row>
    <row r="48" spans="1:20" ht="38.25">
      <c r="A48" s="549"/>
      <c r="B48" s="81"/>
      <c r="C48" s="81"/>
      <c r="D48" s="90" t="s">
        <v>2175</v>
      </c>
      <c r="E48" s="90" t="s">
        <v>2176</v>
      </c>
      <c r="F48" s="90" t="s">
        <v>1683</v>
      </c>
      <c r="G48" s="90" t="s">
        <v>1683</v>
      </c>
      <c r="H48" s="612"/>
      <c r="I48" s="14" t="s">
        <v>2177</v>
      </c>
      <c r="J48" s="14">
        <v>20000</v>
      </c>
      <c r="K48" s="14" t="s">
        <v>2178</v>
      </c>
      <c r="L48" s="78"/>
      <c r="M48" s="78"/>
      <c r="N48" s="14">
        <v>4000</v>
      </c>
      <c r="O48" s="239">
        <v>0</v>
      </c>
      <c r="P48" s="77">
        <f t="shared" si="0"/>
        <v>0</v>
      </c>
      <c r="Q48" s="2">
        <f t="shared" si="1"/>
        <v>8000</v>
      </c>
      <c r="R48" s="2">
        <v>4000</v>
      </c>
      <c r="S48" s="2">
        <v>0</v>
      </c>
      <c r="T48" s="2">
        <f t="shared" si="2"/>
        <v>0</v>
      </c>
    </row>
    <row r="49" spans="1:20" ht="140.25">
      <c r="A49" s="549"/>
      <c r="B49" s="81"/>
      <c r="C49" s="81"/>
      <c r="D49" s="81"/>
      <c r="E49" s="81"/>
      <c r="F49" s="81"/>
      <c r="G49" s="81"/>
      <c r="H49" s="612"/>
      <c r="I49" s="14" t="s">
        <v>2179</v>
      </c>
      <c r="J49" s="14">
        <f>3200*4</f>
        <v>12800</v>
      </c>
      <c r="K49" s="14" t="s">
        <v>2180</v>
      </c>
      <c r="L49" s="79">
        <v>10291</v>
      </c>
      <c r="M49" s="79">
        <v>10291</v>
      </c>
      <c r="N49" s="14">
        <v>3000</v>
      </c>
      <c r="O49" s="239">
        <v>0</v>
      </c>
      <c r="P49" s="77">
        <f t="shared" si="0"/>
        <v>0</v>
      </c>
      <c r="Q49" s="2">
        <f t="shared" si="1"/>
        <v>6000</v>
      </c>
      <c r="R49" s="2">
        <v>3000</v>
      </c>
      <c r="S49" s="2">
        <v>0</v>
      </c>
      <c r="T49" s="2">
        <f t="shared" si="2"/>
        <v>0</v>
      </c>
    </row>
    <row r="50" spans="1:20" ht="89.25">
      <c r="A50" s="549"/>
      <c r="B50" s="81"/>
      <c r="C50" s="81"/>
      <c r="D50" s="81"/>
      <c r="E50" s="81"/>
      <c r="F50" s="81"/>
      <c r="G50" s="81"/>
      <c r="H50" s="612"/>
      <c r="I50" s="14" t="s">
        <v>2181</v>
      </c>
      <c r="J50" s="14">
        <f>90000*4</f>
        <v>360000</v>
      </c>
      <c r="K50" s="14" t="s">
        <v>2182</v>
      </c>
      <c r="L50" s="79">
        <v>274237</v>
      </c>
      <c r="M50" s="79">
        <v>274267</v>
      </c>
      <c r="N50" s="14">
        <v>90000</v>
      </c>
      <c r="O50" s="239">
        <v>0</v>
      </c>
      <c r="P50" s="77">
        <f t="shared" si="0"/>
        <v>0</v>
      </c>
      <c r="Q50" s="2">
        <f t="shared" si="1"/>
        <v>180000</v>
      </c>
      <c r="R50" s="2">
        <v>90000</v>
      </c>
      <c r="S50" s="2">
        <v>0</v>
      </c>
      <c r="T50" s="2">
        <f t="shared" si="2"/>
        <v>0</v>
      </c>
    </row>
    <row r="51" spans="1:20" ht="38.25">
      <c r="A51" s="549"/>
      <c r="B51" s="81"/>
      <c r="C51" s="81"/>
      <c r="D51" s="81"/>
      <c r="E51" s="81"/>
      <c r="F51" s="81"/>
      <c r="G51" s="81"/>
      <c r="H51" s="612" t="s">
        <v>2183</v>
      </c>
      <c r="I51" s="14" t="s">
        <v>2157</v>
      </c>
      <c r="J51" s="14">
        <v>115</v>
      </c>
      <c r="K51" s="14" t="s">
        <v>2184</v>
      </c>
      <c r="L51" s="79" t="s">
        <v>2338</v>
      </c>
      <c r="M51" s="79" t="s">
        <v>2338</v>
      </c>
      <c r="N51" s="14">
        <v>0</v>
      </c>
      <c r="O51" s="239">
        <v>0</v>
      </c>
      <c r="P51" s="77" t="e">
        <f>+IF(O51&gt;N51,1,O51/N51)</f>
        <v>#DIV/0!</v>
      </c>
      <c r="Q51" s="2">
        <f>+N51+R51</f>
        <v>30</v>
      </c>
      <c r="R51" s="2">
        <v>30</v>
      </c>
      <c r="S51" s="2">
        <v>0</v>
      </c>
      <c r="T51" s="2">
        <f>+IF(S51&gt;R51,1,S51/R51)</f>
        <v>0</v>
      </c>
    </row>
    <row r="52" spans="1:20" ht="63.75">
      <c r="A52" s="549"/>
      <c r="B52" s="81"/>
      <c r="C52" s="81"/>
      <c r="D52" s="81"/>
      <c r="E52" s="81"/>
      <c r="F52" s="81"/>
      <c r="G52" s="81"/>
      <c r="H52" s="612"/>
      <c r="I52" s="14" t="s">
        <v>2185</v>
      </c>
      <c r="J52" s="14">
        <v>1</v>
      </c>
      <c r="K52" s="14" t="s">
        <v>2185</v>
      </c>
      <c r="L52" s="79" t="s">
        <v>2338</v>
      </c>
      <c r="M52" s="79" t="s">
        <v>2338</v>
      </c>
      <c r="N52" s="14">
        <v>0</v>
      </c>
      <c r="O52" s="239">
        <v>0</v>
      </c>
      <c r="P52" s="77" t="e">
        <f>+IF(O52&gt;N52,1,O52/N52)</f>
        <v>#DIV/0!</v>
      </c>
      <c r="Q52" s="2">
        <f>+N52+R52</f>
        <v>1</v>
      </c>
      <c r="R52" s="2">
        <v>1</v>
      </c>
      <c r="S52" s="2">
        <v>0</v>
      </c>
      <c r="T52" s="2">
        <f>+IF(S52&gt;R52,1,S52/R52)</f>
        <v>0</v>
      </c>
    </row>
    <row r="53" spans="1:20" ht="63.75">
      <c r="A53" s="549"/>
      <c r="B53" s="81"/>
      <c r="C53" s="81"/>
      <c r="D53" s="81"/>
      <c r="E53" s="81"/>
      <c r="F53" s="81"/>
      <c r="G53" s="81"/>
      <c r="H53" s="612"/>
      <c r="I53" s="14" t="s">
        <v>2186</v>
      </c>
      <c r="J53" s="14">
        <v>200</v>
      </c>
      <c r="K53" s="14" t="s">
        <v>2163</v>
      </c>
      <c r="L53" s="79" t="s">
        <v>2338</v>
      </c>
      <c r="M53" s="79" t="s">
        <v>2338</v>
      </c>
      <c r="N53" s="14">
        <v>20</v>
      </c>
      <c r="O53" s="239">
        <v>0</v>
      </c>
      <c r="P53" s="77">
        <f>+IF(O53&gt;N53,1,O53/N53)</f>
        <v>0</v>
      </c>
      <c r="Q53" s="2">
        <f>+N53+R53</f>
        <v>80</v>
      </c>
      <c r="R53" s="2">
        <v>60</v>
      </c>
      <c r="S53" s="2">
        <v>0</v>
      </c>
      <c r="T53" s="2">
        <f>+IF(S53&gt;R53,1,S53/R53)</f>
        <v>0</v>
      </c>
    </row>
    <row r="54" spans="1:20" ht="51">
      <c r="A54" s="549"/>
      <c r="B54" s="81"/>
      <c r="C54" s="81"/>
      <c r="D54" s="81"/>
      <c r="E54" s="81"/>
      <c r="F54" s="81"/>
      <c r="G54" s="81"/>
      <c r="H54" s="612"/>
      <c r="I54" s="14" t="s">
        <v>2187</v>
      </c>
      <c r="J54" s="14">
        <v>20</v>
      </c>
      <c r="K54" s="14" t="s">
        <v>2188</v>
      </c>
      <c r="L54" s="79" t="s">
        <v>2338</v>
      </c>
      <c r="M54" s="79" t="s">
        <v>2338</v>
      </c>
      <c r="N54" s="14">
        <v>0</v>
      </c>
      <c r="O54" s="239">
        <v>0</v>
      </c>
      <c r="P54" s="77" t="e">
        <f>+IF(O54&gt;N54,1,O54/N54)</f>
        <v>#DIV/0!</v>
      </c>
      <c r="Q54" s="2">
        <f>+N54+R54</f>
        <v>5</v>
      </c>
      <c r="R54" s="2">
        <v>5</v>
      </c>
      <c r="S54" s="2">
        <v>0</v>
      </c>
      <c r="T54" s="2">
        <f>+IF(S54&gt;R54,1,S54/R54)</f>
        <v>0</v>
      </c>
    </row>
    <row r="55" spans="1:20" ht="51">
      <c r="A55" s="549"/>
      <c r="B55" s="81"/>
      <c r="C55" s="81"/>
      <c r="D55" s="81"/>
      <c r="E55" s="81"/>
      <c r="F55" s="81"/>
      <c r="G55" s="81"/>
      <c r="H55" s="612"/>
      <c r="I55" s="14" t="s">
        <v>1685</v>
      </c>
      <c r="J55" s="14">
        <v>1</v>
      </c>
      <c r="K55" s="14" t="s">
        <v>2189</v>
      </c>
      <c r="L55" s="79" t="s">
        <v>2338</v>
      </c>
      <c r="M55" s="79" t="s">
        <v>2338</v>
      </c>
      <c r="N55" s="14">
        <v>0</v>
      </c>
      <c r="O55" s="239">
        <v>0</v>
      </c>
      <c r="P55" s="77" t="e">
        <f>+IF(O55&gt;N55,1,O55/N55)</f>
        <v>#DIV/0!</v>
      </c>
      <c r="Q55" s="2">
        <f>+N55+R55</f>
        <v>1</v>
      </c>
      <c r="R55" s="2">
        <v>1</v>
      </c>
      <c r="S55" s="2">
        <v>0</v>
      </c>
      <c r="T55" s="2">
        <f>+IF(S55&gt;R55,1,S55/R55)</f>
        <v>0</v>
      </c>
    </row>
    <row r="56" spans="1:20" ht="51">
      <c r="A56" s="549"/>
      <c r="B56" s="81"/>
      <c r="C56" s="81"/>
      <c r="D56" s="81"/>
      <c r="E56" s="81"/>
      <c r="F56" s="81"/>
      <c r="G56" s="81"/>
      <c r="H56" s="612" t="s">
        <v>2190</v>
      </c>
      <c r="I56" s="14" t="s">
        <v>2191</v>
      </c>
      <c r="J56" s="14">
        <v>400</v>
      </c>
      <c r="K56" s="14" t="s">
        <v>2192</v>
      </c>
      <c r="L56" s="79" t="s">
        <v>2338</v>
      </c>
      <c r="M56" s="79" t="s">
        <v>2338</v>
      </c>
      <c r="N56" s="14">
        <v>0</v>
      </c>
      <c r="O56" s="239">
        <v>0</v>
      </c>
      <c r="P56" s="77" t="e">
        <f aca="true" t="shared" si="3" ref="P56:P90">+IF(O56&gt;N56,1,O56/N56)</f>
        <v>#DIV/0!</v>
      </c>
      <c r="Q56" s="2">
        <f aca="true" t="shared" si="4" ref="Q56:Q90">+N56+R56</f>
        <v>100</v>
      </c>
      <c r="R56" s="2">
        <v>100</v>
      </c>
      <c r="S56" s="2">
        <v>0</v>
      </c>
      <c r="T56" s="2">
        <f aca="true" t="shared" si="5" ref="T56:T90">+IF(S56&gt;R56,1,S56/R56)</f>
        <v>0</v>
      </c>
    </row>
    <row r="57" spans="1:20" ht="25.5">
      <c r="A57" s="549"/>
      <c r="B57" s="81"/>
      <c r="C57" s="81"/>
      <c r="D57" s="81"/>
      <c r="E57" s="81"/>
      <c r="F57" s="81"/>
      <c r="G57" s="81"/>
      <c r="H57" s="612"/>
      <c r="I57" s="14" t="s">
        <v>2193</v>
      </c>
      <c r="J57" s="14">
        <v>3</v>
      </c>
      <c r="K57" s="14" t="s">
        <v>2194</v>
      </c>
      <c r="L57" s="79" t="s">
        <v>2338</v>
      </c>
      <c r="M57" s="79" t="s">
        <v>2338</v>
      </c>
      <c r="N57" s="14">
        <v>0</v>
      </c>
      <c r="O57" s="239">
        <v>0</v>
      </c>
      <c r="P57" s="77" t="e">
        <f t="shared" si="3"/>
        <v>#DIV/0!</v>
      </c>
      <c r="Q57" s="2">
        <f t="shared" si="4"/>
        <v>1</v>
      </c>
      <c r="R57" s="2">
        <v>1</v>
      </c>
      <c r="S57" s="2">
        <v>0</v>
      </c>
      <c r="T57" s="2">
        <f t="shared" si="5"/>
        <v>0</v>
      </c>
    </row>
    <row r="58" spans="1:20" ht="25.5">
      <c r="A58" s="549"/>
      <c r="B58" s="81"/>
      <c r="C58" s="81"/>
      <c r="D58" s="81"/>
      <c r="E58" s="81"/>
      <c r="F58" s="81"/>
      <c r="G58" s="81"/>
      <c r="H58" s="612"/>
      <c r="I58" s="14" t="s">
        <v>2195</v>
      </c>
      <c r="J58" s="14">
        <v>40</v>
      </c>
      <c r="K58" s="14" t="s">
        <v>2196</v>
      </c>
      <c r="L58" s="79" t="s">
        <v>2338</v>
      </c>
      <c r="M58" s="79" t="s">
        <v>2338</v>
      </c>
      <c r="N58" s="14">
        <v>10</v>
      </c>
      <c r="O58" s="239">
        <v>0</v>
      </c>
      <c r="P58" s="77">
        <f t="shared" si="3"/>
        <v>0</v>
      </c>
      <c r="Q58" s="2">
        <f t="shared" si="4"/>
        <v>20</v>
      </c>
      <c r="R58" s="2">
        <v>10</v>
      </c>
      <c r="S58" s="2">
        <v>0</v>
      </c>
      <c r="T58" s="2">
        <f t="shared" si="5"/>
        <v>0</v>
      </c>
    </row>
    <row r="59" spans="1:20" ht="51">
      <c r="A59" s="549"/>
      <c r="B59" s="81"/>
      <c r="C59" s="81"/>
      <c r="D59" s="81"/>
      <c r="E59" s="81"/>
      <c r="F59" s="81"/>
      <c r="G59" s="81"/>
      <c r="H59" s="612" t="s">
        <v>2197</v>
      </c>
      <c r="I59" s="14" t="s">
        <v>2198</v>
      </c>
      <c r="J59" s="14">
        <v>2948</v>
      </c>
      <c r="K59" s="14" t="s">
        <v>2199</v>
      </c>
      <c r="L59" s="79">
        <v>2948</v>
      </c>
      <c r="M59" s="79"/>
      <c r="N59" s="14">
        <v>2948</v>
      </c>
      <c r="O59" s="239">
        <v>0</v>
      </c>
      <c r="P59" s="77">
        <f t="shared" si="3"/>
        <v>0</v>
      </c>
      <c r="Q59" s="2">
        <f t="shared" si="4"/>
        <v>2948</v>
      </c>
      <c r="R59" s="2">
        <v>0</v>
      </c>
      <c r="S59" s="2">
        <v>0</v>
      </c>
      <c r="T59" s="2" t="e">
        <f t="shared" si="5"/>
        <v>#DIV/0!</v>
      </c>
    </row>
    <row r="60" spans="1:20" ht="38.25">
      <c r="A60" s="549"/>
      <c r="B60" s="81"/>
      <c r="C60" s="81"/>
      <c r="D60" s="81"/>
      <c r="E60" s="81"/>
      <c r="F60" s="81"/>
      <c r="G60" s="81"/>
      <c r="H60" s="612"/>
      <c r="I60" s="14" t="s">
        <v>2200</v>
      </c>
      <c r="J60" s="14">
        <v>39</v>
      </c>
      <c r="K60" s="14" t="s">
        <v>2201</v>
      </c>
      <c r="L60" s="79" t="s">
        <v>2338</v>
      </c>
      <c r="M60" s="79" t="s">
        <v>2338</v>
      </c>
      <c r="N60" s="14">
        <v>39</v>
      </c>
      <c r="O60" s="239">
        <v>0</v>
      </c>
      <c r="P60" s="77">
        <f t="shared" si="3"/>
        <v>0</v>
      </c>
      <c r="Q60" s="2">
        <f t="shared" si="4"/>
        <v>39</v>
      </c>
      <c r="R60" s="2">
        <v>0</v>
      </c>
      <c r="S60" s="2">
        <v>0</v>
      </c>
      <c r="T60" s="2" t="e">
        <f t="shared" si="5"/>
        <v>#DIV/0!</v>
      </c>
    </row>
    <row r="61" spans="1:20" ht="76.5">
      <c r="A61" s="612" t="s">
        <v>2202</v>
      </c>
      <c r="B61" s="81"/>
      <c r="C61" s="81"/>
      <c r="D61" s="90" t="s">
        <v>2203</v>
      </c>
      <c r="E61" s="90" t="s">
        <v>2204</v>
      </c>
      <c r="F61" s="81"/>
      <c r="G61" s="81"/>
      <c r="H61" s="612" t="s">
        <v>2205</v>
      </c>
      <c r="I61" s="14" t="s">
        <v>2206</v>
      </c>
      <c r="J61" s="14">
        <v>100</v>
      </c>
      <c r="K61" s="14" t="s">
        <v>2207</v>
      </c>
      <c r="L61" s="78">
        <v>24</v>
      </c>
      <c r="M61" s="78">
        <v>24</v>
      </c>
      <c r="N61" s="14">
        <v>25</v>
      </c>
      <c r="O61" s="239">
        <v>0</v>
      </c>
      <c r="P61" s="77">
        <f t="shared" si="3"/>
        <v>0</v>
      </c>
      <c r="Q61" s="2">
        <f t="shared" si="4"/>
        <v>50</v>
      </c>
      <c r="R61" s="2">
        <v>25</v>
      </c>
      <c r="S61" s="2">
        <v>0</v>
      </c>
      <c r="T61" s="2">
        <f t="shared" si="5"/>
        <v>0</v>
      </c>
    </row>
    <row r="62" spans="1:20" ht="38.25">
      <c r="A62" s="612"/>
      <c r="B62" s="81"/>
      <c r="C62" s="81"/>
      <c r="D62" s="90" t="s">
        <v>2208</v>
      </c>
      <c r="E62" s="90" t="s">
        <v>2209</v>
      </c>
      <c r="F62" s="81"/>
      <c r="G62" s="81"/>
      <c r="H62" s="612"/>
      <c r="I62" s="14" t="s">
        <v>2210</v>
      </c>
      <c r="J62" s="14">
        <v>50</v>
      </c>
      <c r="K62" s="14" t="s">
        <v>2210</v>
      </c>
      <c r="L62" s="78">
        <v>20</v>
      </c>
      <c r="M62" s="78">
        <v>20</v>
      </c>
      <c r="N62" s="14">
        <v>10</v>
      </c>
      <c r="O62" s="239">
        <v>0</v>
      </c>
      <c r="P62" s="77">
        <f t="shared" si="3"/>
        <v>0</v>
      </c>
      <c r="Q62" s="2">
        <f t="shared" si="4"/>
        <v>20</v>
      </c>
      <c r="R62" s="2">
        <v>10</v>
      </c>
      <c r="S62" s="2">
        <v>0</v>
      </c>
      <c r="T62" s="2">
        <f t="shared" si="5"/>
        <v>0</v>
      </c>
    </row>
    <row r="63" spans="1:20" ht="25.5">
      <c r="A63" s="612"/>
      <c r="B63" s="81"/>
      <c r="C63" s="81"/>
      <c r="D63" s="81"/>
      <c r="E63" s="81"/>
      <c r="F63" s="81"/>
      <c r="G63" s="81"/>
      <c r="H63" s="612"/>
      <c r="I63" s="14" t="s">
        <v>2211</v>
      </c>
      <c r="J63" s="14">
        <v>32</v>
      </c>
      <c r="K63" s="14" t="s">
        <v>2211</v>
      </c>
      <c r="L63" s="78">
        <v>90</v>
      </c>
      <c r="M63" s="78">
        <v>90</v>
      </c>
      <c r="N63" s="14">
        <v>8</v>
      </c>
      <c r="O63" s="239">
        <v>0</v>
      </c>
      <c r="P63" s="77">
        <f t="shared" si="3"/>
        <v>0</v>
      </c>
      <c r="Q63" s="2">
        <f t="shared" si="4"/>
        <v>16</v>
      </c>
      <c r="R63" s="2">
        <v>8</v>
      </c>
      <c r="S63" s="2">
        <v>0</v>
      </c>
      <c r="T63" s="2">
        <f t="shared" si="5"/>
        <v>0</v>
      </c>
    </row>
    <row r="64" spans="1:20" ht="25.5">
      <c r="A64" s="612"/>
      <c r="B64" s="81"/>
      <c r="C64" s="81"/>
      <c r="D64" s="81"/>
      <c r="E64" s="81"/>
      <c r="F64" s="81"/>
      <c r="G64" s="81"/>
      <c r="H64" s="612"/>
      <c r="I64" s="14" t="s">
        <v>2212</v>
      </c>
      <c r="J64" s="14">
        <v>1</v>
      </c>
      <c r="K64" s="14" t="s">
        <v>2213</v>
      </c>
      <c r="L64" s="79" t="s">
        <v>2338</v>
      </c>
      <c r="M64" s="79" t="s">
        <v>2338</v>
      </c>
      <c r="N64" s="14">
        <v>1</v>
      </c>
      <c r="O64" s="239">
        <v>0</v>
      </c>
      <c r="P64" s="77">
        <f t="shared" si="3"/>
        <v>0</v>
      </c>
      <c r="Q64" s="2">
        <f t="shared" si="4"/>
        <v>1</v>
      </c>
      <c r="R64" s="2">
        <v>0</v>
      </c>
      <c r="S64" s="2">
        <v>0</v>
      </c>
      <c r="T64" s="2" t="e">
        <f t="shared" si="5"/>
        <v>#DIV/0!</v>
      </c>
    </row>
    <row r="65" spans="1:20" ht="25.5">
      <c r="A65" s="612"/>
      <c r="B65" s="81"/>
      <c r="C65" s="81"/>
      <c r="D65" s="81"/>
      <c r="E65" s="81"/>
      <c r="F65" s="81"/>
      <c r="G65" s="81"/>
      <c r="H65" s="612"/>
      <c r="I65" s="14" t="s">
        <v>2214</v>
      </c>
      <c r="J65" s="14">
        <v>100</v>
      </c>
      <c r="K65" s="14" t="s">
        <v>2215</v>
      </c>
      <c r="L65" s="78"/>
      <c r="M65" s="78"/>
      <c r="N65" s="14">
        <v>10</v>
      </c>
      <c r="O65" s="239">
        <v>0</v>
      </c>
      <c r="P65" s="77">
        <f t="shared" si="3"/>
        <v>0</v>
      </c>
      <c r="Q65" s="2">
        <f t="shared" si="4"/>
        <v>40</v>
      </c>
      <c r="R65" s="2">
        <v>30</v>
      </c>
      <c r="S65" s="2">
        <v>0</v>
      </c>
      <c r="T65" s="2">
        <f t="shared" si="5"/>
        <v>0</v>
      </c>
    </row>
    <row r="66" spans="1:20" ht="25.5">
      <c r="A66" s="612"/>
      <c r="B66" s="81"/>
      <c r="C66" s="81"/>
      <c r="D66" s="81"/>
      <c r="E66" s="81"/>
      <c r="F66" s="81"/>
      <c r="G66" s="81"/>
      <c r="H66" s="612"/>
      <c r="I66" s="14" t="s">
        <v>2216</v>
      </c>
      <c r="J66" s="14">
        <v>4</v>
      </c>
      <c r="K66" s="14" t="s">
        <v>2217</v>
      </c>
      <c r="L66" s="78">
        <v>1</v>
      </c>
      <c r="M66" s="78">
        <v>1</v>
      </c>
      <c r="N66" s="14">
        <v>0</v>
      </c>
      <c r="O66" s="239">
        <v>0</v>
      </c>
      <c r="P66" s="77" t="e">
        <f t="shared" si="3"/>
        <v>#DIV/0!</v>
      </c>
      <c r="Q66" s="2">
        <f t="shared" si="4"/>
        <v>5</v>
      </c>
      <c r="R66" s="2">
        <v>5</v>
      </c>
      <c r="S66" s="2">
        <v>0</v>
      </c>
      <c r="T66" s="2">
        <f t="shared" si="5"/>
        <v>0</v>
      </c>
    </row>
    <row r="67" spans="1:20" ht="12.75">
      <c r="A67" s="612"/>
      <c r="B67" s="81"/>
      <c r="C67" s="81"/>
      <c r="D67" s="81"/>
      <c r="E67" s="81"/>
      <c r="F67" s="81"/>
      <c r="G67" s="81"/>
      <c r="H67" s="612" t="s">
        <v>2218</v>
      </c>
      <c r="I67" s="14" t="s">
        <v>2219</v>
      </c>
      <c r="J67" s="14">
        <v>4000</v>
      </c>
      <c r="K67" s="14" t="s">
        <v>2219</v>
      </c>
      <c r="L67" s="78"/>
      <c r="M67" s="78"/>
      <c r="N67" s="14">
        <v>500</v>
      </c>
      <c r="O67" s="239">
        <v>0</v>
      </c>
      <c r="P67" s="77">
        <f t="shared" si="3"/>
        <v>0</v>
      </c>
      <c r="Q67" s="2">
        <f t="shared" si="4"/>
        <v>1750</v>
      </c>
      <c r="R67" s="2">
        <v>1250</v>
      </c>
      <c r="S67" s="2">
        <v>0</v>
      </c>
      <c r="T67" s="2">
        <f t="shared" si="5"/>
        <v>0</v>
      </c>
    </row>
    <row r="68" spans="1:20" ht="12.75">
      <c r="A68" s="612"/>
      <c r="B68" s="81"/>
      <c r="C68" s="81"/>
      <c r="D68" s="81"/>
      <c r="E68" s="81"/>
      <c r="F68" s="81"/>
      <c r="G68" s="81"/>
      <c r="H68" s="612"/>
      <c r="I68" s="14" t="s">
        <v>2220</v>
      </c>
      <c r="J68" s="14">
        <v>800</v>
      </c>
      <c r="K68" s="14" t="s">
        <v>2220</v>
      </c>
      <c r="L68" s="78">
        <f>86+17+105</f>
        <v>208</v>
      </c>
      <c r="M68" s="78">
        <v>208</v>
      </c>
      <c r="N68" s="14">
        <v>100</v>
      </c>
      <c r="O68" s="239">
        <v>0</v>
      </c>
      <c r="P68" s="77">
        <f t="shared" si="3"/>
        <v>0</v>
      </c>
      <c r="Q68" s="2">
        <f t="shared" si="4"/>
        <v>300</v>
      </c>
      <c r="R68" s="2">
        <v>200</v>
      </c>
      <c r="S68" s="2">
        <v>0</v>
      </c>
      <c r="T68" s="2">
        <f t="shared" si="5"/>
        <v>0</v>
      </c>
    </row>
    <row r="69" spans="1:20" ht="25.5">
      <c r="A69" s="612"/>
      <c r="B69" s="81"/>
      <c r="C69" s="81"/>
      <c r="D69" s="81"/>
      <c r="E69" s="81"/>
      <c r="F69" s="81"/>
      <c r="G69" s="81"/>
      <c r="H69" s="612"/>
      <c r="I69" s="14" t="s">
        <v>2221</v>
      </c>
      <c r="J69" s="14">
        <v>3000</v>
      </c>
      <c r="K69" s="14" t="s">
        <v>2221</v>
      </c>
      <c r="L69" s="79" t="s">
        <v>2338</v>
      </c>
      <c r="M69" s="79" t="s">
        <v>2338</v>
      </c>
      <c r="N69" s="14">
        <v>750</v>
      </c>
      <c r="O69" s="239">
        <v>0</v>
      </c>
      <c r="P69" s="77">
        <f t="shared" si="3"/>
        <v>0</v>
      </c>
      <c r="Q69" s="2">
        <f t="shared" si="4"/>
        <v>1500</v>
      </c>
      <c r="R69" s="2">
        <v>750</v>
      </c>
      <c r="S69" s="2">
        <v>0</v>
      </c>
      <c r="T69" s="2">
        <f t="shared" si="5"/>
        <v>0</v>
      </c>
    </row>
    <row r="70" spans="1:20" ht="25.5">
      <c r="A70" s="612"/>
      <c r="B70" s="81"/>
      <c r="C70" s="81"/>
      <c r="D70" s="81"/>
      <c r="E70" s="81"/>
      <c r="F70" s="81"/>
      <c r="G70" s="81"/>
      <c r="H70" s="612"/>
      <c r="I70" s="14" t="s">
        <v>2222</v>
      </c>
      <c r="J70" s="14">
        <v>20</v>
      </c>
      <c r="K70" s="14" t="s">
        <v>2223</v>
      </c>
      <c r="L70" s="79" t="s">
        <v>2338</v>
      </c>
      <c r="M70" s="79" t="s">
        <v>2338</v>
      </c>
      <c r="N70" s="14">
        <v>0</v>
      </c>
      <c r="O70" s="239">
        <v>0</v>
      </c>
      <c r="P70" s="77" t="e">
        <f t="shared" si="3"/>
        <v>#DIV/0!</v>
      </c>
      <c r="Q70" s="2">
        <f t="shared" si="4"/>
        <v>5</v>
      </c>
      <c r="R70" s="2">
        <v>5</v>
      </c>
      <c r="S70" s="2">
        <v>0</v>
      </c>
      <c r="T70" s="2">
        <f t="shared" si="5"/>
        <v>0</v>
      </c>
    </row>
    <row r="71" spans="1:20" ht="63.75">
      <c r="A71" s="612" t="s">
        <v>2224</v>
      </c>
      <c r="B71" s="81"/>
      <c r="C71" s="81"/>
      <c r="D71" s="90" t="s">
        <v>2225</v>
      </c>
      <c r="E71" s="90" t="s">
        <v>2226</v>
      </c>
      <c r="F71" s="81"/>
      <c r="G71" s="81"/>
      <c r="H71" s="612" t="s">
        <v>2227</v>
      </c>
      <c r="I71" s="14" t="s">
        <v>2228</v>
      </c>
      <c r="J71" s="14">
        <v>2000</v>
      </c>
      <c r="K71" s="14" t="s">
        <v>2163</v>
      </c>
      <c r="L71" s="79" t="s">
        <v>2338</v>
      </c>
      <c r="M71" s="79" t="s">
        <v>2338</v>
      </c>
      <c r="N71" s="14">
        <v>500</v>
      </c>
      <c r="O71" s="239">
        <v>0</v>
      </c>
      <c r="P71" s="77">
        <f t="shared" si="3"/>
        <v>0</v>
      </c>
      <c r="Q71" s="2">
        <f t="shared" si="4"/>
        <v>1000</v>
      </c>
      <c r="R71" s="2">
        <v>500</v>
      </c>
      <c r="S71" s="2">
        <v>0</v>
      </c>
      <c r="T71" s="2">
        <f t="shared" si="5"/>
        <v>0</v>
      </c>
    </row>
    <row r="72" spans="1:20" ht="63.75">
      <c r="A72" s="549"/>
      <c r="B72" s="81"/>
      <c r="C72" s="81"/>
      <c r="D72" s="81"/>
      <c r="E72" s="81"/>
      <c r="F72" s="81"/>
      <c r="G72" s="81"/>
      <c r="H72" s="612"/>
      <c r="I72" s="14" t="s">
        <v>2229</v>
      </c>
      <c r="J72" s="14">
        <v>3000</v>
      </c>
      <c r="K72" s="14" t="s">
        <v>2163</v>
      </c>
      <c r="L72" s="79" t="s">
        <v>2338</v>
      </c>
      <c r="M72" s="79" t="s">
        <v>2338</v>
      </c>
      <c r="N72" s="14">
        <v>750</v>
      </c>
      <c r="O72" s="239">
        <v>0</v>
      </c>
      <c r="P72" s="77">
        <f t="shared" si="3"/>
        <v>0</v>
      </c>
      <c r="Q72" s="2">
        <f t="shared" si="4"/>
        <v>1500</v>
      </c>
      <c r="R72" s="2">
        <v>750</v>
      </c>
      <c r="S72" s="2">
        <v>0</v>
      </c>
      <c r="T72" s="2">
        <f t="shared" si="5"/>
        <v>0</v>
      </c>
    </row>
    <row r="73" spans="1:20" ht="25.5">
      <c r="A73" s="549"/>
      <c r="B73" s="81"/>
      <c r="C73" s="81"/>
      <c r="D73" s="81"/>
      <c r="E73" s="81"/>
      <c r="F73" s="81"/>
      <c r="G73" s="81"/>
      <c r="H73" s="612"/>
      <c r="I73" s="14" t="s">
        <v>2230</v>
      </c>
      <c r="J73" s="14">
        <v>1</v>
      </c>
      <c r="K73" s="14" t="s">
        <v>2231</v>
      </c>
      <c r="L73" s="79" t="s">
        <v>2338</v>
      </c>
      <c r="M73" s="79" t="s">
        <v>2338</v>
      </c>
      <c r="N73" s="14">
        <v>0</v>
      </c>
      <c r="O73" s="239">
        <v>0</v>
      </c>
      <c r="P73" s="77" t="e">
        <f t="shared" si="3"/>
        <v>#DIV/0!</v>
      </c>
      <c r="Q73" s="2">
        <f t="shared" si="4"/>
        <v>1</v>
      </c>
      <c r="R73" s="2">
        <v>1</v>
      </c>
      <c r="S73" s="2">
        <v>0</v>
      </c>
      <c r="T73" s="2">
        <f t="shared" si="5"/>
        <v>0</v>
      </c>
    </row>
    <row r="74" spans="1:20" ht="25.5">
      <c r="A74" s="549"/>
      <c r="B74" s="81"/>
      <c r="C74" s="81"/>
      <c r="D74" s="81"/>
      <c r="E74" s="81"/>
      <c r="F74" s="81"/>
      <c r="G74" s="81"/>
      <c r="H74" s="612" t="s">
        <v>2232</v>
      </c>
      <c r="I74" s="14" t="s">
        <v>2233</v>
      </c>
      <c r="J74" s="14">
        <v>100</v>
      </c>
      <c r="K74" s="14" t="s">
        <v>2234</v>
      </c>
      <c r="L74" s="79" t="s">
        <v>2338</v>
      </c>
      <c r="M74" s="79" t="s">
        <v>2338</v>
      </c>
      <c r="N74" s="14">
        <v>50</v>
      </c>
      <c r="O74" s="239">
        <v>0</v>
      </c>
      <c r="P74" s="77">
        <f t="shared" si="3"/>
        <v>0</v>
      </c>
      <c r="Q74" s="2">
        <f t="shared" si="4"/>
        <v>100</v>
      </c>
      <c r="R74" s="2">
        <v>50</v>
      </c>
      <c r="S74" s="2">
        <v>0</v>
      </c>
      <c r="T74" s="2">
        <f t="shared" si="5"/>
        <v>0</v>
      </c>
    </row>
    <row r="75" spans="1:20" ht="25.5">
      <c r="A75" s="549"/>
      <c r="B75" s="81"/>
      <c r="C75" s="81"/>
      <c r="D75" s="81"/>
      <c r="E75" s="81"/>
      <c r="F75" s="81"/>
      <c r="G75" s="81"/>
      <c r="H75" s="612"/>
      <c r="I75" s="14" t="s">
        <v>2235</v>
      </c>
      <c r="J75" s="14">
        <v>37</v>
      </c>
      <c r="K75" s="14" t="s">
        <v>2236</v>
      </c>
      <c r="L75" s="79" t="s">
        <v>2338</v>
      </c>
      <c r="M75" s="79" t="s">
        <v>2338</v>
      </c>
      <c r="N75" s="14">
        <v>37</v>
      </c>
      <c r="O75" s="239">
        <v>0</v>
      </c>
      <c r="P75" s="77">
        <f t="shared" si="3"/>
        <v>0</v>
      </c>
      <c r="Q75" s="2">
        <f t="shared" si="4"/>
        <v>37</v>
      </c>
      <c r="R75" s="2">
        <v>0</v>
      </c>
      <c r="S75" s="2">
        <v>0</v>
      </c>
      <c r="T75" s="2" t="e">
        <f t="shared" si="5"/>
        <v>#DIV/0!</v>
      </c>
    </row>
    <row r="76" spans="1:20" ht="25.5">
      <c r="A76" s="549"/>
      <c r="B76" s="81"/>
      <c r="C76" s="81"/>
      <c r="D76" s="81"/>
      <c r="E76" s="81"/>
      <c r="F76" s="81"/>
      <c r="G76" s="81"/>
      <c r="H76" s="612"/>
      <c r="I76" s="14" t="s">
        <v>2544</v>
      </c>
      <c r="J76" s="14">
        <v>4</v>
      </c>
      <c r="K76" s="14" t="s">
        <v>2545</v>
      </c>
      <c r="L76" s="79">
        <v>4</v>
      </c>
      <c r="M76" s="79">
        <v>4</v>
      </c>
      <c r="N76" s="14">
        <v>1</v>
      </c>
      <c r="O76" s="239">
        <v>0</v>
      </c>
      <c r="P76" s="77">
        <f t="shared" si="3"/>
        <v>0</v>
      </c>
      <c r="Q76" s="2">
        <f t="shared" si="4"/>
        <v>2</v>
      </c>
      <c r="R76" s="2">
        <v>1</v>
      </c>
      <c r="S76" s="2">
        <v>0</v>
      </c>
      <c r="T76" s="2">
        <f t="shared" si="5"/>
        <v>0</v>
      </c>
    </row>
    <row r="77" spans="1:20" ht="38.25">
      <c r="A77" s="549"/>
      <c r="B77" s="81"/>
      <c r="C77" s="81"/>
      <c r="D77" s="81"/>
      <c r="E77" s="81"/>
      <c r="F77" s="81"/>
      <c r="G77" s="81"/>
      <c r="H77" s="612"/>
      <c r="I77" s="14" t="s">
        <v>2546</v>
      </c>
      <c r="J77" s="14">
        <v>60</v>
      </c>
      <c r="K77" s="14" t="s">
        <v>2547</v>
      </c>
      <c r="L77" s="78">
        <v>35</v>
      </c>
      <c r="M77" s="78">
        <v>35</v>
      </c>
      <c r="N77" s="14">
        <v>15</v>
      </c>
      <c r="O77" s="239">
        <v>0</v>
      </c>
      <c r="P77" s="77">
        <f t="shared" si="3"/>
        <v>0</v>
      </c>
      <c r="Q77" s="2">
        <f t="shared" si="4"/>
        <v>30</v>
      </c>
      <c r="R77" s="2">
        <v>15</v>
      </c>
      <c r="S77" s="2">
        <v>0</v>
      </c>
      <c r="T77" s="2">
        <f t="shared" si="5"/>
        <v>0</v>
      </c>
    </row>
    <row r="78" spans="1:20" ht="12.75">
      <c r="A78" s="549"/>
      <c r="B78" s="81"/>
      <c r="C78" s="81"/>
      <c r="D78" s="81"/>
      <c r="E78" s="81"/>
      <c r="F78" s="81"/>
      <c r="G78" s="81"/>
      <c r="H78" s="612"/>
      <c r="I78" s="14" t="s">
        <v>1685</v>
      </c>
      <c r="J78" s="14">
        <v>4</v>
      </c>
      <c r="K78" s="14" t="s">
        <v>2548</v>
      </c>
      <c r="L78" s="78">
        <v>3</v>
      </c>
      <c r="M78" s="78">
        <v>3</v>
      </c>
      <c r="N78" s="14">
        <v>1</v>
      </c>
      <c r="O78" s="239">
        <v>0</v>
      </c>
      <c r="P78" s="77">
        <f t="shared" si="3"/>
        <v>0</v>
      </c>
      <c r="Q78" s="2">
        <f t="shared" si="4"/>
        <v>2</v>
      </c>
      <c r="R78" s="2">
        <v>1</v>
      </c>
      <c r="S78" s="2">
        <v>0</v>
      </c>
      <c r="T78" s="2">
        <f t="shared" si="5"/>
        <v>0</v>
      </c>
    </row>
    <row r="79" spans="1:20" ht="102">
      <c r="A79" s="549"/>
      <c r="B79" s="81"/>
      <c r="C79" s="81"/>
      <c r="D79" s="90"/>
      <c r="E79" s="81"/>
      <c r="F79" s="81"/>
      <c r="G79" s="81"/>
      <c r="H79" s="612"/>
      <c r="I79" s="14" t="s">
        <v>2549</v>
      </c>
      <c r="J79" s="14">
        <v>1</v>
      </c>
      <c r="K79" s="79" t="s">
        <v>2550</v>
      </c>
      <c r="L79" s="79">
        <v>1</v>
      </c>
      <c r="M79" s="79">
        <v>1</v>
      </c>
      <c r="N79" s="14">
        <v>1</v>
      </c>
      <c r="O79" s="239">
        <v>0</v>
      </c>
      <c r="P79" s="77">
        <f t="shared" si="3"/>
        <v>0</v>
      </c>
      <c r="Q79" s="2">
        <f t="shared" si="4"/>
        <v>1</v>
      </c>
      <c r="R79" s="2">
        <v>0</v>
      </c>
      <c r="S79" s="2">
        <v>0</v>
      </c>
      <c r="T79" s="2" t="e">
        <f t="shared" si="5"/>
        <v>#DIV/0!</v>
      </c>
    </row>
    <row r="80" spans="1:20" ht="25.5">
      <c r="A80" s="612" t="s">
        <v>2551</v>
      </c>
      <c r="B80" s="81"/>
      <c r="C80" s="81"/>
      <c r="D80" s="90" t="s">
        <v>2552</v>
      </c>
      <c r="E80" s="90" t="s">
        <v>2553</v>
      </c>
      <c r="F80" s="81"/>
      <c r="G80" s="81"/>
      <c r="H80" s="612" t="s">
        <v>2554</v>
      </c>
      <c r="I80" s="14" t="s">
        <v>2555</v>
      </c>
      <c r="J80" s="14">
        <v>2500</v>
      </c>
      <c r="K80" s="14" t="s">
        <v>2760</v>
      </c>
      <c r="L80" s="79">
        <v>1020</v>
      </c>
      <c r="M80" s="79">
        <v>1020</v>
      </c>
      <c r="N80" s="14">
        <v>600</v>
      </c>
      <c r="O80" s="239">
        <v>0</v>
      </c>
      <c r="P80" s="77">
        <f t="shared" si="3"/>
        <v>0</v>
      </c>
      <c r="Q80" s="2">
        <f t="shared" si="4"/>
        <v>1250</v>
      </c>
      <c r="R80" s="2">
        <v>650</v>
      </c>
      <c r="S80" s="2">
        <v>0</v>
      </c>
      <c r="T80" s="2">
        <f t="shared" si="5"/>
        <v>0</v>
      </c>
    </row>
    <row r="81" spans="1:20" ht="25.5">
      <c r="A81" s="549"/>
      <c r="B81" s="81"/>
      <c r="C81" s="81"/>
      <c r="D81" s="90" t="s">
        <v>2556</v>
      </c>
      <c r="E81" s="90" t="s">
        <v>2557</v>
      </c>
      <c r="F81" s="81"/>
      <c r="G81" s="81"/>
      <c r="H81" s="612"/>
      <c r="I81" s="14" t="s">
        <v>2558</v>
      </c>
      <c r="J81" s="14">
        <v>5</v>
      </c>
      <c r="K81" s="14" t="s">
        <v>2559</v>
      </c>
      <c r="L81" s="79" t="s">
        <v>2338</v>
      </c>
      <c r="M81" s="79" t="s">
        <v>2338</v>
      </c>
      <c r="N81" s="14">
        <v>1</v>
      </c>
      <c r="O81" s="239">
        <v>0</v>
      </c>
      <c r="P81" s="77">
        <f t="shared" si="3"/>
        <v>0</v>
      </c>
      <c r="Q81" s="2">
        <f t="shared" si="4"/>
        <v>2</v>
      </c>
      <c r="R81" s="2">
        <v>1</v>
      </c>
      <c r="S81" s="2">
        <v>0</v>
      </c>
      <c r="T81" s="2">
        <f t="shared" si="5"/>
        <v>0</v>
      </c>
    </row>
    <row r="82" spans="1:20" ht="25.5">
      <c r="A82" s="549"/>
      <c r="B82" s="81"/>
      <c r="C82" s="81"/>
      <c r="D82" s="90" t="s">
        <v>2560</v>
      </c>
      <c r="E82" s="90" t="s">
        <v>2561</v>
      </c>
      <c r="F82" s="81"/>
      <c r="G82" s="81"/>
      <c r="H82" s="612"/>
      <c r="I82" s="14" t="s">
        <v>1691</v>
      </c>
      <c r="J82" s="14">
        <v>2</v>
      </c>
      <c r="K82" s="14" t="s">
        <v>2562</v>
      </c>
      <c r="L82" s="79" t="s">
        <v>2338</v>
      </c>
      <c r="M82" s="79" t="s">
        <v>2338</v>
      </c>
      <c r="N82" s="14">
        <v>0</v>
      </c>
      <c r="O82" s="239">
        <v>0</v>
      </c>
      <c r="P82" s="77" t="e">
        <f t="shared" si="3"/>
        <v>#DIV/0!</v>
      </c>
      <c r="Q82" s="2">
        <f t="shared" si="4"/>
        <v>1</v>
      </c>
      <c r="R82" s="2">
        <v>1</v>
      </c>
      <c r="S82" s="2">
        <v>0</v>
      </c>
      <c r="T82" s="2">
        <f t="shared" si="5"/>
        <v>0</v>
      </c>
    </row>
    <row r="83" spans="1:20" ht="25.5">
      <c r="A83" s="549"/>
      <c r="B83" s="81"/>
      <c r="C83" s="81"/>
      <c r="D83" s="90" t="s">
        <v>2563</v>
      </c>
      <c r="E83" s="90" t="s">
        <v>2564</v>
      </c>
      <c r="F83" s="81"/>
      <c r="G83" s="81"/>
      <c r="H83" s="612"/>
      <c r="I83" s="14" t="s">
        <v>2565</v>
      </c>
      <c r="J83" s="14">
        <v>61</v>
      </c>
      <c r="K83" s="14" t="s">
        <v>2566</v>
      </c>
      <c r="L83" s="79" t="s">
        <v>2338</v>
      </c>
      <c r="M83" s="79" t="s">
        <v>2338</v>
      </c>
      <c r="N83" s="14">
        <v>10</v>
      </c>
      <c r="O83" s="239">
        <v>0</v>
      </c>
      <c r="P83" s="77">
        <f t="shared" si="3"/>
        <v>0</v>
      </c>
      <c r="Q83" s="2">
        <f t="shared" si="4"/>
        <v>25</v>
      </c>
      <c r="R83" s="2">
        <v>15</v>
      </c>
      <c r="S83" s="2">
        <v>0</v>
      </c>
      <c r="T83" s="2">
        <f t="shared" si="5"/>
        <v>0</v>
      </c>
    </row>
    <row r="84" spans="1:20" ht="25.5">
      <c r="A84" s="549"/>
      <c r="B84" s="81"/>
      <c r="C84" s="81"/>
      <c r="D84" s="90" t="s">
        <v>2567</v>
      </c>
      <c r="E84" s="90" t="s">
        <v>2568</v>
      </c>
      <c r="F84" s="81"/>
      <c r="G84" s="81"/>
      <c r="H84" s="612" t="s">
        <v>2569</v>
      </c>
      <c r="I84" s="14" t="s">
        <v>2235</v>
      </c>
      <c r="J84" s="14">
        <v>2000</v>
      </c>
      <c r="K84" s="14" t="s">
        <v>2570</v>
      </c>
      <c r="L84" s="79">
        <v>2513</v>
      </c>
      <c r="M84" s="79">
        <v>2513</v>
      </c>
      <c r="N84" s="14">
        <v>500</v>
      </c>
      <c r="O84" s="239">
        <v>0</v>
      </c>
      <c r="P84" s="77">
        <f t="shared" si="3"/>
        <v>0</v>
      </c>
      <c r="Q84" s="2">
        <f t="shared" si="4"/>
        <v>1000</v>
      </c>
      <c r="R84" s="2">
        <v>500</v>
      </c>
      <c r="S84" s="2">
        <v>0</v>
      </c>
      <c r="T84" s="2">
        <f t="shared" si="5"/>
        <v>0</v>
      </c>
    </row>
    <row r="85" spans="1:20" ht="38.25">
      <c r="A85" s="549"/>
      <c r="B85" s="81"/>
      <c r="C85" s="81"/>
      <c r="D85" s="90" t="s">
        <v>2571</v>
      </c>
      <c r="E85" s="90" t="s">
        <v>2572</v>
      </c>
      <c r="F85" s="81"/>
      <c r="G85" s="81"/>
      <c r="H85" s="612"/>
      <c r="I85" s="14" t="s">
        <v>2573</v>
      </c>
      <c r="J85" s="14">
        <v>200</v>
      </c>
      <c r="K85" s="14" t="s">
        <v>2574</v>
      </c>
      <c r="L85" s="79">
        <v>43</v>
      </c>
      <c r="M85" s="79">
        <v>43</v>
      </c>
      <c r="N85" s="14">
        <v>30</v>
      </c>
      <c r="O85" s="239">
        <v>0</v>
      </c>
      <c r="P85" s="77">
        <f t="shared" si="3"/>
        <v>0</v>
      </c>
      <c r="Q85" s="2">
        <f t="shared" si="4"/>
        <v>80</v>
      </c>
      <c r="R85" s="2">
        <v>50</v>
      </c>
      <c r="S85" s="2">
        <v>0</v>
      </c>
      <c r="T85" s="2">
        <f t="shared" si="5"/>
        <v>0</v>
      </c>
    </row>
    <row r="86" spans="1:20" ht="25.5">
      <c r="A86" s="549"/>
      <c r="B86" s="81"/>
      <c r="C86" s="81"/>
      <c r="D86" s="90"/>
      <c r="E86" s="90"/>
      <c r="F86" s="81"/>
      <c r="G86" s="81"/>
      <c r="H86" s="612"/>
      <c r="I86" s="14" t="s">
        <v>2575</v>
      </c>
      <c r="J86" s="14">
        <v>1</v>
      </c>
      <c r="K86" s="14" t="s">
        <v>2576</v>
      </c>
      <c r="L86" s="79" t="s">
        <v>2338</v>
      </c>
      <c r="M86" s="79" t="s">
        <v>2338</v>
      </c>
      <c r="N86" s="14">
        <v>1</v>
      </c>
      <c r="O86" s="239">
        <v>0</v>
      </c>
      <c r="P86" s="77">
        <f t="shared" si="3"/>
        <v>0</v>
      </c>
      <c r="Q86" s="2">
        <f t="shared" si="4"/>
        <v>1</v>
      </c>
      <c r="R86" s="2">
        <v>0</v>
      </c>
      <c r="S86" s="2">
        <v>0</v>
      </c>
      <c r="T86" s="2" t="e">
        <f t="shared" si="5"/>
        <v>#DIV/0!</v>
      </c>
    </row>
    <row r="87" spans="1:20" ht="25.5">
      <c r="A87" s="549"/>
      <c r="B87" s="81"/>
      <c r="C87" s="81"/>
      <c r="D87" s="90"/>
      <c r="E87" s="90"/>
      <c r="F87" s="81"/>
      <c r="G87" s="81"/>
      <c r="H87" s="612"/>
      <c r="I87" s="14" t="s">
        <v>2577</v>
      </c>
      <c r="J87" s="14">
        <v>2500</v>
      </c>
      <c r="K87" s="14" t="s">
        <v>2760</v>
      </c>
      <c r="L87" s="79">
        <v>2037</v>
      </c>
      <c r="M87" s="79">
        <v>2037</v>
      </c>
      <c r="N87" s="14">
        <v>300</v>
      </c>
      <c r="O87" s="239">
        <v>0</v>
      </c>
      <c r="P87" s="77">
        <f t="shared" si="3"/>
        <v>0</v>
      </c>
      <c r="Q87" s="2">
        <f t="shared" si="4"/>
        <v>900</v>
      </c>
      <c r="R87" s="2">
        <v>600</v>
      </c>
      <c r="S87" s="2">
        <v>0</v>
      </c>
      <c r="T87" s="2">
        <f t="shared" si="5"/>
        <v>0</v>
      </c>
    </row>
    <row r="88" spans="1:20" ht="25.5">
      <c r="A88" s="549"/>
      <c r="B88" s="81"/>
      <c r="C88" s="81"/>
      <c r="D88" s="90"/>
      <c r="E88" s="90"/>
      <c r="F88" s="81"/>
      <c r="G88" s="81"/>
      <c r="H88" s="612"/>
      <c r="I88" s="14" t="s">
        <v>2578</v>
      </c>
      <c r="J88" s="14">
        <v>30</v>
      </c>
      <c r="K88" s="79" t="s">
        <v>2579</v>
      </c>
      <c r="L88" s="79" t="s">
        <v>2338</v>
      </c>
      <c r="M88" s="79" t="s">
        <v>2338</v>
      </c>
      <c r="N88" s="14">
        <v>0</v>
      </c>
      <c r="O88" s="239">
        <v>0</v>
      </c>
      <c r="P88" s="77" t="e">
        <f t="shared" si="3"/>
        <v>#DIV/0!</v>
      </c>
      <c r="Q88" s="2">
        <f t="shared" si="4"/>
        <v>10</v>
      </c>
      <c r="R88" s="2">
        <v>10</v>
      </c>
      <c r="S88" s="2">
        <v>0</v>
      </c>
      <c r="T88" s="2">
        <f t="shared" si="5"/>
        <v>0</v>
      </c>
    </row>
    <row r="89" spans="1:20" ht="89.25">
      <c r="A89" s="549"/>
      <c r="B89" s="81"/>
      <c r="C89" s="81"/>
      <c r="D89" s="90"/>
      <c r="E89" s="90"/>
      <c r="F89" s="81"/>
      <c r="G89" s="81"/>
      <c r="H89" s="612"/>
      <c r="I89" s="14" t="s">
        <v>2580</v>
      </c>
      <c r="J89" s="14">
        <v>61</v>
      </c>
      <c r="K89" s="79" t="s">
        <v>2581</v>
      </c>
      <c r="L89" s="79"/>
      <c r="M89" s="79"/>
      <c r="N89" s="14">
        <v>10</v>
      </c>
      <c r="O89" s="239">
        <v>0</v>
      </c>
      <c r="P89" s="77">
        <f t="shared" si="3"/>
        <v>0</v>
      </c>
      <c r="Q89" s="2">
        <f t="shared" si="4"/>
        <v>30</v>
      </c>
      <c r="R89" s="2">
        <v>20</v>
      </c>
      <c r="S89" s="2">
        <v>0</v>
      </c>
      <c r="T89" s="2">
        <f t="shared" si="5"/>
        <v>0</v>
      </c>
    </row>
    <row r="90" spans="1:20" ht="13.5" thickBot="1">
      <c r="A90" s="549"/>
      <c r="B90" s="170"/>
      <c r="C90" s="170"/>
      <c r="D90" s="123"/>
      <c r="E90" s="123"/>
      <c r="F90" s="170"/>
      <c r="G90" s="170"/>
      <c r="H90" s="612"/>
      <c r="I90" s="14" t="s">
        <v>2582</v>
      </c>
      <c r="J90" s="14">
        <v>2000</v>
      </c>
      <c r="K90" s="79" t="s">
        <v>2583</v>
      </c>
      <c r="L90" s="79" t="s">
        <v>2338</v>
      </c>
      <c r="M90" s="79" t="s">
        <v>2338</v>
      </c>
      <c r="N90" s="14">
        <v>0</v>
      </c>
      <c r="O90" s="239">
        <v>0</v>
      </c>
      <c r="P90" s="77" t="e">
        <f t="shared" si="3"/>
        <v>#DIV/0!</v>
      </c>
      <c r="Q90" s="2">
        <f t="shared" si="4"/>
        <v>1000</v>
      </c>
      <c r="R90" s="2">
        <v>1000</v>
      </c>
      <c r="S90" s="2">
        <v>0</v>
      </c>
      <c r="T90" s="2">
        <f t="shared" si="5"/>
        <v>0</v>
      </c>
    </row>
    <row r="91" spans="1:20" ht="127.5">
      <c r="A91" s="628" t="s">
        <v>202</v>
      </c>
      <c r="B91" s="631"/>
      <c r="C91" s="631"/>
      <c r="D91" s="621" t="s">
        <v>31</v>
      </c>
      <c r="E91" s="549" t="s">
        <v>203</v>
      </c>
      <c r="F91" s="596" t="s">
        <v>26</v>
      </c>
      <c r="G91" s="600">
        <v>1</v>
      </c>
      <c r="H91" s="223" t="s">
        <v>204</v>
      </c>
      <c r="I91" s="223" t="s">
        <v>205</v>
      </c>
      <c r="J91" s="218">
        <v>1</v>
      </c>
      <c r="K91" s="51">
        <v>1</v>
      </c>
      <c r="L91" s="51">
        <v>1</v>
      </c>
      <c r="M91" s="51">
        <v>1</v>
      </c>
      <c r="N91" s="51">
        <v>1</v>
      </c>
      <c r="O91" s="219">
        <v>4</v>
      </c>
      <c r="P91" s="635">
        <v>35000</v>
      </c>
      <c r="Q91" s="635">
        <v>36750</v>
      </c>
      <c r="R91" s="635">
        <v>38588</v>
      </c>
      <c r="S91" s="635">
        <v>40517</v>
      </c>
      <c r="T91" s="632" t="s">
        <v>30</v>
      </c>
    </row>
    <row r="92" spans="1:20" ht="102">
      <c r="A92" s="629"/>
      <c r="B92" s="631"/>
      <c r="C92" s="631"/>
      <c r="D92" s="621"/>
      <c r="E92" s="549"/>
      <c r="F92" s="596"/>
      <c r="G92" s="600"/>
      <c r="H92" s="224" t="s">
        <v>204</v>
      </c>
      <c r="I92" s="224" t="s">
        <v>206</v>
      </c>
      <c r="J92" s="6">
        <v>1</v>
      </c>
      <c r="K92" s="3">
        <v>1</v>
      </c>
      <c r="L92" s="3">
        <v>1</v>
      </c>
      <c r="M92" s="3">
        <v>1</v>
      </c>
      <c r="N92" s="3">
        <v>1</v>
      </c>
      <c r="O92" s="221">
        <v>4</v>
      </c>
      <c r="P92" s="636"/>
      <c r="Q92" s="636"/>
      <c r="R92" s="636"/>
      <c r="S92" s="636"/>
      <c r="T92" s="633"/>
    </row>
    <row r="93" spans="1:20" ht="153">
      <c r="A93" s="629"/>
      <c r="B93" s="631"/>
      <c r="C93" s="631"/>
      <c r="D93" s="621"/>
      <c r="E93" s="549"/>
      <c r="F93" s="596"/>
      <c r="G93" s="600"/>
      <c r="H93" s="224" t="s">
        <v>207</v>
      </c>
      <c r="I93" s="224" t="s">
        <v>208</v>
      </c>
      <c r="J93" s="6" t="s">
        <v>99</v>
      </c>
      <c r="K93" s="3">
        <v>7</v>
      </c>
      <c r="L93" s="3">
        <v>12</v>
      </c>
      <c r="M93" s="3">
        <v>12</v>
      </c>
      <c r="N93" s="3">
        <v>12</v>
      </c>
      <c r="O93" s="221">
        <f>+N93+M93+L93+K93</f>
        <v>43</v>
      </c>
      <c r="P93" s="3">
        <v>0</v>
      </c>
      <c r="Q93" s="3">
        <v>0</v>
      </c>
      <c r="R93" s="3">
        <v>0</v>
      </c>
      <c r="S93" s="3">
        <v>0</v>
      </c>
      <c r="T93" s="633"/>
    </row>
    <row r="94" spans="1:20" ht="165.75">
      <c r="A94" s="629"/>
      <c r="B94" s="631"/>
      <c r="C94" s="631"/>
      <c r="D94" s="621"/>
      <c r="E94" s="549"/>
      <c r="F94" s="596"/>
      <c r="G94" s="600"/>
      <c r="H94" s="224" t="s">
        <v>209</v>
      </c>
      <c r="I94" s="224" t="s">
        <v>210</v>
      </c>
      <c r="J94" s="6">
        <v>0</v>
      </c>
      <c r="K94" s="3">
        <v>1</v>
      </c>
      <c r="L94" s="3">
        <v>1</v>
      </c>
      <c r="M94" s="3">
        <v>1</v>
      </c>
      <c r="N94" s="3">
        <v>1</v>
      </c>
      <c r="O94" s="221">
        <v>4</v>
      </c>
      <c r="P94" s="3">
        <v>35000</v>
      </c>
      <c r="Q94" s="3">
        <v>36750</v>
      </c>
      <c r="R94" s="3">
        <v>38588</v>
      </c>
      <c r="S94" s="3">
        <v>40517</v>
      </c>
      <c r="T94" s="633"/>
    </row>
    <row r="95" spans="1:20" ht="165.75">
      <c r="A95" s="629"/>
      <c r="B95" s="631"/>
      <c r="C95" s="631"/>
      <c r="D95" s="621"/>
      <c r="E95" s="549"/>
      <c r="F95" s="596"/>
      <c r="G95" s="600"/>
      <c r="H95" s="224" t="s">
        <v>211</v>
      </c>
      <c r="I95" s="224" t="s">
        <v>212</v>
      </c>
      <c r="J95" s="6">
        <v>0</v>
      </c>
      <c r="K95" s="3">
        <v>1</v>
      </c>
      <c r="L95" s="3">
        <v>1</v>
      </c>
      <c r="M95" s="3">
        <v>1</v>
      </c>
      <c r="N95" s="3">
        <v>1</v>
      </c>
      <c r="O95" s="221">
        <v>4</v>
      </c>
      <c r="P95" s="3">
        <v>0</v>
      </c>
      <c r="Q95" s="3">
        <v>0</v>
      </c>
      <c r="R95" s="3">
        <v>0</v>
      </c>
      <c r="S95" s="3">
        <v>0</v>
      </c>
      <c r="T95" s="633"/>
    </row>
    <row r="96" spans="1:20" ht="255">
      <c r="A96" s="629"/>
      <c r="B96" s="631"/>
      <c r="C96" s="631"/>
      <c r="D96" s="621"/>
      <c r="E96" s="549"/>
      <c r="F96" s="596"/>
      <c r="G96" s="600"/>
      <c r="H96" s="224" t="s">
        <v>211</v>
      </c>
      <c r="I96" s="225" t="s">
        <v>213</v>
      </c>
      <c r="J96" s="105" t="s">
        <v>27</v>
      </c>
      <c r="K96" s="3">
        <v>1</v>
      </c>
      <c r="L96" s="3">
        <v>1</v>
      </c>
      <c r="M96" s="3">
        <v>1</v>
      </c>
      <c r="N96" s="3">
        <v>1</v>
      </c>
      <c r="O96" s="221">
        <v>4</v>
      </c>
      <c r="P96" s="3">
        <v>0</v>
      </c>
      <c r="Q96" s="3">
        <v>0</v>
      </c>
      <c r="R96" s="3">
        <v>0</v>
      </c>
      <c r="S96" s="3">
        <v>0</v>
      </c>
      <c r="T96" s="633"/>
    </row>
    <row r="97" spans="1:20" ht="102">
      <c r="A97" s="629"/>
      <c r="B97" s="631"/>
      <c r="C97" s="631"/>
      <c r="D97" s="621"/>
      <c r="E97" s="549"/>
      <c r="F97" s="596"/>
      <c r="G97" s="600"/>
      <c r="H97" s="226" t="s">
        <v>214</v>
      </c>
      <c r="I97" s="224" t="s">
        <v>215</v>
      </c>
      <c r="J97" s="113" t="s">
        <v>28</v>
      </c>
      <c r="K97" s="3">
        <v>201756</v>
      </c>
      <c r="L97" s="3">
        <v>211787</v>
      </c>
      <c r="M97" s="3">
        <v>221818</v>
      </c>
      <c r="N97" s="3">
        <v>231850</v>
      </c>
      <c r="O97" s="221">
        <v>231850</v>
      </c>
      <c r="P97" s="3">
        <v>46280</v>
      </c>
      <c r="Q97" s="3">
        <v>115878</v>
      </c>
      <c r="R97" s="3">
        <v>121639</v>
      </c>
      <c r="S97" s="3">
        <v>127401</v>
      </c>
      <c r="T97" s="633"/>
    </row>
    <row r="98" spans="1:20" ht="165.75">
      <c r="A98" s="629"/>
      <c r="B98" s="631"/>
      <c r="C98" s="631"/>
      <c r="D98" s="621"/>
      <c r="E98" s="549"/>
      <c r="F98" s="596"/>
      <c r="G98" s="600"/>
      <c r="H98" s="224" t="s">
        <v>216</v>
      </c>
      <c r="I98" s="224" t="s">
        <v>217</v>
      </c>
      <c r="J98" s="6" t="s">
        <v>29</v>
      </c>
      <c r="K98" s="3">
        <v>1</v>
      </c>
      <c r="L98" s="3">
        <v>1</v>
      </c>
      <c r="M98" s="3">
        <v>1</v>
      </c>
      <c r="N98" s="3">
        <v>1</v>
      </c>
      <c r="O98" s="221">
        <f>+P98+Q98+R98+S98</f>
        <v>0</v>
      </c>
      <c r="P98" s="3">
        <v>0</v>
      </c>
      <c r="Q98" s="3">
        <v>0</v>
      </c>
      <c r="R98" s="3">
        <v>0</v>
      </c>
      <c r="S98" s="3">
        <v>0</v>
      </c>
      <c r="T98" s="633"/>
    </row>
    <row r="99" spans="1:20" ht="229.5">
      <c r="A99" s="629"/>
      <c r="B99" s="631"/>
      <c r="C99" s="631"/>
      <c r="D99" s="621"/>
      <c r="E99" s="549"/>
      <c r="F99" s="596"/>
      <c r="G99" s="600"/>
      <c r="H99" s="224" t="s">
        <v>216</v>
      </c>
      <c r="I99" s="224" t="s">
        <v>218</v>
      </c>
      <c r="J99" s="6">
        <v>0</v>
      </c>
      <c r="K99" s="3">
        <v>1</v>
      </c>
      <c r="L99" s="3">
        <v>1</v>
      </c>
      <c r="M99" s="3">
        <v>1</v>
      </c>
      <c r="N99" s="3">
        <v>1</v>
      </c>
      <c r="O99" s="221"/>
      <c r="P99" s="3">
        <v>10</v>
      </c>
      <c r="Q99" s="3">
        <v>10</v>
      </c>
      <c r="R99" s="3">
        <v>11</v>
      </c>
      <c r="S99" s="3">
        <v>11</v>
      </c>
      <c r="T99" s="633"/>
    </row>
    <row r="100" spans="1:20" ht="191.25">
      <c r="A100" s="629"/>
      <c r="B100" s="631"/>
      <c r="C100" s="631"/>
      <c r="D100" s="621"/>
      <c r="E100" s="549"/>
      <c r="F100" s="596"/>
      <c r="G100" s="600"/>
      <c r="H100" s="224" t="s">
        <v>216</v>
      </c>
      <c r="I100" s="224" t="s">
        <v>219</v>
      </c>
      <c r="J100" s="6">
        <v>1</v>
      </c>
      <c r="K100" s="3">
        <v>1</v>
      </c>
      <c r="L100" s="3">
        <v>1</v>
      </c>
      <c r="M100" s="3">
        <v>1</v>
      </c>
      <c r="N100" s="3">
        <v>1</v>
      </c>
      <c r="O100" s="221"/>
      <c r="P100" s="3">
        <v>0</v>
      </c>
      <c r="Q100" s="3">
        <v>0</v>
      </c>
      <c r="R100" s="3">
        <v>0</v>
      </c>
      <c r="S100" s="3">
        <v>0</v>
      </c>
      <c r="T100" s="633"/>
    </row>
    <row r="101" spans="1:20" ht="204">
      <c r="A101" s="629"/>
      <c r="B101" s="631"/>
      <c r="C101" s="631"/>
      <c r="D101" s="621"/>
      <c r="E101" s="549"/>
      <c r="F101" s="596"/>
      <c r="G101" s="600"/>
      <c r="H101" s="226" t="s">
        <v>220</v>
      </c>
      <c r="I101" s="224" t="s">
        <v>221</v>
      </c>
      <c r="J101" s="6">
        <v>1</v>
      </c>
      <c r="K101" s="3">
        <v>1</v>
      </c>
      <c r="L101" s="3">
        <v>1</v>
      </c>
      <c r="M101" s="3">
        <v>1</v>
      </c>
      <c r="N101" s="3">
        <v>1</v>
      </c>
      <c r="O101" s="221"/>
      <c r="P101" s="3">
        <v>150</v>
      </c>
      <c r="Q101" s="3">
        <v>158</v>
      </c>
      <c r="R101" s="3">
        <v>166</v>
      </c>
      <c r="S101" s="3">
        <v>174</v>
      </c>
      <c r="T101" s="633"/>
    </row>
    <row r="102" spans="1:20" ht="127.5">
      <c r="A102" s="629"/>
      <c r="B102" s="631"/>
      <c r="C102" s="631"/>
      <c r="D102" s="621"/>
      <c r="E102" s="549"/>
      <c r="F102" s="596"/>
      <c r="G102" s="600"/>
      <c r="H102" s="226" t="s">
        <v>222</v>
      </c>
      <c r="I102" s="227" t="s">
        <v>223</v>
      </c>
      <c r="J102" s="6">
        <v>1</v>
      </c>
      <c r="K102" s="3">
        <v>1</v>
      </c>
      <c r="L102" s="3">
        <v>1</v>
      </c>
      <c r="M102" s="3">
        <v>1</v>
      </c>
      <c r="N102" s="3">
        <v>1</v>
      </c>
      <c r="O102" s="221"/>
      <c r="P102" s="3">
        <v>0</v>
      </c>
      <c r="Q102" s="3">
        <v>0</v>
      </c>
      <c r="R102" s="3">
        <v>0</v>
      </c>
      <c r="S102" s="3">
        <v>0</v>
      </c>
      <c r="T102" s="633"/>
    </row>
    <row r="103" spans="1:20" ht="114" customHeight="1">
      <c r="A103" s="629"/>
      <c r="B103" s="631"/>
      <c r="C103" s="631"/>
      <c r="D103" s="621"/>
      <c r="E103" s="549"/>
      <c r="F103" s="596"/>
      <c r="G103" s="600"/>
      <c r="H103" s="224" t="s">
        <v>224</v>
      </c>
      <c r="I103" s="224" t="s">
        <v>21</v>
      </c>
      <c r="J103" s="6">
        <v>1</v>
      </c>
      <c r="K103" s="3">
        <v>1</v>
      </c>
      <c r="L103" s="3">
        <v>1</v>
      </c>
      <c r="M103" s="3">
        <v>1</v>
      </c>
      <c r="N103" s="3">
        <v>1</v>
      </c>
      <c r="O103" s="221"/>
      <c r="P103" s="3">
        <v>0</v>
      </c>
      <c r="Q103" s="3">
        <v>0</v>
      </c>
      <c r="R103" s="3">
        <v>0</v>
      </c>
      <c r="S103" s="3">
        <v>0</v>
      </c>
      <c r="T103" s="633"/>
    </row>
    <row r="104" spans="1:20" ht="190.5" customHeight="1">
      <c r="A104" s="629"/>
      <c r="B104" s="631"/>
      <c r="C104" s="631"/>
      <c r="D104" s="621"/>
      <c r="E104" s="549"/>
      <c r="F104" s="596"/>
      <c r="G104" s="600"/>
      <c r="H104" s="224" t="s">
        <v>22</v>
      </c>
      <c r="I104" s="224" t="s">
        <v>23</v>
      </c>
      <c r="J104" s="6">
        <v>1</v>
      </c>
      <c r="K104" s="3">
        <v>1</v>
      </c>
      <c r="L104" s="3">
        <v>1</v>
      </c>
      <c r="M104" s="3">
        <v>1</v>
      </c>
      <c r="N104" s="3">
        <v>1</v>
      </c>
      <c r="O104" s="221"/>
      <c r="P104" s="3">
        <v>5</v>
      </c>
      <c r="Q104" s="3">
        <v>5</v>
      </c>
      <c r="R104" s="3">
        <v>5</v>
      </c>
      <c r="S104" s="3">
        <v>5</v>
      </c>
      <c r="T104" s="633"/>
    </row>
    <row r="105" spans="1:20" ht="87.75" customHeight="1">
      <c r="A105" s="630"/>
      <c r="B105" s="631"/>
      <c r="C105" s="631"/>
      <c r="D105" s="621"/>
      <c r="E105" s="549"/>
      <c r="F105" s="596"/>
      <c r="G105" s="600"/>
      <c r="H105" s="224" t="s">
        <v>24</v>
      </c>
      <c r="I105" s="224" t="s">
        <v>25</v>
      </c>
      <c r="J105" s="6">
        <v>1</v>
      </c>
      <c r="K105" s="3">
        <v>1</v>
      </c>
      <c r="L105" s="3">
        <v>1</v>
      </c>
      <c r="M105" s="3">
        <v>1</v>
      </c>
      <c r="N105" s="3">
        <v>1</v>
      </c>
      <c r="O105" s="221"/>
      <c r="P105" s="3">
        <v>5</v>
      </c>
      <c r="Q105" s="3">
        <v>5</v>
      </c>
      <c r="R105" s="3">
        <v>5</v>
      </c>
      <c r="S105" s="3">
        <v>5</v>
      </c>
      <c r="T105" s="634"/>
    </row>
    <row r="106" spans="1:20" ht="181.5" customHeight="1">
      <c r="A106" s="549"/>
      <c r="B106" s="642"/>
      <c r="C106" s="642"/>
      <c r="D106" s="621" t="s">
        <v>94</v>
      </c>
      <c r="E106" s="549" t="s">
        <v>95</v>
      </c>
      <c r="F106" s="637">
        <v>2</v>
      </c>
      <c r="G106" s="617">
        <v>1</v>
      </c>
      <c r="H106" s="224" t="s">
        <v>96</v>
      </c>
      <c r="I106" s="224" t="s">
        <v>97</v>
      </c>
      <c r="J106" s="6">
        <v>0</v>
      </c>
      <c r="K106" s="3">
        <v>1</v>
      </c>
      <c r="L106" s="3">
        <v>0</v>
      </c>
      <c r="M106" s="3">
        <v>0</v>
      </c>
      <c r="N106" s="3">
        <v>0</v>
      </c>
      <c r="O106" s="221"/>
      <c r="P106" s="3">
        <v>210</v>
      </c>
      <c r="Q106" s="3">
        <v>0</v>
      </c>
      <c r="R106" s="3">
        <v>0</v>
      </c>
      <c r="S106" s="3">
        <v>0</v>
      </c>
      <c r="T106" s="632" t="s">
        <v>30</v>
      </c>
    </row>
    <row r="107" spans="1:20" ht="159" customHeight="1">
      <c r="A107" s="549"/>
      <c r="B107" s="643"/>
      <c r="C107" s="643"/>
      <c r="D107" s="621"/>
      <c r="E107" s="549"/>
      <c r="F107" s="637"/>
      <c r="G107" s="617"/>
      <c r="H107" s="224" t="s">
        <v>98</v>
      </c>
      <c r="I107" s="224" t="s">
        <v>98</v>
      </c>
      <c r="J107" s="6">
        <v>1</v>
      </c>
      <c r="K107" s="3">
        <v>2</v>
      </c>
      <c r="L107" s="3">
        <v>2</v>
      </c>
      <c r="M107" s="3">
        <v>2</v>
      </c>
      <c r="N107" s="3">
        <v>2</v>
      </c>
      <c r="O107" s="221"/>
      <c r="P107" s="3">
        <v>4617</v>
      </c>
      <c r="Q107" s="3">
        <v>1380</v>
      </c>
      <c r="R107" s="3">
        <v>1449</v>
      </c>
      <c r="S107" s="3">
        <v>1521</v>
      </c>
      <c r="T107" s="633"/>
    </row>
    <row r="108" spans="1:20" ht="246" customHeight="1">
      <c r="A108" s="549"/>
      <c r="B108" s="643"/>
      <c r="C108" s="643"/>
      <c r="D108" s="621" t="s">
        <v>40</v>
      </c>
      <c r="E108" s="549" t="s">
        <v>41</v>
      </c>
      <c r="F108" s="637" t="s">
        <v>42</v>
      </c>
      <c r="G108" s="617" t="s">
        <v>43</v>
      </c>
      <c r="H108" s="224" t="s">
        <v>82</v>
      </c>
      <c r="I108" s="224" t="s">
        <v>83</v>
      </c>
      <c r="J108" s="6">
        <v>1</v>
      </c>
      <c r="K108" s="3">
        <v>12</v>
      </c>
      <c r="L108" s="3">
        <v>12</v>
      </c>
      <c r="M108" s="3">
        <v>12</v>
      </c>
      <c r="N108" s="3">
        <v>12</v>
      </c>
      <c r="O108" s="221"/>
      <c r="P108" s="3">
        <v>0</v>
      </c>
      <c r="Q108" s="3">
        <v>0</v>
      </c>
      <c r="R108" s="3">
        <v>0</v>
      </c>
      <c r="S108" s="3">
        <v>0</v>
      </c>
      <c r="T108" s="633"/>
    </row>
    <row r="109" spans="1:20" ht="210.75" customHeight="1">
      <c r="A109" s="549"/>
      <c r="B109" s="643"/>
      <c r="C109" s="643"/>
      <c r="D109" s="621"/>
      <c r="E109" s="549"/>
      <c r="F109" s="637"/>
      <c r="G109" s="637"/>
      <c r="H109" s="224" t="s">
        <v>84</v>
      </c>
      <c r="I109" s="224" t="s">
        <v>85</v>
      </c>
      <c r="J109" s="6">
        <v>1</v>
      </c>
      <c r="K109" s="3">
        <v>1</v>
      </c>
      <c r="L109" s="3">
        <v>1</v>
      </c>
      <c r="M109" s="3">
        <v>1</v>
      </c>
      <c r="N109" s="3">
        <v>1</v>
      </c>
      <c r="O109" s="221"/>
      <c r="P109" s="3">
        <v>100</v>
      </c>
      <c r="Q109" s="3">
        <v>105</v>
      </c>
      <c r="R109" s="3">
        <v>110</v>
      </c>
      <c r="S109" s="3">
        <v>115</v>
      </c>
      <c r="T109" s="633"/>
    </row>
    <row r="110" spans="1:20" ht="117.75" customHeight="1">
      <c r="A110" s="549"/>
      <c r="B110" s="643"/>
      <c r="C110" s="643"/>
      <c r="D110" s="621"/>
      <c r="E110" s="549"/>
      <c r="F110" s="637"/>
      <c r="G110" s="637"/>
      <c r="H110" s="224" t="s">
        <v>86</v>
      </c>
      <c r="I110" s="224" t="s">
        <v>86</v>
      </c>
      <c r="J110" s="6">
        <v>1</v>
      </c>
      <c r="K110" s="3">
        <v>1000</v>
      </c>
      <c r="L110" s="3">
        <v>1000</v>
      </c>
      <c r="M110" s="3">
        <v>1000</v>
      </c>
      <c r="N110" s="3">
        <v>1000</v>
      </c>
      <c r="O110" s="221"/>
      <c r="P110" s="3">
        <v>0</v>
      </c>
      <c r="Q110" s="3">
        <v>0</v>
      </c>
      <c r="R110" s="3">
        <v>0</v>
      </c>
      <c r="S110" s="3">
        <v>0</v>
      </c>
      <c r="T110" s="633"/>
    </row>
    <row r="111" spans="1:20" ht="213" customHeight="1">
      <c r="A111" s="549"/>
      <c r="B111" s="643"/>
      <c r="C111" s="643"/>
      <c r="D111" s="621"/>
      <c r="E111" s="549"/>
      <c r="F111" s="637"/>
      <c r="G111" s="637"/>
      <c r="H111" s="224" t="s">
        <v>87</v>
      </c>
      <c r="I111" s="224" t="s">
        <v>87</v>
      </c>
      <c r="J111" s="113">
        <v>0</v>
      </c>
      <c r="K111" s="3">
        <v>10</v>
      </c>
      <c r="L111" s="3">
        <v>10</v>
      </c>
      <c r="M111" s="3">
        <v>10</v>
      </c>
      <c r="N111" s="3">
        <v>10</v>
      </c>
      <c r="O111" s="221"/>
      <c r="P111" s="3">
        <v>15</v>
      </c>
      <c r="Q111" s="3">
        <v>16</v>
      </c>
      <c r="R111" s="3">
        <v>17</v>
      </c>
      <c r="S111" s="3">
        <v>18</v>
      </c>
      <c r="T111" s="633"/>
    </row>
    <row r="112" spans="1:20" ht="132" customHeight="1">
      <c r="A112" s="549"/>
      <c r="B112" s="643"/>
      <c r="C112" s="643"/>
      <c r="D112" s="621"/>
      <c r="E112" s="549"/>
      <c r="F112" s="637"/>
      <c r="G112" s="637"/>
      <c r="H112" s="224" t="s">
        <v>88</v>
      </c>
      <c r="I112" s="224" t="s">
        <v>88</v>
      </c>
      <c r="J112" s="6">
        <v>1</v>
      </c>
      <c r="K112" s="3">
        <v>2</v>
      </c>
      <c r="L112" s="3">
        <v>2</v>
      </c>
      <c r="M112" s="3">
        <v>2</v>
      </c>
      <c r="N112" s="3">
        <v>2</v>
      </c>
      <c r="O112" s="221"/>
      <c r="P112" s="3">
        <v>11</v>
      </c>
      <c r="Q112" s="3">
        <v>12</v>
      </c>
      <c r="R112" s="3">
        <v>13</v>
      </c>
      <c r="S112" s="3">
        <v>14</v>
      </c>
      <c r="T112" s="633"/>
    </row>
    <row r="113" spans="1:20" ht="108.75" customHeight="1">
      <c r="A113" s="549"/>
      <c r="B113" s="643"/>
      <c r="C113" s="643"/>
      <c r="D113" s="621"/>
      <c r="E113" s="549"/>
      <c r="F113" s="637"/>
      <c r="G113" s="637"/>
      <c r="H113" s="224" t="s">
        <v>89</v>
      </c>
      <c r="I113" s="224" t="s">
        <v>90</v>
      </c>
      <c r="J113" s="6">
        <v>0</v>
      </c>
      <c r="K113" s="3">
        <v>1</v>
      </c>
      <c r="L113" s="3">
        <v>0</v>
      </c>
      <c r="M113" s="3">
        <v>0</v>
      </c>
      <c r="N113" s="3">
        <v>0</v>
      </c>
      <c r="O113" s="221"/>
      <c r="P113" s="3">
        <v>417</v>
      </c>
      <c r="Q113" s="3">
        <v>438</v>
      </c>
      <c r="R113" s="3">
        <v>460</v>
      </c>
      <c r="S113" s="3">
        <v>483</v>
      </c>
      <c r="T113" s="633"/>
    </row>
    <row r="114" spans="1:20" ht="216.75">
      <c r="A114" s="549"/>
      <c r="B114" s="643"/>
      <c r="C114" s="643"/>
      <c r="D114" s="621"/>
      <c r="E114" s="549"/>
      <c r="F114" s="637"/>
      <c r="G114" s="637"/>
      <c r="H114" s="224" t="s">
        <v>91</v>
      </c>
      <c r="I114" s="224" t="s">
        <v>92</v>
      </c>
      <c r="J114" s="6">
        <v>0</v>
      </c>
      <c r="K114" s="3">
        <v>1</v>
      </c>
      <c r="L114" s="3">
        <v>0</v>
      </c>
      <c r="M114" s="3">
        <v>0</v>
      </c>
      <c r="N114" s="3">
        <v>0</v>
      </c>
      <c r="O114" s="221"/>
      <c r="P114" s="3">
        <v>400</v>
      </c>
      <c r="Q114" s="3">
        <v>420</v>
      </c>
      <c r="R114" s="3">
        <v>440</v>
      </c>
      <c r="S114" s="3">
        <v>460</v>
      </c>
      <c r="T114" s="633"/>
    </row>
    <row r="115" spans="1:20" ht="127.5">
      <c r="A115" s="549"/>
      <c r="B115" s="643"/>
      <c r="C115" s="643"/>
      <c r="D115" s="621"/>
      <c r="E115" s="549"/>
      <c r="F115" s="637"/>
      <c r="G115" s="637"/>
      <c r="H115" s="224" t="s">
        <v>93</v>
      </c>
      <c r="I115" s="224" t="s">
        <v>93</v>
      </c>
      <c r="J115" s="6">
        <v>0</v>
      </c>
      <c r="K115" s="3">
        <v>1</v>
      </c>
      <c r="L115" s="3">
        <v>1</v>
      </c>
      <c r="M115" s="3">
        <v>1</v>
      </c>
      <c r="N115" s="3">
        <v>1</v>
      </c>
      <c r="O115" s="221"/>
      <c r="P115" s="3">
        <v>0</v>
      </c>
      <c r="Q115" s="3">
        <v>0</v>
      </c>
      <c r="R115" s="3">
        <v>0</v>
      </c>
      <c r="S115" s="3">
        <v>0</v>
      </c>
      <c r="T115" s="633"/>
    </row>
    <row r="116" spans="1:20" ht="222.75" customHeight="1">
      <c r="A116" s="549"/>
      <c r="B116" s="643"/>
      <c r="C116" s="643"/>
      <c r="D116" s="621" t="s">
        <v>32</v>
      </c>
      <c r="E116" s="549" t="s">
        <v>33</v>
      </c>
      <c r="F116" s="637">
        <v>55</v>
      </c>
      <c r="G116" s="617">
        <v>1</v>
      </c>
      <c r="H116" s="230" t="s">
        <v>34</v>
      </c>
      <c r="I116" s="230" t="s">
        <v>35</v>
      </c>
      <c r="J116" s="6">
        <v>1</v>
      </c>
      <c r="K116" s="3">
        <v>20</v>
      </c>
      <c r="L116" s="3">
        <v>20</v>
      </c>
      <c r="M116" s="3">
        <v>20</v>
      </c>
      <c r="N116" s="3">
        <v>20</v>
      </c>
      <c r="O116" s="221"/>
      <c r="P116" s="3">
        <v>3</v>
      </c>
      <c r="Q116" s="3">
        <v>3</v>
      </c>
      <c r="R116" s="3">
        <v>3</v>
      </c>
      <c r="S116" s="3">
        <v>3</v>
      </c>
      <c r="T116" s="633"/>
    </row>
    <row r="117" spans="1:20" ht="228" customHeight="1">
      <c r="A117" s="549"/>
      <c r="B117" s="643"/>
      <c r="C117" s="643"/>
      <c r="D117" s="621"/>
      <c r="E117" s="549"/>
      <c r="F117" s="637"/>
      <c r="G117" s="637"/>
      <c r="H117" s="230" t="s">
        <v>36</v>
      </c>
      <c r="I117" s="230" t="s">
        <v>37</v>
      </c>
      <c r="J117" s="6">
        <v>1</v>
      </c>
      <c r="K117" s="3">
        <v>1000</v>
      </c>
      <c r="L117" s="3">
        <v>1000</v>
      </c>
      <c r="M117" s="3">
        <v>1000</v>
      </c>
      <c r="N117" s="3">
        <v>1000</v>
      </c>
      <c r="O117" s="221"/>
      <c r="P117" s="3">
        <v>5</v>
      </c>
      <c r="Q117" s="3">
        <v>5</v>
      </c>
      <c r="R117" s="3">
        <v>5</v>
      </c>
      <c r="S117" s="3">
        <v>5</v>
      </c>
      <c r="T117" s="633"/>
    </row>
    <row r="118" spans="1:20" ht="205.5" customHeight="1">
      <c r="A118" s="549"/>
      <c r="B118" s="644"/>
      <c r="C118" s="644"/>
      <c r="D118" s="621"/>
      <c r="E118" s="549"/>
      <c r="F118" s="637"/>
      <c r="G118" s="637"/>
      <c r="H118" s="230" t="s">
        <v>38</v>
      </c>
      <c r="I118" s="230" t="s">
        <v>39</v>
      </c>
      <c r="J118" s="6">
        <v>1</v>
      </c>
      <c r="K118" s="3">
        <v>40</v>
      </c>
      <c r="L118" s="3">
        <v>40</v>
      </c>
      <c r="M118" s="3">
        <v>40</v>
      </c>
      <c r="N118" s="3">
        <v>40</v>
      </c>
      <c r="O118" s="221"/>
      <c r="P118" s="3">
        <v>4</v>
      </c>
      <c r="Q118" s="3">
        <v>4</v>
      </c>
      <c r="R118" s="3">
        <v>4</v>
      </c>
      <c r="S118" s="3">
        <v>4</v>
      </c>
      <c r="T118" s="634"/>
    </row>
    <row r="119" spans="1:20" ht="51">
      <c r="A119" s="592" t="s">
        <v>100</v>
      </c>
      <c r="B119" s="549"/>
      <c r="C119" s="549"/>
      <c r="D119" s="14" t="s">
        <v>101</v>
      </c>
      <c r="E119" s="14" t="s">
        <v>102</v>
      </c>
      <c r="F119" s="3" t="s">
        <v>103</v>
      </c>
      <c r="G119" s="231"/>
      <c r="H119" s="14" t="s">
        <v>104</v>
      </c>
      <c r="I119" s="14" t="s">
        <v>105</v>
      </c>
      <c r="J119" s="3">
        <v>2</v>
      </c>
      <c r="K119" s="3">
        <v>4</v>
      </c>
      <c r="L119" s="3">
        <v>4</v>
      </c>
      <c r="M119" s="3">
        <v>4</v>
      </c>
      <c r="N119" s="3">
        <v>4</v>
      </c>
      <c r="O119" s="221"/>
      <c r="P119" s="3" t="s">
        <v>2390</v>
      </c>
      <c r="Q119" s="3" t="s">
        <v>2390</v>
      </c>
      <c r="R119" s="3" t="s">
        <v>2390</v>
      </c>
      <c r="S119" s="3" t="s">
        <v>2390</v>
      </c>
      <c r="T119" s="650" t="s">
        <v>373</v>
      </c>
    </row>
    <row r="120" spans="1:20" ht="127.5">
      <c r="A120" s="592"/>
      <c r="B120" s="549"/>
      <c r="C120" s="549"/>
      <c r="D120" s="14" t="s">
        <v>106</v>
      </c>
      <c r="E120" s="14" t="s">
        <v>107</v>
      </c>
      <c r="F120" s="151" t="s">
        <v>108</v>
      </c>
      <c r="G120" s="151"/>
      <c r="H120" s="14" t="s">
        <v>109</v>
      </c>
      <c r="I120" s="14" t="s">
        <v>110</v>
      </c>
      <c r="J120" s="3">
        <v>20</v>
      </c>
      <c r="K120" s="3">
        <v>6</v>
      </c>
      <c r="L120" s="3">
        <v>7</v>
      </c>
      <c r="M120" s="3">
        <v>6</v>
      </c>
      <c r="N120" s="3">
        <v>6</v>
      </c>
      <c r="O120" s="221"/>
      <c r="P120" s="3">
        <v>24500</v>
      </c>
      <c r="Q120" s="3">
        <v>26800</v>
      </c>
      <c r="R120" s="3">
        <v>29500</v>
      </c>
      <c r="S120" s="3">
        <v>33000</v>
      </c>
      <c r="T120" s="650"/>
    </row>
    <row r="121" spans="1:20" ht="51">
      <c r="A121" s="592"/>
      <c r="B121" s="549"/>
      <c r="C121" s="549"/>
      <c r="D121" s="14" t="s">
        <v>127</v>
      </c>
      <c r="E121" s="178" t="s">
        <v>128</v>
      </c>
      <c r="F121" s="97" t="s">
        <v>367</v>
      </c>
      <c r="G121" s="231"/>
      <c r="H121" s="14" t="s">
        <v>129</v>
      </c>
      <c r="I121" s="14" t="s">
        <v>130</v>
      </c>
      <c r="J121" s="3">
        <v>30</v>
      </c>
      <c r="K121" s="97">
        <v>1</v>
      </c>
      <c r="L121" s="97">
        <v>1</v>
      </c>
      <c r="M121" s="97">
        <v>1</v>
      </c>
      <c r="N121" s="97">
        <v>1</v>
      </c>
      <c r="O121" s="240"/>
      <c r="P121" s="3">
        <v>24500</v>
      </c>
      <c r="Q121" s="3">
        <v>26800</v>
      </c>
      <c r="R121" s="3">
        <v>29500</v>
      </c>
      <c r="S121" s="3">
        <v>33000</v>
      </c>
      <c r="T121" s="650"/>
    </row>
    <row r="122" spans="1:20" ht="38.25">
      <c r="A122" s="592"/>
      <c r="B122" s="549"/>
      <c r="C122" s="549"/>
      <c r="D122" s="14" t="s">
        <v>131</v>
      </c>
      <c r="E122" s="178" t="s">
        <v>132</v>
      </c>
      <c r="F122" s="638" t="s">
        <v>368</v>
      </c>
      <c r="G122" s="640"/>
      <c r="H122" s="549" t="s">
        <v>133</v>
      </c>
      <c r="I122" s="549" t="s">
        <v>134</v>
      </c>
      <c r="J122" s="640">
        <v>4</v>
      </c>
      <c r="K122" s="638">
        <v>1</v>
      </c>
      <c r="L122" s="638">
        <v>1</v>
      </c>
      <c r="M122" s="638">
        <v>1</v>
      </c>
      <c r="N122" s="638">
        <v>1</v>
      </c>
      <c r="O122" s="645"/>
      <c r="P122" s="640">
        <v>57000</v>
      </c>
      <c r="Q122" s="640">
        <v>63000</v>
      </c>
      <c r="R122" s="640">
        <v>69000</v>
      </c>
      <c r="S122" s="640">
        <v>72000</v>
      </c>
      <c r="T122" s="650"/>
    </row>
    <row r="123" spans="1:20" ht="51">
      <c r="A123" s="592"/>
      <c r="B123" s="549"/>
      <c r="C123" s="549"/>
      <c r="D123" s="14" t="s">
        <v>135</v>
      </c>
      <c r="E123" s="178" t="s">
        <v>136</v>
      </c>
      <c r="F123" s="639"/>
      <c r="G123" s="636"/>
      <c r="H123" s="549"/>
      <c r="I123" s="549"/>
      <c r="J123" s="636"/>
      <c r="K123" s="639"/>
      <c r="L123" s="639"/>
      <c r="M123" s="639"/>
      <c r="N123" s="639"/>
      <c r="O123" s="646"/>
      <c r="P123" s="636"/>
      <c r="Q123" s="636"/>
      <c r="R123" s="636"/>
      <c r="S123" s="636"/>
      <c r="T123" s="650"/>
    </row>
    <row r="124" spans="1:20" ht="38.25">
      <c r="A124" s="592"/>
      <c r="B124" s="549"/>
      <c r="C124" s="549"/>
      <c r="D124" s="14" t="s">
        <v>137</v>
      </c>
      <c r="E124" s="178" t="s">
        <v>138</v>
      </c>
      <c r="F124" s="97" t="s">
        <v>368</v>
      </c>
      <c r="G124" s="3"/>
      <c r="H124" s="549" t="s">
        <v>139</v>
      </c>
      <c r="I124" s="549" t="s">
        <v>140</v>
      </c>
      <c r="J124" s="640">
        <v>1</v>
      </c>
      <c r="K124" s="640">
        <v>1</v>
      </c>
      <c r="L124" s="640">
        <v>2</v>
      </c>
      <c r="M124" s="640">
        <v>2</v>
      </c>
      <c r="N124" s="640">
        <v>2</v>
      </c>
      <c r="O124" s="648"/>
      <c r="P124" s="640">
        <f>72000-7000</f>
        <v>65000</v>
      </c>
      <c r="Q124" s="640">
        <v>71500</v>
      </c>
      <c r="R124" s="640">
        <f>71500+6000</f>
        <v>77500</v>
      </c>
      <c r="S124" s="640">
        <f>77500+6000</f>
        <v>83500</v>
      </c>
      <c r="T124" s="650"/>
    </row>
    <row r="125" spans="1:20" ht="38.25">
      <c r="A125" s="592"/>
      <c r="B125" s="549"/>
      <c r="C125" s="549"/>
      <c r="D125" s="14" t="s">
        <v>141</v>
      </c>
      <c r="E125" s="178" t="s">
        <v>142</v>
      </c>
      <c r="F125" s="232" t="s">
        <v>369</v>
      </c>
      <c r="G125" s="153"/>
      <c r="H125" s="549"/>
      <c r="I125" s="549"/>
      <c r="J125" s="636"/>
      <c r="K125" s="636"/>
      <c r="L125" s="636"/>
      <c r="M125" s="636"/>
      <c r="N125" s="636"/>
      <c r="O125" s="649"/>
      <c r="P125" s="636"/>
      <c r="Q125" s="636"/>
      <c r="R125" s="636"/>
      <c r="S125" s="636"/>
      <c r="T125" s="650"/>
    </row>
    <row r="126" spans="1:20" ht="36" customHeight="1">
      <c r="A126" s="592"/>
      <c r="B126" s="549"/>
      <c r="C126" s="549"/>
      <c r="D126" s="14" t="s">
        <v>143</v>
      </c>
      <c r="E126" s="178" t="s">
        <v>144</v>
      </c>
      <c r="F126" s="97" t="s">
        <v>370</v>
      </c>
      <c r="G126" s="3"/>
      <c r="H126" s="560" t="s">
        <v>145</v>
      </c>
      <c r="I126" s="560" t="s">
        <v>146</v>
      </c>
      <c r="J126" s="640">
        <v>4</v>
      </c>
      <c r="K126" s="640">
        <v>3</v>
      </c>
      <c r="L126" s="640">
        <v>3</v>
      </c>
      <c r="M126" s="640">
        <v>3</v>
      </c>
      <c r="N126" s="640">
        <v>3</v>
      </c>
      <c r="O126" s="648"/>
      <c r="P126" s="640">
        <v>56000</v>
      </c>
      <c r="Q126" s="640">
        <f>56000+5600</f>
        <v>61600</v>
      </c>
      <c r="R126" s="640">
        <f>61600+5000</f>
        <v>66600</v>
      </c>
      <c r="S126" s="640">
        <f>66600+5000</f>
        <v>71600</v>
      </c>
      <c r="T126" s="650"/>
    </row>
    <row r="127" spans="1:20" ht="38.25">
      <c r="A127" s="592"/>
      <c r="B127" s="549"/>
      <c r="C127" s="549"/>
      <c r="D127" s="14" t="s">
        <v>147</v>
      </c>
      <c r="E127" s="178" t="s">
        <v>1350</v>
      </c>
      <c r="F127" s="97" t="s">
        <v>371</v>
      </c>
      <c r="G127" s="3"/>
      <c r="H127" s="619"/>
      <c r="I127" s="619"/>
      <c r="J127" s="641"/>
      <c r="K127" s="641"/>
      <c r="L127" s="641"/>
      <c r="M127" s="641"/>
      <c r="N127" s="641"/>
      <c r="O127" s="654"/>
      <c r="P127" s="641"/>
      <c r="Q127" s="641"/>
      <c r="R127" s="641"/>
      <c r="S127" s="641"/>
      <c r="T127" s="650"/>
    </row>
    <row r="128" spans="1:20" ht="38.25">
      <c r="A128" s="592"/>
      <c r="B128" s="549"/>
      <c r="C128" s="549"/>
      <c r="D128" s="14" t="s">
        <v>1351</v>
      </c>
      <c r="E128" s="178" t="s">
        <v>365</v>
      </c>
      <c r="F128" s="232" t="s">
        <v>372</v>
      </c>
      <c r="G128" s="3"/>
      <c r="H128" s="604"/>
      <c r="I128" s="604"/>
      <c r="J128" s="636"/>
      <c r="K128" s="636"/>
      <c r="L128" s="636"/>
      <c r="M128" s="636"/>
      <c r="N128" s="636"/>
      <c r="O128" s="649"/>
      <c r="P128" s="636"/>
      <c r="Q128" s="636"/>
      <c r="R128" s="636"/>
      <c r="S128" s="636"/>
      <c r="T128" s="650"/>
    </row>
    <row r="129" spans="1:20" ht="51">
      <c r="A129" s="592"/>
      <c r="B129" s="549"/>
      <c r="C129" s="549"/>
      <c r="D129" s="14" t="s">
        <v>111</v>
      </c>
      <c r="E129" s="178" t="s">
        <v>112</v>
      </c>
      <c r="F129" s="3" t="s">
        <v>113</v>
      </c>
      <c r="G129" s="231"/>
      <c r="H129" s="14" t="s">
        <v>114</v>
      </c>
      <c r="I129" s="14" t="s">
        <v>115</v>
      </c>
      <c r="J129" s="3">
        <v>250</v>
      </c>
      <c r="K129" s="3">
        <v>62</v>
      </c>
      <c r="L129" s="3">
        <v>63</v>
      </c>
      <c r="M129" s="3">
        <v>63</v>
      </c>
      <c r="N129" s="3">
        <v>62</v>
      </c>
      <c r="O129" s="221"/>
      <c r="P129" s="3">
        <v>15000</v>
      </c>
      <c r="Q129" s="3">
        <v>19000</v>
      </c>
      <c r="R129" s="3">
        <v>22000</v>
      </c>
      <c r="S129" s="3">
        <v>25000</v>
      </c>
      <c r="T129" s="650"/>
    </row>
    <row r="130" spans="1:20" ht="63.75">
      <c r="A130" s="592"/>
      <c r="B130" s="549"/>
      <c r="C130" s="549"/>
      <c r="D130" s="14" t="s">
        <v>123</v>
      </c>
      <c r="E130" s="178" t="s">
        <v>124</v>
      </c>
      <c r="F130" s="3" t="s">
        <v>125</v>
      </c>
      <c r="G130" s="231"/>
      <c r="H130" s="14" t="s">
        <v>366</v>
      </c>
      <c r="I130" s="14" t="s">
        <v>126</v>
      </c>
      <c r="J130" s="3">
        <v>30</v>
      </c>
      <c r="K130" s="3">
        <v>10</v>
      </c>
      <c r="L130" s="3">
        <v>10</v>
      </c>
      <c r="M130" s="3">
        <v>10</v>
      </c>
      <c r="N130" s="3">
        <v>10</v>
      </c>
      <c r="O130" s="221"/>
      <c r="P130" s="3">
        <v>6000</v>
      </c>
      <c r="Q130" s="3">
        <v>6500</v>
      </c>
      <c r="R130" s="3">
        <v>7000</v>
      </c>
      <c r="S130" s="3">
        <v>7500</v>
      </c>
      <c r="T130" s="650"/>
    </row>
    <row r="131" spans="1:20" ht="63.75">
      <c r="A131" s="549" t="s">
        <v>374</v>
      </c>
      <c r="B131" s="127"/>
      <c r="C131" s="127"/>
      <c r="D131" s="3" t="s">
        <v>375</v>
      </c>
      <c r="E131" s="3" t="s">
        <v>376</v>
      </c>
      <c r="F131" s="3" t="s">
        <v>1388</v>
      </c>
      <c r="G131" s="3"/>
      <c r="H131" s="3" t="s">
        <v>378</v>
      </c>
      <c r="I131" s="14" t="s">
        <v>379</v>
      </c>
      <c r="J131" s="3">
        <v>11</v>
      </c>
      <c r="K131" s="3" t="s">
        <v>377</v>
      </c>
      <c r="L131" s="3" t="s">
        <v>377</v>
      </c>
      <c r="M131" s="3" t="s">
        <v>377</v>
      </c>
      <c r="N131" s="3" t="s">
        <v>377</v>
      </c>
      <c r="O131" s="13"/>
      <c r="P131" s="235">
        <v>56870</v>
      </c>
      <c r="Q131" s="235">
        <v>62557</v>
      </c>
      <c r="R131" s="235">
        <v>68812.7</v>
      </c>
      <c r="S131" s="235">
        <v>75693.97</v>
      </c>
      <c r="T131" s="653" t="s">
        <v>373</v>
      </c>
    </row>
    <row r="132" spans="1:20" ht="38.25">
      <c r="A132" s="549"/>
      <c r="B132" s="127"/>
      <c r="C132" s="127"/>
      <c r="D132" s="3" t="s">
        <v>380</v>
      </c>
      <c r="E132" s="3" t="s">
        <v>381</v>
      </c>
      <c r="F132" s="105" t="s">
        <v>1389</v>
      </c>
      <c r="G132" s="3"/>
      <c r="H132" s="152" t="s">
        <v>382</v>
      </c>
      <c r="I132" s="94" t="s">
        <v>383</v>
      </c>
      <c r="J132" s="3">
        <v>6781</v>
      </c>
      <c r="K132" s="3" t="s">
        <v>384</v>
      </c>
      <c r="L132" s="3" t="s">
        <v>385</v>
      </c>
      <c r="M132" s="3" t="s">
        <v>386</v>
      </c>
      <c r="N132" s="3" t="s">
        <v>387</v>
      </c>
      <c r="O132" s="13"/>
      <c r="P132" s="235">
        <v>11370</v>
      </c>
      <c r="Q132" s="235">
        <v>12507</v>
      </c>
      <c r="R132" s="235">
        <v>13757.7</v>
      </c>
      <c r="S132" s="235">
        <v>15133.470000000001</v>
      </c>
      <c r="T132" s="653"/>
    </row>
    <row r="133" spans="1:20" ht="51">
      <c r="A133" s="549"/>
      <c r="B133" s="127"/>
      <c r="C133" s="127"/>
      <c r="D133" s="3" t="s">
        <v>388</v>
      </c>
      <c r="E133" s="3" t="s">
        <v>389</v>
      </c>
      <c r="F133" s="105" t="s">
        <v>1390</v>
      </c>
      <c r="G133" s="3"/>
      <c r="H133" s="152" t="s">
        <v>390</v>
      </c>
      <c r="I133" s="94" t="s">
        <v>391</v>
      </c>
      <c r="J133" s="3">
        <v>15</v>
      </c>
      <c r="K133" s="6">
        <v>1</v>
      </c>
      <c r="L133" s="6">
        <v>1</v>
      </c>
      <c r="M133" s="6">
        <v>1</v>
      </c>
      <c r="N133" s="6">
        <v>1</v>
      </c>
      <c r="O133" s="222"/>
      <c r="P133" s="647">
        <v>4073</v>
      </c>
      <c r="Q133" s="647">
        <v>4486</v>
      </c>
      <c r="R133" s="647">
        <v>4934</v>
      </c>
      <c r="S133" s="647">
        <v>5428</v>
      </c>
      <c r="T133" s="653"/>
    </row>
    <row r="134" spans="1:20" ht="51">
      <c r="A134" s="549"/>
      <c r="B134" s="127"/>
      <c r="C134" s="127"/>
      <c r="D134" s="3" t="s">
        <v>392</v>
      </c>
      <c r="E134" s="3" t="s">
        <v>393</v>
      </c>
      <c r="F134" s="3" t="s">
        <v>394</v>
      </c>
      <c r="G134" s="3"/>
      <c r="H134" s="3" t="s">
        <v>395</v>
      </c>
      <c r="I134" s="3" t="s">
        <v>396</v>
      </c>
      <c r="J134" s="3" t="s">
        <v>397</v>
      </c>
      <c r="K134" s="3" t="s">
        <v>398</v>
      </c>
      <c r="L134" s="6">
        <v>0.8</v>
      </c>
      <c r="M134" s="6">
        <v>0.8</v>
      </c>
      <c r="N134" s="6">
        <v>0.8</v>
      </c>
      <c r="O134" s="220"/>
      <c r="P134" s="647"/>
      <c r="Q134" s="647"/>
      <c r="R134" s="647"/>
      <c r="S134" s="647"/>
      <c r="T134" s="653"/>
    </row>
    <row r="135" spans="1:20" ht="51">
      <c r="A135" s="549"/>
      <c r="B135" s="127"/>
      <c r="C135" s="127"/>
      <c r="D135" s="3" t="s">
        <v>399</v>
      </c>
      <c r="E135" s="3" t="s">
        <v>400</v>
      </c>
      <c r="F135" s="105" t="s">
        <v>1391</v>
      </c>
      <c r="G135" s="2"/>
      <c r="H135" s="152" t="s">
        <v>401</v>
      </c>
      <c r="I135" s="94" t="s">
        <v>402</v>
      </c>
      <c r="J135" s="3">
        <v>9800</v>
      </c>
      <c r="K135" s="105">
        <v>0.9894</v>
      </c>
      <c r="L135" s="105">
        <v>0.9894</v>
      </c>
      <c r="M135" s="105">
        <v>0.9894</v>
      </c>
      <c r="N135" s="105">
        <v>0.9894</v>
      </c>
      <c r="O135" s="222"/>
      <c r="P135" s="235">
        <v>5625</v>
      </c>
      <c r="Q135" s="235">
        <v>6187.5</v>
      </c>
      <c r="R135" s="235">
        <v>6806.25</v>
      </c>
      <c r="S135" s="235">
        <v>7486.875</v>
      </c>
      <c r="T135" s="653"/>
    </row>
    <row r="136" spans="1:20" ht="114.75">
      <c r="A136" s="549"/>
      <c r="B136" s="127"/>
      <c r="C136" s="127"/>
      <c r="D136" s="3" t="s">
        <v>403</v>
      </c>
      <c r="E136" s="3" t="s">
        <v>2362</v>
      </c>
      <c r="F136" s="10" t="s">
        <v>1392</v>
      </c>
      <c r="G136" s="3"/>
      <c r="H136" s="14" t="s">
        <v>2363</v>
      </c>
      <c r="I136" s="3" t="s">
        <v>2364</v>
      </c>
      <c r="J136" s="3">
        <v>11</v>
      </c>
      <c r="K136" s="105">
        <v>0.11</v>
      </c>
      <c r="L136" s="105">
        <v>0.333</v>
      </c>
      <c r="M136" s="105">
        <v>0.333</v>
      </c>
      <c r="N136" s="105">
        <v>0.222</v>
      </c>
      <c r="O136" s="220"/>
      <c r="P136" s="235">
        <v>39117.5</v>
      </c>
      <c r="Q136" s="235">
        <v>43029.25</v>
      </c>
      <c r="R136" s="235">
        <v>47332.175</v>
      </c>
      <c r="S136" s="235">
        <v>52065.3925</v>
      </c>
      <c r="T136" s="653"/>
    </row>
    <row r="137" spans="1:20" ht="63.75">
      <c r="A137" s="549"/>
      <c r="B137" s="127"/>
      <c r="C137" s="127"/>
      <c r="D137" s="3" t="s">
        <v>2365</v>
      </c>
      <c r="E137" s="3" t="s">
        <v>2366</v>
      </c>
      <c r="F137" s="10" t="s">
        <v>1393</v>
      </c>
      <c r="G137" s="3"/>
      <c r="H137" s="14" t="s">
        <v>2367</v>
      </c>
      <c r="I137" s="3" t="s">
        <v>1352</v>
      </c>
      <c r="J137" s="3" t="s">
        <v>1353</v>
      </c>
      <c r="K137" s="6">
        <v>0.25</v>
      </c>
      <c r="L137" s="6">
        <v>0.25</v>
      </c>
      <c r="M137" s="6">
        <v>0.25</v>
      </c>
      <c r="N137" s="6">
        <v>1</v>
      </c>
      <c r="O137" s="220"/>
      <c r="P137" s="235">
        <v>9450.8334</v>
      </c>
      <c r="Q137" s="235">
        <v>10395.916739999999</v>
      </c>
      <c r="R137" s="235">
        <v>11435.508413999998</v>
      </c>
      <c r="S137" s="235">
        <v>12579.059255399998</v>
      </c>
      <c r="T137" s="653"/>
    </row>
    <row r="138" spans="1:20" ht="140.25">
      <c r="A138" s="549"/>
      <c r="B138" s="127"/>
      <c r="C138" s="127"/>
      <c r="D138" s="3" t="s">
        <v>1354</v>
      </c>
      <c r="E138" s="3" t="s">
        <v>1355</v>
      </c>
      <c r="F138" s="3" t="s">
        <v>1394</v>
      </c>
      <c r="G138" s="3"/>
      <c r="H138" s="14" t="s">
        <v>1356</v>
      </c>
      <c r="I138" s="3" t="s">
        <v>1357</v>
      </c>
      <c r="J138" s="3" t="s">
        <v>1358</v>
      </c>
      <c r="K138" s="6">
        <v>0.25</v>
      </c>
      <c r="L138" s="6">
        <v>0.25</v>
      </c>
      <c r="M138" s="6">
        <v>0.25</v>
      </c>
      <c r="N138" s="6">
        <v>0.25</v>
      </c>
      <c r="O138" s="220"/>
      <c r="P138" s="235">
        <v>25723.333300000002</v>
      </c>
      <c r="Q138" s="235">
        <v>28295.666630000003</v>
      </c>
      <c r="R138" s="235">
        <v>31125.233293000005</v>
      </c>
      <c r="S138" s="235">
        <v>34237.7566223</v>
      </c>
      <c r="T138" s="653"/>
    </row>
    <row r="139" spans="1:20" ht="76.5">
      <c r="A139" s="549"/>
      <c r="B139" s="127"/>
      <c r="C139" s="127"/>
      <c r="D139" s="3" t="s">
        <v>1359</v>
      </c>
      <c r="E139" s="3" t="s">
        <v>1360</v>
      </c>
      <c r="F139" s="178" t="s">
        <v>1395</v>
      </c>
      <c r="G139" s="3"/>
      <c r="H139" s="14" t="s">
        <v>1361</v>
      </c>
      <c r="I139" s="14" t="s">
        <v>379</v>
      </c>
      <c r="J139" s="3">
        <v>16</v>
      </c>
      <c r="K139" s="6">
        <v>0.25</v>
      </c>
      <c r="L139" s="6">
        <v>0.25</v>
      </c>
      <c r="M139" s="6">
        <v>0.25</v>
      </c>
      <c r="N139" s="6">
        <v>1</v>
      </c>
      <c r="O139" s="220"/>
      <c r="P139" s="235">
        <v>7625</v>
      </c>
      <c r="Q139" s="235">
        <v>8387.5</v>
      </c>
      <c r="R139" s="235">
        <v>9226.25</v>
      </c>
      <c r="S139" s="235">
        <v>10148.875</v>
      </c>
      <c r="T139" s="653"/>
    </row>
    <row r="140" spans="1:20" ht="51">
      <c r="A140" s="549"/>
      <c r="B140" s="127"/>
      <c r="C140" s="127"/>
      <c r="D140" s="3" t="s">
        <v>1362</v>
      </c>
      <c r="E140" s="3" t="s">
        <v>1363</v>
      </c>
      <c r="F140" s="3" t="s">
        <v>394</v>
      </c>
      <c r="G140" s="3"/>
      <c r="H140" s="14" t="s">
        <v>1364</v>
      </c>
      <c r="I140" s="3" t="s">
        <v>1365</v>
      </c>
      <c r="J140" s="3" t="s">
        <v>1353</v>
      </c>
      <c r="K140" s="6">
        <v>0.25</v>
      </c>
      <c r="L140" s="6">
        <v>0.25</v>
      </c>
      <c r="M140" s="6">
        <v>0.25</v>
      </c>
      <c r="N140" s="6">
        <v>0.25</v>
      </c>
      <c r="O140" s="220"/>
      <c r="P140" s="235">
        <v>12235</v>
      </c>
      <c r="Q140" s="235">
        <v>13458.5</v>
      </c>
      <c r="R140" s="235">
        <v>14804.35</v>
      </c>
      <c r="S140" s="235">
        <v>16284.785</v>
      </c>
      <c r="T140" s="653"/>
    </row>
    <row r="141" spans="1:20" ht="89.25">
      <c r="A141" s="549"/>
      <c r="B141" s="127"/>
      <c r="C141" s="127"/>
      <c r="D141" s="3" t="s">
        <v>1366</v>
      </c>
      <c r="E141" s="3" t="s">
        <v>1367</v>
      </c>
      <c r="F141" s="6" t="s">
        <v>459</v>
      </c>
      <c r="G141" s="3"/>
      <c r="H141" s="14" t="s">
        <v>2416</v>
      </c>
      <c r="I141" s="3" t="s">
        <v>2417</v>
      </c>
      <c r="J141" s="3" t="s">
        <v>1353</v>
      </c>
      <c r="K141" s="6">
        <v>0.25</v>
      </c>
      <c r="L141" s="6">
        <v>0.25</v>
      </c>
      <c r="M141" s="6">
        <v>0.25</v>
      </c>
      <c r="N141" s="6">
        <v>0.25</v>
      </c>
      <c r="O141" s="220"/>
      <c r="P141" s="235">
        <v>11078.333333333334</v>
      </c>
      <c r="Q141" s="235">
        <v>12186.166666666668</v>
      </c>
      <c r="R141" s="235">
        <v>13404.783333333335</v>
      </c>
      <c r="S141" s="235">
        <v>14745.261666666669</v>
      </c>
      <c r="T141" s="653"/>
    </row>
    <row r="142" spans="1:20" ht="76.5">
      <c r="A142" s="549"/>
      <c r="B142" s="127"/>
      <c r="C142" s="127"/>
      <c r="D142" s="3" t="s">
        <v>1372</v>
      </c>
      <c r="E142" s="3" t="s">
        <v>1373</v>
      </c>
      <c r="F142" s="3" t="s">
        <v>460</v>
      </c>
      <c r="G142" s="3"/>
      <c r="H142" s="152" t="s">
        <v>1374</v>
      </c>
      <c r="I142" s="94" t="s">
        <v>1375</v>
      </c>
      <c r="J142" s="3" t="s">
        <v>1376</v>
      </c>
      <c r="K142" s="6">
        <v>0.25</v>
      </c>
      <c r="L142" s="6">
        <v>0.25</v>
      </c>
      <c r="M142" s="6">
        <v>0.25</v>
      </c>
      <c r="N142" s="6">
        <v>0.25</v>
      </c>
      <c r="O142" s="220"/>
      <c r="P142" s="235">
        <v>34300</v>
      </c>
      <c r="Q142" s="235">
        <v>37730</v>
      </c>
      <c r="R142" s="235">
        <v>41503</v>
      </c>
      <c r="S142" s="235">
        <v>45653.3</v>
      </c>
      <c r="T142" s="653"/>
    </row>
    <row r="143" spans="1:20" ht="165.75">
      <c r="A143" s="549"/>
      <c r="B143" s="127"/>
      <c r="C143" s="127"/>
      <c r="D143" s="3" t="s">
        <v>1377</v>
      </c>
      <c r="E143" s="3" t="s">
        <v>1378</v>
      </c>
      <c r="F143" s="105" t="s">
        <v>461</v>
      </c>
      <c r="G143" s="3"/>
      <c r="H143" s="3" t="s">
        <v>1379</v>
      </c>
      <c r="I143" s="3" t="s">
        <v>1358</v>
      </c>
      <c r="J143" s="6" t="s">
        <v>1380</v>
      </c>
      <c r="K143" s="6">
        <v>0.25</v>
      </c>
      <c r="L143" s="6">
        <v>0.25</v>
      </c>
      <c r="M143" s="6">
        <v>0.25</v>
      </c>
      <c r="N143" s="6">
        <v>0.25</v>
      </c>
      <c r="O143" s="220"/>
      <c r="P143" s="235">
        <v>8625</v>
      </c>
      <c r="Q143" s="235">
        <v>9487.5</v>
      </c>
      <c r="R143" s="235">
        <v>10436.25</v>
      </c>
      <c r="S143" s="235">
        <v>11479.875</v>
      </c>
      <c r="T143" s="653"/>
    </row>
    <row r="144" spans="1:20" ht="89.25">
      <c r="A144" s="549"/>
      <c r="B144" s="127"/>
      <c r="C144" s="127"/>
      <c r="D144" s="3" t="s">
        <v>1381</v>
      </c>
      <c r="E144" s="3" t="s">
        <v>1382</v>
      </c>
      <c r="F144" s="3" t="s">
        <v>462</v>
      </c>
      <c r="G144" s="3"/>
      <c r="H144" s="14" t="s">
        <v>1383</v>
      </c>
      <c r="I144" s="3" t="s">
        <v>1384</v>
      </c>
      <c r="J144" s="3" t="s">
        <v>394</v>
      </c>
      <c r="K144" s="105">
        <v>0.2375</v>
      </c>
      <c r="L144" s="105">
        <v>0.2375</v>
      </c>
      <c r="M144" s="105">
        <v>0.2375</v>
      </c>
      <c r="N144" s="105">
        <v>0.2375</v>
      </c>
      <c r="O144" s="222"/>
      <c r="P144" s="235">
        <v>13411.6666</v>
      </c>
      <c r="Q144" s="235">
        <v>14752.833260000001</v>
      </c>
      <c r="R144" s="235">
        <v>16228.116586000002</v>
      </c>
      <c r="S144" s="235">
        <v>17850.928244600003</v>
      </c>
      <c r="T144" s="653"/>
    </row>
    <row r="145" spans="1:20" ht="165.75">
      <c r="A145" s="549"/>
      <c r="B145" s="127"/>
      <c r="C145" s="127"/>
      <c r="D145" s="3" t="s">
        <v>1385</v>
      </c>
      <c r="E145" s="3" t="s">
        <v>1386</v>
      </c>
      <c r="F145" s="3" t="s">
        <v>463</v>
      </c>
      <c r="G145" s="3"/>
      <c r="H145" s="3" t="s">
        <v>1387</v>
      </c>
      <c r="I145" s="3" t="s">
        <v>1358</v>
      </c>
      <c r="J145" s="6" t="s">
        <v>1380</v>
      </c>
      <c r="K145" s="6">
        <v>0.25</v>
      </c>
      <c r="L145" s="6">
        <v>0.25</v>
      </c>
      <c r="M145" s="6">
        <v>0.25</v>
      </c>
      <c r="N145" s="6">
        <v>0.25</v>
      </c>
      <c r="O145" s="220"/>
      <c r="P145" s="235">
        <v>35545</v>
      </c>
      <c r="Q145" s="235">
        <v>39099.5</v>
      </c>
      <c r="R145" s="235">
        <v>43009.45</v>
      </c>
      <c r="S145" s="235">
        <v>47310.395</v>
      </c>
      <c r="T145" s="653"/>
    </row>
    <row r="146" spans="1:20" ht="72">
      <c r="A146" s="668" t="s">
        <v>464</v>
      </c>
      <c r="B146" s="671"/>
      <c r="C146" s="671"/>
      <c r="D146" s="241" t="s">
        <v>465</v>
      </c>
      <c r="E146" s="241" t="s">
        <v>466</v>
      </c>
      <c r="F146" s="242" t="s">
        <v>483</v>
      </c>
      <c r="G146" s="243"/>
      <c r="H146" s="244" t="s">
        <v>467</v>
      </c>
      <c r="I146" s="244" t="s">
        <v>468</v>
      </c>
      <c r="J146" s="241">
        <v>260</v>
      </c>
      <c r="K146" s="245">
        <v>0.8</v>
      </c>
      <c r="L146" s="245">
        <v>0.8</v>
      </c>
      <c r="M146" s="245">
        <v>0.8</v>
      </c>
      <c r="N146" s="245">
        <v>0.8</v>
      </c>
      <c r="O146" s="248"/>
      <c r="P146" s="241">
        <v>14700</v>
      </c>
      <c r="Q146" s="241">
        <v>16170</v>
      </c>
      <c r="R146" s="241">
        <v>18200</v>
      </c>
      <c r="S146" s="241">
        <v>20300</v>
      </c>
      <c r="T146" s="653"/>
    </row>
    <row r="147" spans="1:20" ht="36">
      <c r="A147" s="669"/>
      <c r="B147" s="672"/>
      <c r="C147" s="672"/>
      <c r="D147" s="241" t="s">
        <v>469</v>
      </c>
      <c r="E147" s="241" t="s">
        <v>470</v>
      </c>
      <c r="F147" s="241" t="s">
        <v>471</v>
      </c>
      <c r="G147" s="246"/>
      <c r="H147" s="674" t="s">
        <v>472</v>
      </c>
      <c r="I147" s="674" t="s">
        <v>473</v>
      </c>
      <c r="J147" s="651">
        <v>22</v>
      </c>
      <c r="K147" s="651">
        <v>20</v>
      </c>
      <c r="L147" s="651">
        <v>20</v>
      </c>
      <c r="M147" s="651">
        <v>20</v>
      </c>
      <c r="N147" s="651">
        <v>20</v>
      </c>
      <c r="O147" s="663"/>
      <c r="P147" s="651">
        <v>24500</v>
      </c>
      <c r="Q147" s="651">
        <v>26800</v>
      </c>
      <c r="R147" s="651">
        <v>29500</v>
      </c>
      <c r="S147" s="651">
        <v>33000</v>
      </c>
      <c r="T147" s="653"/>
    </row>
    <row r="148" spans="1:20" ht="24">
      <c r="A148" s="669"/>
      <c r="B148" s="672"/>
      <c r="C148" s="672"/>
      <c r="D148" s="247" t="s">
        <v>474</v>
      </c>
      <c r="E148" s="247" t="s">
        <v>475</v>
      </c>
      <c r="F148" s="241" t="s">
        <v>476</v>
      </c>
      <c r="G148" s="246"/>
      <c r="H148" s="674"/>
      <c r="I148" s="674"/>
      <c r="J148" s="652"/>
      <c r="K148" s="652"/>
      <c r="L148" s="652"/>
      <c r="M148" s="652"/>
      <c r="N148" s="652"/>
      <c r="O148" s="664"/>
      <c r="P148" s="652"/>
      <c r="Q148" s="652"/>
      <c r="R148" s="652"/>
      <c r="S148" s="652"/>
      <c r="T148" s="653"/>
    </row>
    <row r="149" spans="1:20" ht="84">
      <c r="A149" s="670"/>
      <c r="B149" s="673"/>
      <c r="C149" s="673"/>
      <c r="D149" s="241" t="s">
        <v>477</v>
      </c>
      <c r="E149" s="241" t="s">
        <v>478</v>
      </c>
      <c r="F149" s="241" t="s">
        <v>479</v>
      </c>
      <c r="G149" s="246"/>
      <c r="H149" s="244" t="s">
        <v>480</v>
      </c>
      <c r="I149" s="244" t="s">
        <v>481</v>
      </c>
      <c r="J149" s="241" t="s">
        <v>482</v>
      </c>
      <c r="K149" s="241">
        <v>10</v>
      </c>
      <c r="L149" s="241">
        <v>10</v>
      </c>
      <c r="M149" s="241">
        <v>10</v>
      </c>
      <c r="N149" s="241">
        <v>10</v>
      </c>
      <c r="O149" s="249"/>
      <c r="P149" s="241">
        <v>24500</v>
      </c>
      <c r="Q149" s="241">
        <v>26800</v>
      </c>
      <c r="R149" s="241">
        <v>29500</v>
      </c>
      <c r="S149" s="241">
        <v>33000</v>
      </c>
      <c r="T149" s="653"/>
    </row>
    <row r="150" spans="1:20" ht="38.25">
      <c r="A150" s="560" t="s">
        <v>484</v>
      </c>
      <c r="B150" s="560"/>
      <c r="C150" s="560"/>
      <c r="D150" s="665" t="s">
        <v>485</v>
      </c>
      <c r="E150" s="560" t="s">
        <v>486</v>
      </c>
      <c r="F150" s="640" t="s">
        <v>487</v>
      </c>
      <c r="G150" s="640">
        <v>73</v>
      </c>
      <c r="H150" s="228" t="s">
        <v>488</v>
      </c>
      <c r="I150" s="118" t="s">
        <v>489</v>
      </c>
      <c r="J150" s="118"/>
      <c r="K150" s="118">
        <v>3</v>
      </c>
      <c r="L150" s="118">
        <v>9</v>
      </c>
      <c r="M150" s="118">
        <v>18</v>
      </c>
      <c r="N150" s="118">
        <v>27</v>
      </c>
      <c r="O150" s="118">
        <f>P150+Q150+R150+S150</f>
        <v>64974000</v>
      </c>
      <c r="P150" s="118">
        <v>14000000</v>
      </c>
      <c r="Q150" s="118">
        <v>15400000</v>
      </c>
      <c r="R150" s="118">
        <v>16940000</v>
      </c>
      <c r="S150" s="118">
        <v>18634000</v>
      </c>
      <c r="T150" s="655"/>
    </row>
    <row r="151" spans="1:20" ht="51">
      <c r="A151" s="619"/>
      <c r="B151" s="619"/>
      <c r="C151" s="619"/>
      <c r="D151" s="666"/>
      <c r="E151" s="619"/>
      <c r="F151" s="641"/>
      <c r="G151" s="641"/>
      <c r="H151" s="228" t="s">
        <v>490</v>
      </c>
      <c r="I151" s="118" t="s">
        <v>491</v>
      </c>
      <c r="J151" s="118"/>
      <c r="K151" s="118">
        <v>600</v>
      </c>
      <c r="L151" s="118">
        <v>1200</v>
      </c>
      <c r="M151" s="118">
        <v>1800</v>
      </c>
      <c r="N151" s="118">
        <v>2400</v>
      </c>
      <c r="O151" s="118">
        <f>P151+Q151+R151+S151</f>
        <v>46410000</v>
      </c>
      <c r="P151" s="118">
        <v>10000000</v>
      </c>
      <c r="Q151" s="118">
        <v>11000000</v>
      </c>
      <c r="R151" s="118">
        <v>12100000</v>
      </c>
      <c r="S151" s="118">
        <v>13310000</v>
      </c>
      <c r="T151" s="656"/>
    </row>
    <row r="152" spans="1:20" ht="12.75">
      <c r="A152" s="619"/>
      <c r="B152" s="619"/>
      <c r="C152" s="619"/>
      <c r="D152" s="667"/>
      <c r="E152" s="604"/>
      <c r="F152" s="636"/>
      <c r="G152" s="636"/>
      <c r="H152" s="657">
        <v>4</v>
      </c>
      <c r="I152" s="659" t="s">
        <v>492</v>
      </c>
      <c r="J152" s="661"/>
      <c r="K152" s="661">
        <v>1</v>
      </c>
      <c r="L152" s="661">
        <v>2</v>
      </c>
      <c r="M152" s="661">
        <v>3</v>
      </c>
      <c r="N152" s="661">
        <v>4</v>
      </c>
      <c r="O152" s="640">
        <f>P152+Q152+R152+S152</f>
        <v>125307000</v>
      </c>
      <c r="P152" s="640">
        <v>27000000</v>
      </c>
      <c r="Q152" s="640">
        <v>29700000</v>
      </c>
      <c r="R152" s="640">
        <v>32670000</v>
      </c>
      <c r="S152" s="640">
        <v>35937000</v>
      </c>
      <c r="T152" s="656"/>
    </row>
    <row r="153" spans="1:20" ht="12.75">
      <c r="A153" s="619"/>
      <c r="B153" s="619"/>
      <c r="C153" s="619"/>
      <c r="D153" s="665" t="s">
        <v>493</v>
      </c>
      <c r="E153" s="560" t="s">
        <v>494</v>
      </c>
      <c r="F153" s="640" t="s">
        <v>495</v>
      </c>
      <c r="G153" s="640">
        <v>96</v>
      </c>
      <c r="H153" s="658"/>
      <c r="I153" s="660"/>
      <c r="J153" s="662"/>
      <c r="K153" s="662"/>
      <c r="L153" s="662"/>
      <c r="M153" s="662"/>
      <c r="N153" s="662"/>
      <c r="O153" s="636"/>
      <c r="P153" s="636"/>
      <c r="Q153" s="636"/>
      <c r="R153" s="636"/>
      <c r="S153" s="636"/>
      <c r="T153" s="656"/>
    </row>
    <row r="154" spans="1:20" ht="51">
      <c r="A154" s="619"/>
      <c r="B154" s="619"/>
      <c r="C154" s="619"/>
      <c r="D154" s="667"/>
      <c r="E154" s="604"/>
      <c r="F154" s="636"/>
      <c r="G154" s="636"/>
      <c r="H154" s="260">
        <v>1</v>
      </c>
      <c r="I154" s="229" t="s">
        <v>496</v>
      </c>
      <c r="J154" s="117"/>
      <c r="K154" s="260">
        <v>1</v>
      </c>
      <c r="L154" s="260">
        <v>1</v>
      </c>
      <c r="M154" s="260">
        <v>1</v>
      </c>
      <c r="N154" s="260">
        <v>1</v>
      </c>
      <c r="O154" s="153">
        <f>P154+Q154+R154+S154</f>
        <v>111118400</v>
      </c>
      <c r="P154" s="153">
        <v>22023000</v>
      </c>
      <c r="Q154" s="153">
        <v>26917000</v>
      </c>
      <c r="R154" s="153">
        <v>29608700</v>
      </c>
      <c r="S154" s="153">
        <v>32569700</v>
      </c>
      <c r="T154" s="656"/>
    </row>
    <row r="155" spans="1:20" ht="51">
      <c r="A155" s="619"/>
      <c r="B155" s="619"/>
      <c r="C155" s="619"/>
      <c r="D155" s="178" t="s">
        <v>497</v>
      </c>
      <c r="E155" s="14" t="s">
        <v>498</v>
      </c>
      <c r="F155" s="3" t="s">
        <v>499</v>
      </c>
      <c r="G155" s="3">
        <v>490</v>
      </c>
      <c r="H155" s="6">
        <v>0.94</v>
      </c>
      <c r="I155" s="4" t="s">
        <v>500</v>
      </c>
      <c r="J155" s="2"/>
      <c r="K155" s="6">
        <v>0.94</v>
      </c>
      <c r="L155" s="6">
        <v>0.94</v>
      </c>
      <c r="M155" s="6">
        <v>0.94</v>
      </c>
      <c r="N155" s="6">
        <v>0.94</v>
      </c>
      <c r="O155" s="3">
        <f>P155+Q155+R155+S155</f>
        <v>156285675</v>
      </c>
      <c r="P155" s="3">
        <v>33675000</v>
      </c>
      <c r="Q155" s="3">
        <v>37042500</v>
      </c>
      <c r="R155" s="3">
        <v>40746750</v>
      </c>
      <c r="S155" s="3">
        <v>44821425</v>
      </c>
      <c r="T155" s="656"/>
    </row>
    <row r="156" spans="1:20" ht="63.75">
      <c r="A156" s="619"/>
      <c r="B156" s="619"/>
      <c r="C156" s="619"/>
      <c r="D156" s="665" t="s">
        <v>501</v>
      </c>
      <c r="E156" s="560" t="s">
        <v>502</v>
      </c>
      <c r="F156" s="640" t="s">
        <v>503</v>
      </c>
      <c r="G156" s="640">
        <v>205</v>
      </c>
      <c r="H156" s="261">
        <v>1</v>
      </c>
      <c r="I156" s="4" t="s">
        <v>504</v>
      </c>
      <c r="J156" s="2"/>
      <c r="K156" s="2">
        <v>1</v>
      </c>
      <c r="L156" s="2">
        <v>1</v>
      </c>
      <c r="M156" s="2">
        <v>1</v>
      </c>
      <c r="N156" s="2">
        <v>1</v>
      </c>
      <c r="O156" s="3">
        <f>P156+Q156+R156+S156</f>
        <v>672950000</v>
      </c>
      <c r="P156" s="3">
        <v>40500000</v>
      </c>
      <c r="Q156" s="3">
        <v>44550000</v>
      </c>
      <c r="R156" s="3">
        <v>48995000</v>
      </c>
      <c r="S156" s="3">
        <v>538905000</v>
      </c>
      <c r="T156" s="656"/>
    </row>
    <row r="157" spans="1:20" ht="102">
      <c r="A157" s="604"/>
      <c r="B157" s="604"/>
      <c r="C157" s="604"/>
      <c r="D157" s="667"/>
      <c r="E157" s="604"/>
      <c r="F157" s="636"/>
      <c r="G157" s="636"/>
      <c r="H157" s="261">
        <v>332</v>
      </c>
      <c r="I157" s="4" t="s">
        <v>505</v>
      </c>
      <c r="J157" s="2"/>
      <c r="K157" s="2">
        <v>83</v>
      </c>
      <c r="L157" s="2">
        <v>166</v>
      </c>
      <c r="M157" s="2">
        <v>249</v>
      </c>
      <c r="N157" s="2">
        <v>332</v>
      </c>
      <c r="O157" s="3">
        <f>P157+Q157+R157+S157</f>
        <v>77040600</v>
      </c>
      <c r="P157" s="3">
        <v>16600000</v>
      </c>
      <c r="Q157" s="3">
        <v>18260000</v>
      </c>
      <c r="R157" s="3">
        <v>20086000</v>
      </c>
      <c r="S157" s="3">
        <v>22094600</v>
      </c>
      <c r="T157" s="656"/>
    </row>
    <row r="158" spans="1:20" ht="38.25">
      <c r="A158" s="560" t="s">
        <v>506</v>
      </c>
      <c r="B158" s="580"/>
      <c r="C158" s="580"/>
      <c r="D158" s="14" t="s">
        <v>507</v>
      </c>
      <c r="E158" s="94" t="s">
        <v>508</v>
      </c>
      <c r="F158" s="94" t="s">
        <v>509</v>
      </c>
      <c r="G158" s="2"/>
      <c r="H158" s="3" t="s">
        <v>510</v>
      </c>
      <c r="I158" s="4" t="s">
        <v>511</v>
      </c>
      <c r="J158" s="2">
        <v>4500</v>
      </c>
      <c r="K158" s="2">
        <v>10000</v>
      </c>
      <c r="L158" s="2">
        <v>20000</v>
      </c>
      <c r="M158" s="2">
        <v>30000</v>
      </c>
      <c r="N158" s="2">
        <v>40000</v>
      </c>
      <c r="O158" s="640">
        <f>SUM(P158:S159)</f>
        <v>262309320</v>
      </c>
      <c r="P158" s="640">
        <v>56520000</v>
      </c>
      <c r="Q158" s="640">
        <v>62172000</v>
      </c>
      <c r="R158" s="640">
        <v>68389200</v>
      </c>
      <c r="S158" s="640">
        <v>75228120</v>
      </c>
      <c r="T158" s="656"/>
    </row>
    <row r="159" spans="1:20" ht="63.75">
      <c r="A159" s="604"/>
      <c r="B159" s="580"/>
      <c r="C159" s="580"/>
      <c r="D159" s="94" t="s">
        <v>512</v>
      </c>
      <c r="E159" s="94" t="s">
        <v>513</v>
      </c>
      <c r="F159" s="94" t="s">
        <v>514</v>
      </c>
      <c r="G159" s="2"/>
      <c r="H159" s="263" t="s">
        <v>515</v>
      </c>
      <c r="I159" s="4" t="s">
        <v>511</v>
      </c>
      <c r="J159" s="2">
        <v>60</v>
      </c>
      <c r="K159" s="263">
        <v>230</v>
      </c>
      <c r="L159" s="263">
        <v>460</v>
      </c>
      <c r="M159" s="263">
        <v>690</v>
      </c>
      <c r="N159" s="263">
        <v>920</v>
      </c>
      <c r="O159" s="636"/>
      <c r="P159" s="636"/>
      <c r="Q159" s="636"/>
      <c r="R159" s="636"/>
      <c r="S159" s="636"/>
      <c r="T159" s="656"/>
    </row>
    <row r="160" spans="1:20" ht="51">
      <c r="A160" s="560" t="s">
        <v>516</v>
      </c>
      <c r="B160" s="560"/>
      <c r="C160" s="560"/>
      <c r="D160" s="665" t="s">
        <v>1486</v>
      </c>
      <c r="E160" s="560" t="s">
        <v>517</v>
      </c>
      <c r="F160" s="640" t="s">
        <v>518</v>
      </c>
      <c r="G160" s="640">
        <v>29</v>
      </c>
      <c r="H160" s="6">
        <v>0.9</v>
      </c>
      <c r="I160" s="4" t="s">
        <v>519</v>
      </c>
      <c r="J160" s="2">
        <v>180</v>
      </c>
      <c r="K160" s="6">
        <v>0.9</v>
      </c>
      <c r="L160" s="6">
        <v>0.9</v>
      </c>
      <c r="M160" s="6">
        <v>0.9</v>
      </c>
      <c r="N160" s="6">
        <v>0.9</v>
      </c>
      <c r="O160" s="640">
        <f>P160+Q160+R160+S160</f>
        <v>111118270</v>
      </c>
      <c r="P160" s="640">
        <v>22023000</v>
      </c>
      <c r="Q160" s="640">
        <v>26917000</v>
      </c>
      <c r="R160" s="640">
        <v>29608700</v>
      </c>
      <c r="S160" s="640">
        <v>32569570</v>
      </c>
      <c r="T160" s="656"/>
    </row>
    <row r="161" spans="1:20" ht="51">
      <c r="A161" s="619"/>
      <c r="B161" s="619"/>
      <c r="C161" s="619"/>
      <c r="D161" s="666"/>
      <c r="E161" s="619"/>
      <c r="F161" s="641"/>
      <c r="G161" s="641"/>
      <c r="H161" s="263">
        <v>1</v>
      </c>
      <c r="I161" s="4" t="s">
        <v>520</v>
      </c>
      <c r="J161" s="2"/>
      <c r="K161" s="263">
        <v>1</v>
      </c>
      <c r="L161" s="263">
        <v>1</v>
      </c>
      <c r="M161" s="263">
        <v>1</v>
      </c>
      <c r="N161" s="263">
        <v>1</v>
      </c>
      <c r="O161" s="641"/>
      <c r="P161" s="641"/>
      <c r="Q161" s="641"/>
      <c r="R161" s="641"/>
      <c r="S161" s="641"/>
      <c r="T161" s="656"/>
    </row>
    <row r="162" spans="1:20" ht="38.25">
      <c r="A162" s="619"/>
      <c r="B162" s="619"/>
      <c r="C162" s="619"/>
      <c r="D162" s="666"/>
      <c r="E162" s="619"/>
      <c r="F162" s="641"/>
      <c r="G162" s="641"/>
      <c r="H162" s="263">
        <v>1</v>
      </c>
      <c r="I162" s="4" t="s">
        <v>521</v>
      </c>
      <c r="J162" s="2"/>
      <c r="K162" s="263">
        <v>1</v>
      </c>
      <c r="L162" s="263">
        <v>1</v>
      </c>
      <c r="M162" s="263">
        <v>1</v>
      </c>
      <c r="N162" s="263">
        <v>1</v>
      </c>
      <c r="O162" s="636"/>
      <c r="P162" s="636"/>
      <c r="Q162" s="636"/>
      <c r="R162" s="636"/>
      <c r="S162" s="636"/>
      <c r="T162" s="656"/>
    </row>
    <row r="163" spans="1:20" ht="76.5">
      <c r="A163" s="619"/>
      <c r="B163" s="619"/>
      <c r="C163" s="619"/>
      <c r="D163" s="666"/>
      <c r="E163" s="619"/>
      <c r="F163" s="641"/>
      <c r="G163" s="641"/>
      <c r="H163" s="263">
        <v>240</v>
      </c>
      <c r="I163" s="4" t="s">
        <v>522</v>
      </c>
      <c r="J163" s="2">
        <v>0</v>
      </c>
      <c r="K163" s="263">
        <v>60</v>
      </c>
      <c r="L163" s="263">
        <v>120</v>
      </c>
      <c r="M163" s="263">
        <v>180</v>
      </c>
      <c r="N163" s="263">
        <v>240</v>
      </c>
      <c r="O163" s="3">
        <f>P163+Q163+R163+S163</f>
        <v>116025000</v>
      </c>
      <c r="P163" s="3">
        <v>25000000</v>
      </c>
      <c r="Q163" s="3">
        <v>27500000</v>
      </c>
      <c r="R163" s="3">
        <v>30250000</v>
      </c>
      <c r="S163" s="3">
        <v>33275000</v>
      </c>
      <c r="T163" s="656"/>
    </row>
    <row r="164" spans="1:20" ht="76.5">
      <c r="A164" s="619"/>
      <c r="B164" s="619"/>
      <c r="C164" s="619"/>
      <c r="D164" s="667"/>
      <c r="E164" s="604"/>
      <c r="F164" s="636"/>
      <c r="G164" s="636"/>
      <c r="H164" s="263">
        <v>30</v>
      </c>
      <c r="I164" s="4" t="s">
        <v>523</v>
      </c>
      <c r="J164" s="2"/>
      <c r="K164" s="263">
        <v>30</v>
      </c>
      <c r="L164" s="263">
        <v>30</v>
      </c>
      <c r="M164" s="263">
        <v>30</v>
      </c>
      <c r="N164" s="263">
        <v>30</v>
      </c>
      <c r="O164" s="3">
        <v>37000000</v>
      </c>
      <c r="P164" s="3">
        <v>37000000</v>
      </c>
      <c r="Q164" s="3">
        <v>0</v>
      </c>
      <c r="R164" s="3">
        <v>0</v>
      </c>
      <c r="S164" s="3">
        <v>0</v>
      </c>
      <c r="T164" s="656"/>
    </row>
    <row r="165" spans="1:20" ht="38.25">
      <c r="A165" s="619"/>
      <c r="B165" s="619"/>
      <c r="C165" s="619"/>
      <c r="D165" s="665" t="s">
        <v>1487</v>
      </c>
      <c r="E165" s="560" t="s">
        <v>524</v>
      </c>
      <c r="F165" s="640" t="s">
        <v>1472</v>
      </c>
      <c r="G165" s="640">
        <v>173</v>
      </c>
      <c r="H165" s="261">
        <v>480</v>
      </c>
      <c r="I165" s="4" t="s">
        <v>1473</v>
      </c>
      <c r="J165" s="2">
        <v>0</v>
      </c>
      <c r="K165" s="2">
        <v>118</v>
      </c>
      <c r="L165" s="2">
        <v>235</v>
      </c>
      <c r="M165" s="2">
        <v>352</v>
      </c>
      <c r="N165" s="2">
        <v>477</v>
      </c>
      <c r="O165" s="3">
        <f>(P165+R165+Q165+S165)</f>
        <v>282759500</v>
      </c>
      <c r="P165" s="3">
        <v>61500000</v>
      </c>
      <c r="Q165" s="3">
        <v>67650000</v>
      </c>
      <c r="R165" s="3">
        <v>74415000</v>
      </c>
      <c r="S165" s="3">
        <v>79194500</v>
      </c>
      <c r="T165" s="656"/>
    </row>
    <row r="166" spans="1:20" ht="25.5">
      <c r="A166" s="619"/>
      <c r="B166" s="619"/>
      <c r="C166" s="619"/>
      <c r="D166" s="666"/>
      <c r="E166" s="619"/>
      <c r="F166" s="641"/>
      <c r="G166" s="641"/>
      <c r="H166" s="261">
        <v>1264</v>
      </c>
      <c r="I166" s="4" t="s">
        <v>1474</v>
      </c>
      <c r="J166" s="2">
        <v>0</v>
      </c>
      <c r="K166" s="2">
        <v>316</v>
      </c>
      <c r="L166" s="2">
        <v>632</v>
      </c>
      <c r="M166" s="2">
        <v>948</v>
      </c>
      <c r="N166" s="2">
        <v>1264</v>
      </c>
      <c r="O166" s="3">
        <f aca="true" t="shared" si="6" ref="O166:O171">P166+Q166+R166+S166</f>
        <v>208845000</v>
      </c>
      <c r="P166" s="3">
        <v>45000000</v>
      </c>
      <c r="Q166" s="3">
        <v>49500000</v>
      </c>
      <c r="R166" s="3">
        <v>54450000</v>
      </c>
      <c r="S166" s="3">
        <v>59895000</v>
      </c>
      <c r="T166" s="656"/>
    </row>
    <row r="167" spans="1:20" ht="51">
      <c r="A167" s="619"/>
      <c r="B167" s="619"/>
      <c r="C167" s="619"/>
      <c r="D167" s="666"/>
      <c r="E167" s="619"/>
      <c r="F167" s="641"/>
      <c r="G167" s="641"/>
      <c r="H167" s="6">
        <v>0.94</v>
      </c>
      <c r="I167" s="4" t="s">
        <v>1475</v>
      </c>
      <c r="J167" s="2"/>
      <c r="K167" s="6">
        <v>0.94</v>
      </c>
      <c r="L167" s="6">
        <v>0.94</v>
      </c>
      <c r="M167" s="6">
        <v>0.94</v>
      </c>
      <c r="N167" s="6">
        <v>0.94</v>
      </c>
      <c r="O167" s="3">
        <f t="shared" si="6"/>
        <v>141234912</v>
      </c>
      <c r="P167" s="3">
        <v>30432000</v>
      </c>
      <c r="Q167" s="3">
        <v>33475200</v>
      </c>
      <c r="R167" s="3">
        <v>36822720</v>
      </c>
      <c r="S167" s="3">
        <v>40504992</v>
      </c>
      <c r="T167" s="656"/>
    </row>
    <row r="168" spans="1:20" ht="51">
      <c r="A168" s="619"/>
      <c r="B168" s="619"/>
      <c r="C168" s="619"/>
      <c r="D168" s="666"/>
      <c r="E168" s="619"/>
      <c r="F168" s="641"/>
      <c r="G168" s="641"/>
      <c r="H168" s="263">
        <v>600</v>
      </c>
      <c r="I168" s="4" t="s">
        <v>1476</v>
      </c>
      <c r="J168" s="2">
        <v>180</v>
      </c>
      <c r="K168" s="263">
        <v>150</v>
      </c>
      <c r="L168" s="263">
        <v>300</v>
      </c>
      <c r="M168" s="263">
        <v>450</v>
      </c>
      <c r="N168" s="263">
        <v>600</v>
      </c>
      <c r="O168" s="3">
        <f t="shared" si="6"/>
        <v>51051000</v>
      </c>
      <c r="P168" s="3">
        <v>11000000</v>
      </c>
      <c r="Q168" s="3">
        <v>12100000</v>
      </c>
      <c r="R168" s="3">
        <v>13310000</v>
      </c>
      <c r="S168" s="3">
        <v>14641000</v>
      </c>
      <c r="T168" s="656"/>
    </row>
    <row r="169" spans="1:20" ht="127.5">
      <c r="A169" s="619"/>
      <c r="B169" s="619"/>
      <c r="C169" s="619"/>
      <c r="D169" s="666"/>
      <c r="E169" s="619"/>
      <c r="F169" s="641"/>
      <c r="G169" s="641"/>
      <c r="H169" s="4" t="s">
        <v>1477</v>
      </c>
      <c r="I169" s="4" t="s">
        <v>1478</v>
      </c>
      <c r="J169" s="2">
        <v>1</v>
      </c>
      <c r="K169" s="2">
        <v>1</v>
      </c>
      <c r="L169" s="2">
        <v>1</v>
      </c>
      <c r="M169" s="2">
        <v>1</v>
      </c>
      <c r="N169" s="2">
        <v>1</v>
      </c>
      <c r="O169" s="3">
        <f t="shared" si="6"/>
        <v>5525000</v>
      </c>
      <c r="P169" s="3">
        <v>2500000</v>
      </c>
      <c r="Q169" s="3">
        <v>0</v>
      </c>
      <c r="R169" s="3">
        <v>3025000</v>
      </c>
      <c r="S169" s="3">
        <v>0</v>
      </c>
      <c r="T169" s="656"/>
    </row>
    <row r="170" spans="1:20" ht="63.75">
      <c r="A170" s="619"/>
      <c r="B170" s="619"/>
      <c r="C170" s="619"/>
      <c r="D170" s="666"/>
      <c r="E170" s="619"/>
      <c r="F170" s="641"/>
      <c r="G170" s="641"/>
      <c r="H170" s="261">
        <v>1</v>
      </c>
      <c r="I170" s="4" t="s">
        <v>1479</v>
      </c>
      <c r="J170" s="2"/>
      <c r="K170" s="6">
        <v>1</v>
      </c>
      <c r="L170" s="6">
        <v>1</v>
      </c>
      <c r="M170" s="6">
        <v>1</v>
      </c>
      <c r="N170" s="6">
        <v>1</v>
      </c>
      <c r="O170" s="3">
        <f t="shared" si="6"/>
        <v>111118270</v>
      </c>
      <c r="P170" s="3">
        <v>22023000</v>
      </c>
      <c r="Q170" s="261">
        <v>26917000</v>
      </c>
      <c r="R170" s="3">
        <v>29608700</v>
      </c>
      <c r="S170" s="3">
        <v>32569570</v>
      </c>
      <c r="T170" s="656"/>
    </row>
    <row r="171" spans="1:20" ht="102">
      <c r="A171" s="619"/>
      <c r="B171" s="619"/>
      <c r="C171" s="619"/>
      <c r="D171" s="667"/>
      <c r="E171" s="604"/>
      <c r="F171" s="636"/>
      <c r="G171" s="636"/>
      <c r="H171" s="261">
        <v>4</v>
      </c>
      <c r="I171" s="4" t="s">
        <v>1480</v>
      </c>
      <c r="J171" s="2">
        <v>2</v>
      </c>
      <c r="K171" s="2">
        <v>2</v>
      </c>
      <c r="L171" s="2">
        <v>4</v>
      </c>
      <c r="M171" s="2">
        <v>4</v>
      </c>
      <c r="N171" s="2">
        <v>4</v>
      </c>
      <c r="O171" s="3">
        <f t="shared" si="6"/>
        <v>385203000</v>
      </c>
      <c r="P171" s="3">
        <v>83000000</v>
      </c>
      <c r="Q171" s="261">
        <v>91300000</v>
      </c>
      <c r="R171" s="3">
        <v>100430000</v>
      </c>
      <c r="S171" s="3">
        <v>110473000</v>
      </c>
      <c r="T171" s="656"/>
    </row>
    <row r="172" spans="1:20" ht="38.25">
      <c r="A172" s="619"/>
      <c r="B172" s="619"/>
      <c r="C172" s="619"/>
      <c r="D172" s="178" t="s">
        <v>1481</v>
      </c>
      <c r="E172" s="14" t="s">
        <v>1482</v>
      </c>
      <c r="F172" s="3"/>
      <c r="G172" s="3">
        <v>0</v>
      </c>
      <c r="H172" s="261">
        <v>1</v>
      </c>
      <c r="I172" s="4" t="s">
        <v>1483</v>
      </c>
      <c r="J172" s="2"/>
      <c r="K172" s="2">
        <v>0</v>
      </c>
      <c r="L172" s="2">
        <v>1</v>
      </c>
      <c r="M172" s="2">
        <v>1</v>
      </c>
      <c r="N172" s="2">
        <v>1</v>
      </c>
      <c r="O172" s="3">
        <v>70000000</v>
      </c>
      <c r="P172" s="3">
        <v>0</v>
      </c>
      <c r="Q172" s="3">
        <v>70000000</v>
      </c>
      <c r="R172" s="3">
        <v>0</v>
      </c>
      <c r="S172" s="3">
        <v>0</v>
      </c>
      <c r="T172" s="656"/>
    </row>
    <row r="173" spans="1:20" ht="25.5">
      <c r="A173" s="604"/>
      <c r="B173" s="604"/>
      <c r="C173" s="604"/>
      <c r="D173" s="178" t="s">
        <v>1488</v>
      </c>
      <c r="E173" s="14" t="s">
        <v>1484</v>
      </c>
      <c r="F173" s="118"/>
      <c r="G173" s="118">
        <v>0</v>
      </c>
      <c r="H173" s="259">
        <v>1</v>
      </c>
      <c r="I173" s="228" t="s">
        <v>1485</v>
      </c>
      <c r="J173" s="116"/>
      <c r="K173" s="116">
        <v>0</v>
      </c>
      <c r="L173" s="116">
        <v>1</v>
      </c>
      <c r="M173" s="116">
        <v>1</v>
      </c>
      <c r="N173" s="116">
        <v>1</v>
      </c>
      <c r="O173" s="118">
        <f>P173+Q173+R173+S173</f>
        <v>110886324</v>
      </c>
      <c r="P173" s="118">
        <v>0</v>
      </c>
      <c r="Q173" s="259">
        <v>33500400</v>
      </c>
      <c r="R173" s="118">
        <v>36850440</v>
      </c>
      <c r="S173" s="118">
        <v>40535484</v>
      </c>
      <c r="T173" s="656"/>
    </row>
    <row r="174" spans="1:20" ht="51">
      <c r="A174" s="592" t="s">
        <v>1489</v>
      </c>
      <c r="B174" s="580"/>
      <c r="C174" s="580"/>
      <c r="D174" s="94" t="s">
        <v>1490</v>
      </c>
      <c r="E174" s="94" t="s">
        <v>1491</v>
      </c>
      <c r="F174" s="3" t="s">
        <v>1492</v>
      </c>
      <c r="G174" s="3"/>
      <c r="H174" s="178" t="s">
        <v>1493</v>
      </c>
      <c r="I174" s="14" t="s">
        <v>1494</v>
      </c>
      <c r="J174" s="14">
        <v>30</v>
      </c>
      <c r="K174" s="14">
        <f>26+26</f>
        <v>52</v>
      </c>
      <c r="L174" s="14">
        <f>K174+52</f>
        <v>104</v>
      </c>
      <c r="M174" s="14">
        <f>L174+52</f>
        <v>156</v>
      </c>
      <c r="N174" s="14">
        <f>M174+52</f>
        <v>208</v>
      </c>
      <c r="O174" s="675">
        <f>SUM(P174:S179)</f>
        <v>536921800</v>
      </c>
      <c r="P174" s="596">
        <v>108012000</v>
      </c>
      <c r="Q174" s="596">
        <v>129580000</v>
      </c>
      <c r="R174" s="596">
        <v>142538000</v>
      </c>
      <c r="S174" s="596">
        <v>156791800</v>
      </c>
      <c r="T174" s="653"/>
    </row>
    <row r="175" spans="1:20" ht="76.5">
      <c r="A175" s="592"/>
      <c r="B175" s="580"/>
      <c r="C175" s="580"/>
      <c r="D175" s="94" t="s">
        <v>248</v>
      </c>
      <c r="E175" s="94" t="s">
        <v>249</v>
      </c>
      <c r="F175" s="3" t="s">
        <v>250</v>
      </c>
      <c r="G175" s="3"/>
      <c r="H175" s="178" t="s">
        <v>251</v>
      </c>
      <c r="I175" s="14" t="s">
        <v>252</v>
      </c>
      <c r="J175" s="14">
        <v>8</v>
      </c>
      <c r="K175" s="14">
        <v>8</v>
      </c>
      <c r="L175" s="14">
        <f>K175+K175</f>
        <v>16</v>
      </c>
      <c r="M175" s="14">
        <f>L175+8</f>
        <v>24</v>
      </c>
      <c r="N175" s="14">
        <f>M175+8</f>
        <v>32</v>
      </c>
      <c r="O175" s="675"/>
      <c r="P175" s="596"/>
      <c r="Q175" s="596"/>
      <c r="R175" s="596"/>
      <c r="S175" s="596"/>
      <c r="T175" s="653"/>
    </row>
    <row r="176" spans="1:20" ht="76.5">
      <c r="A176" s="592"/>
      <c r="B176" s="580"/>
      <c r="C176" s="580"/>
      <c r="D176" s="94" t="s">
        <v>253</v>
      </c>
      <c r="E176" s="94" t="s">
        <v>254</v>
      </c>
      <c r="F176" s="3" t="s">
        <v>255</v>
      </c>
      <c r="G176" s="3"/>
      <c r="H176" s="178" t="s">
        <v>251</v>
      </c>
      <c r="I176" s="14" t="s">
        <v>252</v>
      </c>
      <c r="J176" s="14">
        <v>8</v>
      </c>
      <c r="K176" s="14">
        <v>8</v>
      </c>
      <c r="L176" s="14">
        <f>K176+K176</f>
        <v>16</v>
      </c>
      <c r="M176" s="14">
        <f>L176+8</f>
        <v>24</v>
      </c>
      <c r="N176" s="14">
        <f>M176+8</f>
        <v>32</v>
      </c>
      <c r="O176" s="675"/>
      <c r="P176" s="596"/>
      <c r="Q176" s="596"/>
      <c r="R176" s="596"/>
      <c r="S176" s="596"/>
      <c r="T176" s="653"/>
    </row>
    <row r="177" spans="1:20" ht="89.25">
      <c r="A177" s="592"/>
      <c r="B177" s="580"/>
      <c r="C177" s="580"/>
      <c r="D177" s="152" t="s">
        <v>256</v>
      </c>
      <c r="E177" s="94" t="s">
        <v>257</v>
      </c>
      <c r="F177" s="3" t="s">
        <v>258</v>
      </c>
      <c r="G177" s="3"/>
      <c r="H177" s="14" t="s">
        <v>259</v>
      </c>
      <c r="I177" s="14" t="s">
        <v>260</v>
      </c>
      <c r="J177" s="14">
        <v>25</v>
      </c>
      <c r="K177" s="14">
        <f>(57*2)*2</f>
        <v>228</v>
      </c>
      <c r="L177" s="14">
        <f>K177+228</f>
        <v>456</v>
      </c>
      <c r="M177" s="14">
        <f>L177+228</f>
        <v>684</v>
      </c>
      <c r="N177" s="14">
        <f>M177+228</f>
        <v>912</v>
      </c>
      <c r="O177" s="675"/>
      <c r="P177" s="596"/>
      <c r="Q177" s="596"/>
      <c r="R177" s="596"/>
      <c r="S177" s="596"/>
      <c r="T177" s="653"/>
    </row>
    <row r="178" spans="1:20" ht="38.25">
      <c r="A178" s="592"/>
      <c r="B178" s="580"/>
      <c r="C178" s="580"/>
      <c r="D178" s="94" t="s">
        <v>261</v>
      </c>
      <c r="E178" s="94" t="s">
        <v>262</v>
      </c>
      <c r="F178" s="3" t="s">
        <v>263</v>
      </c>
      <c r="G178" s="3"/>
      <c r="H178" s="14" t="s">
        <v>264</v>
      </c>
      <c r="I178" s="14" t="s">
        <v>265</v>
      </c>
      <c r="J178" s="14">
        <v>9</v>
      </c>
      <c r="K178" s="14">
        <v>15</v>
      </c>
      <c r="L178" s="14">
        <f>8+K178</f>
        <v>23</v>
      </c>
      <c r="M178" s="14">
        <f>8+L178</f>
        <v>31</v>
      </c>
      <c r="N178" s="14">
        <f>8+M178</f>
        <v>39</v>
      </c>
      <c r="O178" s="675"/>
      <c r="P178" s="596"/>
      <c r="Q178" s="596"/>
      <c r="R178" s="596"/>
      <c r="S178" s="596"/>
      <c r="T178" s="653"/>
    </row>
    <row r="179" spans="1:20" ht="76.5">
      <c r="A179" s="592"/>
      <c r="B179" s="580"/>
      <c r="C179" s="580"/>
      <c r="D179" s="94" t="s">
        <v>266</v>
      </c>
      <c r="E179" s="12" t="s">
        <v>267</v>
      </c>
      <c r="F179" s="3" t="s">
        <v>268</v>
      </c>
      <c r="G179" s="3"/>
      <c r="H179" s="178" t="s">
        <v>269</v>
      </c>
      <c r="I179" s="14" t="s">
        <v>270</v>
      </c>
      <c r="J179" s="14">
        <v>9</v>
      </c>
      <c r="K179" s="14">
        <v>15</v>
      </c>
      <c r="L179" s="14">
        <f>K179+15</f>
        <v>30</v>
      </c>
      <c r="M179" s="14">
        <f>L179+15</f>
        <v>45</v>
      </c>
      <c r="N179" s="14">
        <f>M179+15</f>
        <v>60</v>
      </c>
      <c r="O179" s="675"/>
      <c r="P179" s="596"/>
      <c r="Q179" s="596"/>
      <c r="R179" s="596"/>
      <c r="S179" s="596"/>
      <c r="T179" s="653"/>
    </row>
    <row r="180" spans="1:20" ht="71.25">
      <c r="A180" s="679" t="s">
        <v>271</v>
      </c>
      <c r="B180" s="676"/>
      <c r="C180" s="676"/>
      <c r="D180" s="682" t="s">
        <v>272</v>
      </c>
      <c r="E180" s="676" t="s">
        <v>273</v>
      </c>
      <c r="F180" s="696" t="s">
        <v>274</v>
      </c>
      <c r="G180" s="690" t="s">
        <v>275</v>
      </c>
      <c r="H180" s="264" t="s">
        <v>276</v>
      </c>
      <c r="I180" s="264" t="s">
        <v>277</v>
      </c>
      <c r="J180" s="165">
        <v>0</v>
      </c>
      <c r="K180" s="165">
        <f>11000/4</f>
        <v>2750</v>
      </c>
      <c r="L180" s="165">
        <f>K180*2</f>
        <v>5500</v>
      </c>
      <c r="M180" s="165">
        <f>K180*3</f>
        <v>8250</v>
      </c>
      <c r="N180" s="165">
        <f>K180*4</f>
        <v>11000</v>
      </c>
      <c r="O180" s="265">
        <f>P180+Q180+R180+S180</f>
        <v>60333</v>
      </c>
      <c r="P180" s="266">
        <v>13000</v>
      </c>
      <c r="Q180" s="265">
        <f aca="true" t="shared" si="7" ref="Q180:S195">P180*1.1</f>
        <v>14300.000000000002</v>
      </c>
      <c r="R180" s="265">
        <f t="shared" si="7"/>
        <v>15730.000000000004</v>
      </c>
      <c r="S180" s="265">
        <f t="shared" si="7"/>
        <v>17303.000000000004</v>
      </c>
      <c r="T180" s="687"/>
    </row>
    <row r="181" spans="1:20" ht="71.25">
      <c r="A181" s="680"/>
      <c r="B181" s="677"/>
      <c r="C181" s="677"/>
      <c r="D181" s="683"/>
      <c r="E181" s="677"/>
      <c r="F181" s="697"/>
      <c r="G181" s="691"/>
      <c r="H181" s="267" t="s">
        <v>278</v>
      </c>
      <c r="I181" s="268" t="s">
        <v>279</v>
      </c>
      <c r="J181" s="165">
        <v>0</v>
      </c>
      <c r="K181" s="165">
        <f>42000/4</f>
        <v>10500</v>
      </c>
      <c r="L181" s="165">
        <f>K181*2</f>
        <v>21000</v>
      </c>
      <c r="M181" s="165">
        <f>K181*3</f>
        <v>31500</v>
      </c>
      <c r="N181" s="165">
        <f>K181*4</f>
        <v>42000</v>
      </c>
      <c r="O181" s="265">
        <f>P181+Q181+R181+S181</f>
        <v>45611.748000000014</v>
      </c>
      <c r="P181" s="266">
        <v>9828</v>
      </c>
      <c r="Q181" s="265">
        <f t="shared" si="7"/>
        <v>10810.800000000001</v>
      </c>
      <c r="R181" s="265">
        <f t="shared" si="7"/>
        <v>11891.880000000003</v>
      </c>
      <c r="S181" s="265">
        <f t="shared" si="7"/>
        <v>13081.068000000005</v>
      </c>
      <c r="T181" s="688"/>
    </row>
    <row r="182" spans="1:20" ht="57">
      <c r="A182" s="680"/>
      <c r="B182" s="677"/>
      <c r="C182" s="677"/>
      <c r="D182" s="684"/>
      <c r="E182" s="678"/>
      <c r="F182" s="698"/>
      <c r="G182" s="692"/>
      <c r="H182" s="264" t="s">
        <v>280</v>
      </c>
      <c r="I182" s="268" t="s">
        <v>281</v>
      </c>
      <c r="J182" s="165">
        <v>0</v>
      </c>
      <c r="K182" s="165">
        <v>45</v>
      </c>
      <c r="L182" s="165">
        <f>K182*2</f>
        <v>90</v>
      </c>
      <c r="M182" s="165">
        <f>K182*3</f>
        <v>135</v>
      </c>
      <c r="N182" s="165">
        <f>K182*4</f>
        <v>180</v>
      </c>
      <c r="O182" s="265">
        <f>P182+Q182+R182+S182</f>
        <v>116025</v>
      </c>
      <c r="P182" s="266">
        <v>25000</v>
      </c>
      <c r="Q182" s="265">
        <f t="shared" si="7"/>
        <v>27500.000000000004</v>
      </c>
      <c r="R182" s="265">
        <f t="shared" si="7"/>
        <v>30250.000000000007</v>
      </c>
      <c r="S182" s="265">
        <f t="shared" si="7"/>
        <v>33275.00000000001</v>
      </c>
      <c r="T182" s="688"/>
    </row>
    <row r="183" spans="1:20" ht="71.25">
      <c r="A183" s="680"/>
      <c r="B183" s="677"/>
      <c r="C183" s="677"/>
      <c r="D183" s="676" t="s">
        <v>282</v>
      </c>
      <c r="E183" s="676" t="s">
        <v>283</v>
      </c>
      <c r="F183" s="696" t="s">
        <v>284</v>
      </c>
      <c r="G183" s="690" t="s">
        <v>285</v>
      </c>
      <c r="H183" s="264" t="s">
        <v>286</v>
      </c>
      <c r="I183" s="264" t="s">
        <v>287</v>
      </c>
      <c r="J183" s="165">
        <v>0</v>
      </c>
      <c r="K183" s="165">
        <f>10000/4</f>
        <v>2500</v>
      </c>
      <c r="L183" s="165">
        <f>K183*2</f>
        <v>5000</v>
      </c>
      <c r="M183" s="165">
        <f>K183*3</f>
        <v>7500</v>
      </c>
      <c r="N183" s="165">
        <f>K183*4</f>
        <v>10000</v>
      </c>
      <c r="O183" s="265">
        <f>P183+Q183+R183+S183</f>
        <v>255255.00000000003</v>
      </c>
      <c r="P183" s="266">
        <v>55000</v>
      </c>
      <c r="Q183" s="265">
        <f t="shared" si="7"/>
        <v>60500.00000000001</v>
      </c>
      <c r="R183" s="265">
        <f t="shared" si="7"/>
        <v>66550.00000000001</v>
      </c>
      <c r="S183" s="265">
        <f t="shared" si="7"/>
        <v>73205.00000000003</v>
      </c>
      <c r="T183" s="688"/>
    </row>
    <row r="184" spans="1:20" ht="57">
      <c r="A184" s="680"/>
      <c r="B184" s="677"/>
      <c r="C184" s="677"/>
      <c r="D184" s="677"/>
      <c r="E184" s="677"/>
      <c r="F184" s="697"/>
      <c r="G184" s="691"/>
      <c r="H184" s="269" t="s">
        <v>288</v>
      </c>
      <c r="I184" s="269" t="s">
        <v>289</v>
      </c>
      <c r="J184" s="165">
        <v>0</v>
      </c>
      <c r="K184" s="165">
        <f>12924/4</f>
        <v>3231</v>
      </c>
      <c r="L184" s="165">
        <f>K184*2</f>
        <v>6462</v>
      </c>
      <c r="M184" s="165">
        <f>K184*3</f>
        <v>9693</v>
      </c>
      <c r="N184" s="165">
        <f>K184*4</f>
        <v>12924</v>
      </c>
      <c r="O184" s="265">
        <f aca="true" t="shared" si="8" ref="O184:O194">P184+Q184+R184+S184</f>
        <v>37128</v>
      </c>
      <c r="P184" s="266">
        <v>8000</v>
      </c>
      <c r="Q184" s="265">
        <f t="shared" si="7"/>
        <v>8800</v>
      </c>
      <c r="R184" s="265">
        <f t="shared" si="7"/>
        <v>9680</v>
      </c>
      <c r="S184" s="265">
        <f t="shared" si="7"/>
        <v>10648</v>
      </c>
      <c r="T184" s="688"/>
    </row>
    <row r="185" spans="1:20" ht="71.25">
      <c r="A185" s="680"/>
      <c r="B185" s="677"/>
      <c r="C185" s="677"/>
      <c r="D185" s="677"/>
      <c r="E185" s="677"/>
      <c r="F185" s="697"/>
      <c r="G185" s="691"/>
      <c r="H185" s="264" t="s">
        <v>290</v>
      </c>
      <c r="I185" s="269" t="s">
        <v>291</v>
      </c>
      <c r="J185" s="165">
        <v>0</v>
      </c>
      <c r="K185" s="165">
        <v>15</v>
      </c>
      <c r="L185" s="165">
        <v>30</v>
      </c>
      <c r="M185" s="165">
        <v>45</v>
      </c>
      <c r="N185" s="165">
        <v>60</v>
      </c>
      <c r="O185" s="265">
        <f t="shared" si="8"/>
        <v>162435</v>
      </c>
      <c r="P185" s="266">
        <v>35000</v>
      </c>
      <c r="Q185" s="265">
        <f t="shared" si="7"/>
        <v>38500</v>
      </c>
      <c r="R185" s="265">
        <f t="shared" si="7"/>
        <v>42350</v>
      </c>
      <c r="S185" s="265">
        <f t="shared" si="7"/>
        <v>46585.00000000001</v>
      </c>
      <c r="T185" s="688"/>
    </row>
    <row r="186" spans="1:20" ht="128.25">
      <c r="A186" s="680"/>
      <c r="B186" s="677"/>
      <c r="C186" s="677"/>
      <c r="D186" s="677"/>
      <c r="E186" s="677"/>
      <c r="F186" s="697"/>
      <c r="G186" s="691"/>
      <c r="H186" s="264" t="s">
        <v>292</v>
      </c>
      <c r="I186" s="269" t="s">
        <v>293</v>
      </c>
      <c r="J186" s="165">
        <v>0</v>
      </c>
      <c r="K186" s="165">
        <v>3</v>
      </c>
      <c r="L186" s="165">
        <v>6</v>
      </c>
      <c r="M186" s="165">
        <v>9</v>
      </c>
      <c r="N186" s="165">
        <v>12</v>
      </c>
      <c r="O186" s="265">
        <f t="shared" si="8"/>
        <v>13923.000000000002</v>
      </c>
      <c r="P186" s="266">
        <v>3000</v>
      </c>
      <c r="Q186" s="265">
        <f t="shared" si="7"/>
        <v>3300.0000000000005</v>
      </c>
      <c r="R186" s="265">
        <f t="shared" si="7"/>
        <v>3630.000000000001</v>
      </c>
      <c r="S186" s="265">
        <f t="shared" si="7"/>
        <v>3993.0000000000014</v>
      </c>
      <c r="T186" s="688"/>
    </row>
    <row r="187" spans="1:20" ht="71.25">
      <c r="A187" s="680"/>
      <c r="B187" s="677"/>
      <c r="C187" s="677"/>
      <c r="D187" s="678"/>
      <c r="E187" s="678"/>
      <c r="F187" s="698"/>
      <c r="G187" s="692"/>
      <c r="H187" s="264" t="s">
        <v>294</v>
      </c>
      <c r="I187" s="269" t="s">
        <v>295</v>
      </c>
      <c r="J187" s="256">
        <v>0.9</v>
      </c>
      <c r="K187" s="165">
        <v>450000</v>
      </c>
      <c r="L187" s="165">
        <v>450000</v>
      </c>
      <c r="M187" s="165">
        <v>450000</v>
      </c>
      <c r="N187" s="165">
        <v>450000</v>
      </c>
      <c r="O187" s="265">
        <f t="shared" si="8"/>
        <v>107671.20000000001</v>
      </c>
      <c r="P187" s="266">
        <v>23200</v>
      </c>
      <c r="Q187" s="265">
        <f t="shared" si="7"/>
        <v>25520.000000000004</v>
      </c>
      <c r="R187" s="265">
        <f t="shared" si="7"/>
        <v>28072.000000000007</v>
      </c>
      <c r="S187" s="265">
        <f t="shared" si="7"/>
        <v>30879.20000000001</v>
      </c>
      <c r="T187" s="688"/>
    </row>
    <row r="188" spans="1:20" ht="71.25">
      <c r="A188" s="680"/>
      <c r="B188" s="677"/>
      <c r="C188" s="677"/>
      <c r="D188" s="685" t="s">
        <v>296</v>
      </c>
      <c r="E188" s="685" t="s">
        <v>297</v>
      </c>
      <c r="F188" s="702">
        <v>0</v>
      </c>
      <c r="G188" s="693">
        <v>0</v>
      </c>
      <c r="H188" s="271" t="s">
        <v>298</v>
      </c>
      <c r="I188" s="272" t="s">
        <v>299</v>
      </c>
      <c r="J188" s="165">
        <v>16500</v>
      </c>
      <c r="K188" s="270">
        <v>25000</v>
      </c>
      <c r="L188" s="165">
        <v>28000</v>
      </c>
      <c r="M188" s="165">
        <v>30000</v>
      </c>
      <c r="N188" s="165">
        <v>33750</v>
      </c>
      <c r="O188" s="265">
        <f t="shared" si="8"/>
        <v>417690.00000000006</v>
      </c>
      <c r="P188" s="266">
        <v>90000</v>
      </c>
      <c r="Q188" s="265">
        <f t="shared" si="7"/>
        <v>99000.00000000001</v>
      </c>
      <c r="R188" s="265">
        <f t="shared" si="7"/>
        <v>108900.00000000003</v>
      </c>
      <c r="S188" s="265">
        <f t="shared" si="7"/>
        <v>119790.00000000004</v>
      </c>
      <c r="T188" s="688"/>
    </row>
    <row r="189" spans="1:20" ht="28.5">
      <c r="A189" s="680"/>
      <c r="B189" s="677"/>
      <c r="C189" s="677"/>
      <c r="D189" s="704"/>
      <c r="E189" s="704"/>
      <c r="F189" s="705"/>
      <c r="G189" s="694"/>
      <c r="H189" s="271" t="s">
        <v>300</v>
      </c>
      <c r="I189" s="272" t="s">
        <v>301</v>
      </c>
      <c r="J189" s="165">
        <v>400</v>
      </c>
      <c r="K189" s="165">
        <f>700*1</f>
        <v>700</v>
      </c>
      <c r="L189" s="165">
        <f>700*2</f>
        <v>1400</v>
      </c>
      <c r="M189" s="165">
        <f>700*3</f>
        <v>2100</v>
      </c>
      <c r="N189" s="165">
        <f>700*4</f>
        <v>2800</v>
      </c>
      <c r="O189" s="265">
        <f t="shared" si="8"/>
        <v>324870</v>
      </c>
      <c r="P189" s="266">
        <v>70000</v>
      </c>
      <c r="Q189" s="265">
        <f t="shared" si="7"/>
        <v>77000</v>
      </c>
      <c r="R189" s="265">
        <f t="shared" si="7"/>
        <v>84700</v>
      </c>
      <c r="S189" s="265">
        <f t="shared" si="7"/>
        <v>93170.00000000001</v>
      </c>
      <c r="T189" s="688"/>
    </row>
    <row r="190" spans="1:20" ht="85.5">
      <c r="A190" s="680"/>
      <c r="B190" s="677"/>
      <c r="C190" s="677"/>
      <c r="D190" s="704"/>
      <c r="E190" s="704"/>
      <c r="F190" s="705"/>
      <c r="G190" s="694"/>
      <c r="H190" s="271" t="s">
        <v>302</v>
      </c>
      <c r="I190" s="272" t="s">
        <v>303</v>
      </c>
      <c r="J190" s="165" t="s">
        <v>1683</v>
      </c>
      <c r="K190" s="165">
        <v>40</v>
      </c>
      <c r="L190" s="165">
        <v>80</v>
      </c>
      <c r="M190" s="165">
        <v>120</v>
      </c>
      <c r="N190" s="165">
        <v>160</v>
      </c>
      <c r="O190" s="265">
        <f t="shared" si="8"/>
        <v>27846.000000000004</v>
      </c>
      <c r="P190" s="266">
        <v>6000</v>
      </c>
      <c r="Q190" s="265">
        <f t="shared" si="7"/>
        <v>6600.000000000001</v>
      </c>
      <c r="R190" s="265">
        <f t="shared" si="7"/>
        <v>7260.000000000002</v>
      </c>
      <c r="S190" s="265">
        <f t="shared" si="7"/>
        <v>7986.000000000003</v>
      </c>
      <c r="T190" s="688"/>
    </row>
    <row r="191" spans="1:20" ht="85.5">
      <c r="A191" s="680"/>
      <c r="B191" s="677"/>
      <c r="C191" s="677"/>
      <c r="D191" s="704"/>
      <c r="E191" s="704"/>
      <c r="F191" s="705"/>
      <c r="G191" s="694"/>
      <c r="H191" s="271" t="s">
        <v>304</v>
      </c>
      <c r="I191" s="272" t="s">
        <v>305</v>
      </c>
      <c r="J191" s="256">
        <v>1</v>
      </c>
      <c r="K191" s="256">
        <v>1</v>
      </c>
      <c r="L191" s="256">
        <v>1</v>
      </c>
      <c r="M191" s="256">
        <v>1</v>
      </c>
      <c r="N191" s="256">
        <v>1</v>
      </c>
      <c r="O191" s="265">
        <f t="shared" si="8"/>
        <v>83538</v>
      </c>
      <c r="P191" s="266">
        <v>18000</v>
      </c>
      <c r="Q191" s="265">
        <f t="shared" si="7"/>
        <v>19800</v>
      </c>
      <c r="R191" s="265">
        <f t="shared" si="7"/>
        <v>21780</v>
      </c>
      <c r="S191" s="265">
        <f t="shared" si="7"/>
        <v>23958.000000000004</v>
      </c>
      <c r="T191" s="688"/>
    </row>
    <row r="192" spans="1:20" ht="71.25">
      <c r="A192" s="680"/>
      <c r="B192" s="677"/>
      <c r="C192" s="677"/>
      <c r="D192" s="686"/>
      <c r="E192" s="686"/>
      <c r="F192" s="703"/>
      <c r="G192" s="695"/>
      <c r="H192" s="271" t="s">
        <v>306</v>
      </c>
      <c r="I192" s="272" t="s">
        <v>307</v>
      </c>
      <c r="J192" s="165">
        <v>200</v>
      </c>
      <c r="K192" s="165">
        <v>400</v>
      </c>
      <c r="L192" s="165">
        <v>800</v>
      </c>
      <c r="M192" s="165">
        <v>1200</v>
      </c>
      <c r="N192" s="165">
        <v>1600</v>
      </c>
      <c r="O192" s="265">
        <f t="shared" si="8"/>
        <v>51051.00000000001</v>
      </c>
      <c r="P192" s="266">
        <v>11000</v>
      </c>
      <c r="Q192" s="265">
        <f t="shared" si="7"/>
        <v>12100.000000000002</v>
      </c>
      <c r="R192" s="265">
        <f t="shared" si="7"/>
        <v>13310.000000000004</v>
      </c>
      <c r="S192" s="265">
        <f t="shared" si="7"/>
        <v>14641.000000000005</v>
      </c>
      <c r="T192" s="688"/>
    </row>
    <row r="193" spans="1:20" ht="57">
      <c r="A193" s="680"/>
      <c r="B193" s="677"/>
      <c r="C193" s="677"/>
      <c r="D193" s="685" t="s">
        <v>308</v>
      </c>
      <c r="E193" s="685" t="s">
        <v>309</v>
      </c>
      <c r="F193" s="702" t="s">
        <v>1683</v>
      </c>
      <c r="G193" s="700" t="s">
        <v>616</v>
      </c>
      <c r="H193" s="271" t="s">
        <v>617</v>
      </c>
      <c r="I193" s="272" t="s">
        <v>618</v>
      </c>
      <c r="J193" s="165" t="s">
        <v>1683</v>
      </c>
      <c r="K193" s="165">
        <f>24*1</f>
        <v>24</v>
      </c>
      <c r="L193" s="165">
        <f>24*2</f>
        <v>48</v>
      </c>
      <c r="M193" s="165">
        <f>24*3</f>
        <v>72</v>
      </c>
      <c r="N193" s="165">
        <f>24*4</f>
        <v>96</v>
      </c>
      <c r="O193" s="265">
        <f t="shared" si="8"/>
        <v>43254.12</v>
      </c>
      <c r="P193" s="266">
        <v>9320</v>
      </c>
      <c r="Q193" s="265">
        <f t="shared" si="7"/>
        <v>10252</v>
      </c>
      <c r="R193" s="265">
        <f t="shared" si="7"/>
        <v>11277.2</v>
      </c>
      <c r="S193" s="265">
        <f t="shared" si="7"/>
        <v>12404.920000000002</v>
      </c>
      <c r="T193" s="688"/>
    </row>
    <row r="194" spans="1:20" ht="71.25">
      <c r="A194" s="681"/>
      <c r="B194" s="678"/>
      <c r="C194" s="678"/>
      <c r="D194" s="686"/>
      <c r="E194" s="686"/>
      <c r="F194" s="703"/>
      <c r="G194" s="701"/>
      <c r="H194" s="271" t="s">
        <v>619</v>
      </c>
      <c r="I194" s="272" t="s">
        <v>620</v>
      </c>
      <c r="J194" s="165" t="s">
        <v>621</v>
      </c>
      <c r="K194" s="165">
        <f>12928/4</f>
        <v>3232</v>
      </c>
      <c r="L194" s="165">
        <f>K194*2</f>
        <v>6464</v>
      </c>
      <c r="M194" s="165">
        <f>K194*3</f>
        <v>9696</v>
      </c>
      <c r="N194" s="165">
        <f>K194*4</f>
        <v>12928</v>
      </c>
      <c r="O194" s="265">
        <f t="shared" si="8"/>
        <v>287742</v>
      </c>
      <c r="P194" s="266">
        <v>62000</v>
      </c>
      <c r="Q194" s="265">
        <f t="shared" si="7"/>
        <v>68200</v>
      </c>
      <c r="R194" s="265">
        <f t="shared" si="7"/>
        <v>75020</v>
      </c>
      <c r="S194" s="265">
        <f t="shared" si="7"/>
        <v>82522</v>
      </c>
      <c r="T194" s="689"/>
    </row>
    <row r="195" spans="1:20" ht="85.5">
      <c r="A195" s="679" t="s">
        <v>622</v>
      </c>
      <c r="B195" s="676"/>
      <c r="C195" s="676"/>
      <c r="D195" s="676" t="s">
        <v>623</v>
      </c>
      <c r="E195" s="676" t="s">
        <v>624</v>
      </c>
      <c r="F195" s="696" t="s">
        <v>1683</v>
      </c>
      <c r="G195" s="690" t="s">
        <v>1683</v>
      </c>
      <c r="H195" s="273" t="s">
        <v>625</v>
      </c>
      <c r="I195" s="165" t="s">
        <v>626</v>
      </c>
      <c r="J195" s="165" t="s">
        <v>627</v>
      </c>
      <c r="K195" s="165">
        <v>100</v>
      </c>
      <c r="L195" s="165">
        <v>100</v>
      </c>
      <c r="M195" s="165">
        <v>100</v>
      </c>
      <c r="N195" s="165">
        <v>100</v>
      </c>
      <c r="O195" s="265">
        <f>P195+Q195+R195+S195</f>
        <v>46410</v>
      </c>
      <c r="P195" s="266">
        <v>10000</v>
      </c>
      <c r="Q195" s="265">
        <f t="shared" si="7"/>
        <v>11000</v>
      </c>
      <c r="R195" s="265">
        <f t="shared" si="7"/>
        <v>12100.000000000002</v>
      </c>
      <c r="S195" s="265">
        <f t="shared" si="7"/>
        <v>13310.000000000004</v>
      </c>
      <c r="T195" s="687"/>
    </row>
    <row r="196" spans="1:20" ht="99.75">
      <c r="A196" s="681"/>
      <c r="B196" s="678"/>
      <c r="C196" s="678"/>
      <c r="D196" s="678"/>
      <c r="E196" s="678"/>
      <c r="F196" s="698"/>
      <c r="G196" s="692"/>
      <c r="H196" s="274" t="s">
        <v>628</v>
      </c>
      <c r="I196" s="165" t="s">
        <v>629</v>
      </c>
      <c r="J196" s="165" t="s">
        <v>1683</v>
      </c>
      <c r="K196" s="165">
        <v>50</v>
      </c>
      <c r="L196" s="165">
        <v>250</v>
      </c>
      <c r="M196" s="165">
        <v>350</v>
      </c>
      <c r="N196" s="165">
        <v>400</v>
      </c>
      <c r="O196" s="265">
        <f>P196+Q196+R196+S196</f>
        <v>74256</v>
      </c>
      <c r="P196" s="275">
        <v>16000</v>
      </c>
      <c r="Q196" s="265">
        <f>P196*1.1</f>
        <v>17600</v>
      </c>
      <c r="R196" s="265">
        <f>Q196*1.1</f>
        <v>19360</v>
      </c>
      <c r="S196" s="265">
        <f>R196*1.1</f>
        <v>21296</v>
      </c>
      <c r="T196" s="689"/>
    </row>
    <row r="197" spans="1:20" ht="199.5">
      <c r="A197" s="699" t="s">
        <v>630</v>
      </c>
      <c r="B197" s="276"/>
      <c r="C197" s="276"/>
      <c r="D197" s="262" t="s">
        <v>631</v>
      </c>
      <c r="E197" s="262" t="s">
        <v>632</v>
      </c>
      <c r="F197" s="262">
        <v>6</v>
      </c>
      <c r="G197" s="234"/>
      <c r="H197" s="277" t="s">
        <v>633</v>
      </c>
      <c r="I197" s="251" t="s">
        <v>634</v>
      </c>
      <c r="J197" s="251"/>
      <c r="K197" s="251">
        <v>20</v>
      </c>
      <c r="L197" s="251">
        <v>6</v>
      </c>
      <c r="M197" s="251">
        <v>12</v>
      </c>
      <c r="N197" s="251">
        <v>18</v>
      </c>
      <c r="O197" s="251">
        <v>24</v>
      </c>
      <c r="P197" s="708">
        <f>Q197+R197+S197+T197</f>
        <v>339421790</v>
      </c>
      <c r="Q197" s="706">
        <v>69296000</v>
      </c>
      <c r="R197" s="706">
        <v>81609000</v>
      </c>
      <c r="S197" s="706">
        <v>89769900</v>
      </c>
      <c r="T197" s="706">
        <v>98746890</v>
      </c>
    </row>
    <row r="198" spans="1:20" ht="99.75">
      <c r="A198" s="699"/>
      <c r="B198" s="276"/>
      <c r="C198" s="278"/>
      <c r="D198" s="262" t="s">
        <v>635</v>
      </c>
      <c r="E198" s="262" t="s">
        <v>636</v>
      </c>
      <c r="F198" s="279">
        <v>17</v>
      </c>
      <c r="G198" s="234"/>
      <c r="H198" s="262" t="s">
        <v>637</v>
      </c>
      <c r="I198" s="251" t="s">
        <v>511</v>
      </c>
      <c r="J198" s="251"/>
      <c r="K198" s="251">
        <v>17</v>
      </c>
      <c r="L198" s="251">
        <v>152</v>
      </c>
      <c r="M198" s="251">
        <v>304</v>
      </c>
      <c r="N198" s="251">
        <v>456</v>
      </c>
      <c r="O198" s="251">
        <v>608</v>
      </c>
      <c r="P198" s="709"/>
      <c r="Q198" s="707"/>
      <c r="R198" s="707"/>
      <c r="S198" s="707"/>
      <c r="T198" s="707"/>
    </row>
    <row r="199" spans="1:20" ht="42.75">
      <c r="A199" s="699"/>
      <c r="B199" s="276"/>
      <c r="C199" s="250"/>
      <c r="D199" s="262" t="s">
        <v>638</v>
      </c>
      <c r="E199" s="262" t="s">
        <v>639</v>
      </c>
      <c r="F199" s="279">
        <v>1</v>
      </c>
      <c r="G199" s="234"/>
      <c r="H199" s="262" t="s">
        <v>640</v>
      </c>
      <c r="I199" s="251" t="s">
        <v>641</v>
      </c>
      <c r="J199" s="251"/>
      <c r="K199" s="251">
        <v>1</v>
      </c>
      <c r="L199" s="251">
        <v>0</v>
      </c>
      <c r="M199" s="251">
        <v>0</v>
      </c>
      <c r="N199" s="251">
        <v>0</v>
      </c>
      <c r="O199" s="251">
        <v>0</v>
      </c>
      <c r="P199" s="252">
        <v>0</v>
      </c>
      <c r="Q199" s="233">
        <v>0</v>
      </c>
      <c r="R199" s="233">
        <v>0</v>
      </c>
      <c r="S199" s="233">
        <v>0</v>
      </c>
      <c r="T199" s="233">
        <v>0</v>
      </c>
    </row>
    <row r="200" spans="1:20" ht="15">
      <c r="A200" s="280"/>
      <c r="B200" s="253"/>
      <c r="C200" s="253"/>
      <c r="D200" s="280"/>
      <c r="E200" s="280"/>
      <c r="F200" s="281"/>
      <c r="G200" s="282"/>
      <c r="H200" s="254"/>
      <c r="I200" s="257"/>
      <c r="J200" s="257"/>
      <c r="K200" s="257"/>
      <c r="L200" s="257"/>
      <c r="M200" s="257"/>
      <c r="N200" s="257"/>
      <c r="O200" s="257"/>
      <c r="P200" s="258"/>
      <c r="Q200" s="255"/>
      <c r="R200" s="255"/>
      <c r="S200" s="255"/>
      <c r="T200" s="255"/>
    </row>
  </sheetData>
  <sheetProtection/>
  <mergeCells count="238">
    <mergeCell ref="T197:T198"/>
    <mergeCell ref="A195:A196"/>
    <mergeCell ref="B195:B196"/>
    <mergeCell ref="C195:C196"/>
    <mergeCell ref="D195:D196"/>
    <mergeCell ref="P197:P198"/>
    <mergeCell ref="Q197:Q198"/>
    <mergeCell ref="R197:R198"/>
    <mergeCell ref="S197:S198"/>
    <mergeCell ref="F183:F187"/>
    <mergeCell ref="A197:A199"/>
    <mergeCell ref="F180:F182"/>
    <mergeCell ref="G193:G194"/>
    <mergeCell ref="F193:F194"/>
    <mergeCell ref="D188:D192"/>
    <mergeCell ref="E188:E192"/>
    <mergeCell ref="F188:F192"/>
    <mergeCell ref="E195:E196"/>
    <mergeCell ref="F195:F196"/>
    <mergeCell ref="T180:T194"/>
    <mergeCell ref="G180:G182"/>
    <mergeCell ref="G188:G192"/>
    <mergeCell ref="T195:T196"/>
    <mergeCell ref="G183:G187"/>
    <mergeCell ref="G195:G196"/>
    <mergeCell ref="T174:T179"/>
    <mergeCell ref="D183:D187"/>
    <mergeCell ref="E183:E187"/>
    <mergeCell ref="A180:A194"/>
    <mergeCell ref="B180:B194"/>
    <mergeCell ref="C180:C194"/>
    <mergeCell ref="D180:D182"/>
    <mergeCell ref="D193:D194"/>
    <mergeCell ref="E193:E194"/>
    <mergeCell ref="E180:E182"/>
    <mergeCell ref="G150:G152"/>
    <mergeCell ref="T158:T173"/>
    <mergeCell ref="A174:A179"/>
    <mergeCell ref="B174:B179"/>
    <mergeCell ref="C174:C179"/>
    <mergeCell ref="O174:O179"/>
    <mergeCell ref="P174:P179"/>
    <mergeCell ref="Q174:Q179"/>
    <mergeCell ref="R174:R179"/>
    <mergeCell ref="S174:S179"/>
    <mergeCell ref="G165:G171"/>
    <mergeCell ref="Q158:Q159"/>
    <mergeCell ref="D156:D157"/>
    <mergeCell ref="G156:G157"/>
    <mergeCell ref="P158:P159"/>
    <mergeCell ref="O160:O162"/>
    <mergeCell ref="P160:P162"/>
    <mergeCell ref="Q160:Q162"/>
    <mergeCell ref="R160:R162"/>
    <mergeCell ref="B160:B173"/>
    <mergeCell ref="C160:C173"/>
    <mergeCell ref="F160:F164"/>
    <mergeCell ref="G160:G164"/>
    <mergeCell ref="E160:E164"/>
    <mergeCell ref="D165:D171"/>
    <mergeCell ref="E165:E171"/>
    <mergeCell ref="F165:F171"/>
    <mergeCell ref="K152:K153"/>
    <mergeCell ref="A158:A159"/>
    <mergeCell ref="S160:S162"/>
    <mergeCell ref="R158:R159"/>
    <mergeCell ref="S158:S159"/>
    <mergeCell ref="A160:A173"/>
    <mergeCell ref="D160:D164"/>
    <mergeCell ref="B158:B159"/>
    <mergeCell ref="C158:C159"/>
    <mergeCell ref="O158:O159"/>
    <mergeCell ref="J147:J148"/>
    <mergeCell ref="R152:R153"/>
    <mergeCell ref="E156:E157"/>
    <mergeCell ref="F156:F157"/>
    <mergeCell ref="B150:B157"/>
    <mergeCell ref="M152:M153"/>
    <mergeCell ref="C150:C157"/>
    <mergeCell ref="D153:D154"/>
    <mergeCell ref="L152:L153"/>
    <mergeCell ref="Q152:Q153"/>
    <mergeCell ref="A146:A149"/>
    <mergeCell ref="S147:S148"/>
    <mergeCell ref="B146:B149"/>
    <mergeCell ref="C146:C149"/>
    <mergeCell ref="O152:O153"/>
    <mergeCell ref="P152:P153"/>
    <mergeCell ref="G153:G154"/>
    <mergeCell ref="N152:N153"/>
    <mergeCell ref="H147:H148"/>
    <mergeCell ref="I147:I148"/>
    <mergeCell ref="Q147:Q148"/>
    <mergeCell ref="T146:T149"/>
    <mergeCell ref="L147:L148"/>
    <mergeCell ref="M147:M148"/>
    <mergeCell ref="A150:A157"/>
    <mergeCell ref="D150:D152"/>
    <mergeCell ref="E150:E152"/>
    <mergeCell ref="F150:F152"/>
    <mergeCell ref="E153:E154"/>
    <mergeCell ref="F153:F154"/>
    <mergeCell ref="R126:R128"/>
    <mergeCell ref="R147:R148"/>
    <mergeCell ref="T150:T157"/>
    <mergeCell ref="S152:S153"/>
    <mergeCell ref="H152:H153"/>
    <mergeCell ref="I152:I153"/>
    <mergeCell ref="J152:J153"/>
    <mergeCell ref="K147:K148"/>
    <mergeCell ref="O147:O148"/>
    <mergeCell ref="P147:P148"/>
    <mergeCell ref="T119:T130"/>
    <mergeCell ref="N147:N148"/>
    <mergeCell ref="S126:S128"/>
    <mergeCell ref="R133:R134"/>
    <mergeCell ref="T131:T145"/>
    <mergeCell ref="N126:N128"/>
    <mergeCell ref="O126:O128"/>
    <mergeCell ref="S133:S134"/>
    <mergeCell ref="P126:P128"/>
    <mergeCell ref="Q126:Q128"/>
    <mergeCell ref="R122:R123"/>
    <mergeCell ref="Q122:Q123"/>
    <mergeCell ref="P122:P123"/>
    <mergeCell ref="S122:S123"/>
    <mergeCell ref="S124:S125"/>
    <mergeCell ref="R124:R125"/>
    <mergeCell ref="Q124:Q125"/>
    <mergeCell ref="A131:A145"/>
    <mergeCell ref="P133:P134"/>
    <mergeCell ref="Q133:Q134"/>
    <mergeCell ref="I126:I128"/>
    <mergeCell ref="J126:J128"/>
    <mergeCell ref="N124:N125"/>
    <mergeCell ref="O124:O125"/>
    <mergeCell ref="K124:K125"/>
    <mergeCell ref="K126:K128"/>
    <mergeCell ref="L126:L128"/>
    <mergeCell ref="M122:M123"/>
    <mergeCell ref="N122:N123"/>
    <mergeCell ref="L122:L123"/>
    <mergeCell ref="I122:I123"/>
    <mergeCell ref="K122:K123"/>
    <mergeCell ref="P124:P125"/>
    <mergeCell ref="O122:O123"/>
    <mergeCell ref="M124:M125"/>
    <mergeCell ref="L124:L125"/>
    <mergeCell ref="J124:J125"/>
    <mergeCell ref="M126:M128"/>
    <mergeCell ref="A106:A118"/>
    <mergeCell ref="B106:B118"/>
    <mergeCell ref="C106:C118"/>
    <mergeCell ref="D116:D118"/>
    <mergeCell ref="D108:D115"/>
    <mergeCell ref="D106:D107"/>
    <mergeCell ref="H122:H123"/>
    <mergeCell ref="A119:A130"/>
    <mergeCell ref="J122:J123"/>
    <mergeCell ref="H126:H128"/>
    <mergeCell ref="H124:H125"/>
    <mergeCell ref="B119:B130"/>
    <mergeCell ref="C119:C130"/>
    <mergeCell ref="I124:I125"/>
    <mergeCell ref="E106:E107"/>
    <mergeCell ref="F122:F123"/>
    <mergeCell ref="G122:G123"/>
    <mergeCell ref="E108:E115"/>
    <mergeCell ref="F108:F115"/>
    <mergeCell ref="E116:E118"/>
    <mergeCell ref="F116:F118"/>
    <mergeCell ref="G116:G118"/>
    <mergeCell ref="P91:P92"/>
    <mergeCell ref="F106:F107"/>
    <mergeCell ref="G106:G107"/>
    <mergeCell ref="T91:T105"/>
    <mergeCell ref="Q91:Q92"/>
    <mergeCell ref="R91:R92"/>
    <mergeCell ref="T106:T118"/>
    <mergeCell ref="S91:S92"/>
    <mergeCell ref="G91:G105"/>
    <mergeCell ref="G108:G115"/>
    <mergeCell ref="A91:A105"/>
    <mergeCell ref="D91:D105"/>
    <mergeCell ref="E91:E105"/>
    <mergeCell ref="F91:F105"/>
    <mergeCell ref="B91:B105"/>
    <mergeCell ref="C91:C105"/>
    <mergeCell ref="A6:T7"/>
    <mergeCell ref="A1:T1"/>
    <mergeCell ref="A2:T2"/>
    <mergeCell ref="A3:T3"/>
    <mergeCell ref="A4:T4"/>
    <mergeCell ref="A5:T5"/>
    <mergeCell ref="T8:T9"/>
    <mergeCell ref="A8:A9"/>
    <mergeCell ref="B8:B9"/>
    <mergeCell ref="C8:C9"/>
    <mergeCell ref="D8:D9"/>
    <mergeCell ref="E8:H8"/>
    <mergeCell ref="I8:N8"/>
    <mergeCell ref="O8:S8"/>
    <mergeCell ref="A18:A32"/>
    <mergeCell ref="H18:H20"/>
    <mergeCell ref="H21:H24"/>
    <mergeCell ref="H25:H28"/>
    <mergeCell ref="D27:D29"/>
    <mergeCell ref="E27:E29"/>
    <mergeCell ref="F27:F29"/>
    <mergeCell ref="G27:G29"/>
    <mergeCell ref="H29:H32"/>
    <mergeCell ref="D30:D31"/>
    <mergeCell ref="E30:E31"/>
    <mergeCell ref="F30:F31"/>
    <mergeCell ref="G30:G31"/>
    <mergeCell ref="H67:H70"/>
    <mergeCell ref="H56:H58"/>
    <mergeCell ref="H59:H60"/>
    <mergeCell ref="A71:A79"/>
    <mergeCell ref="H71:H73"/>
    <mergeCell ref="H74:H79"/>
    <mergeCell ref="A33:A60"/>
    <mergeCell ref="H33:H41"/>
    <mergeCell ref="B35:B36"/>
    <mergeCell ref="B37:B38"/>
    <mergeCell ref="H42:H45"/>
    <mergeCell ref="H46:H50"/>
    <mergeCell ref="H51:H55"/>
    <mergeCell ref="A80:A90"/>
    <mergeCell ref="H80:H83"/>
    <mergeCell ref="H84:H90"/>
    <mergeCell ref="A10:A17"/>
    <mergeCell ref="B10:B17"/>
    <mergeCell ref="C10:C17"/>
    <mergeCell ref="B18:B32"/>
    <mergeCell ref="C18:C32"/>
    <mergeCell ref="A61:A70"/>
    <mergeCell ref="H61:H66"/>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sheetPr>
    <tabColor rgb="FF008000"/>
  </sheetPr>
  <dimension ref="A1:AB160"/>
  <sheetViews>
    <sheetView tabSelected="1" zoomScale="75" zoomScaleNormal="75" zoomScalePageLayoutView="0" workbookViewId="0" topLeftCell="N1">
      <pane ySplit="7" topLeftCell="A119" activePane="bottomLeft" state="frozen"/>
      <selection pane="topLeft" activeCell="A8" sqref="A8"/>
      <selection pane="bottomLeft" activeCell="S128" sqref="S128"/>
    </sheetView>
  </sheetViews>
  <sheetFormatPr defaultColWidth="10.875" defaultRowHeight="15.75"/>
  <cols>
    <col min="1" max="1" width="45.00390625" style="15" bestFit="1" customWidth="1"/>
    <col min="2" max="2" width="20.00390625" style="15" bestFit="1" customWidth="1"/>
    <col min="3" max="3" width="43.00390625" style="15" bestFit="1" customWidth="1"/>
    <col min="4" max="4" width="34.125" style="15" bestFit="1" customWidth="1"/>
    <col min="5" max="5" width="34.875" style="15" bestFit="1" customWidth="1"/>
    <col min="6" max="6" width="14.375" style="15" bestFit="1" customWidth="1"/>
    <col min="7" max="8" width="14.875" style="15" bestFit="1" customWidth="1"/>
    <col min="9" max="9" width="17.50390625" style="15" bestFit="1" customWidth="1"/>
    <col min="10" max="10" width="29.50390625" style="15" bestFit="1" customWidth="1"/>
    <col min="11" max="11" width="22.00390625" style="15" bestFit="1" customWidth="1"/>
    <col min="12" max="12" width="27.00390625" style="15" bestFit="1" customWidth="1"/>
    <col min="13" max="13" width="13.50390625" style="15" bestFit="1" customWidth="1"/>
    <col min="14" max="17" width="14.375" style="15" bestFit="1" customWidth="1"/>
    <col min="18" max="18" width="17.625" style="15" bestFit="1" customWidth="1"/>
    <col min="19" max="19" width="15.625" style="15" bestFit="1" customWidth="1"/>
    <col min="20" max="22" width="20.00390625" style="15" bestFit="1" customWidth="1"/>
    <col min="23" max="23" width="43.50390625" style="15" bestFit="1" customWidth="1"/>
    <col min="24" max="24" width="10.875" style="15" customWidth="1"/>
    <col min="25" max="25" width="14.375" style="15" customWidth="1"/>
    <col min="26" max="26" width="11.50390625" style="15" bestFit="1" customWidth="1"/>
    <col min="27" max="16384" width="10.875" style="15" customWidth="1"/>
  </cols>
  <sheetData>
    <row r="1" spans="1:23" ht="18">
      <c r="A1" s="609" t="s">
        <v>1370</v>
      </c>
      <c r="B1" s="610"/>
      <c r="C1" s="610"/>
      <c r="D1" s="610"/>
      <c r="E1" s="610"/>
      <c r="F1" s="610"/>
      <c r="G1" s="610"/>
      <c r="H1" s="610"/>
      <c r="I1" s="610"/>
      <c r="J1" s="610"/>
      <c r="K1" s="610"/>
      <c r="L1" s="610"/>
      <c r="M1" s="610"/>
      <c r="N1" s="610"/>
      <c r="O1" s="610"/>
      <c r="P1" s="610"/>
      <c r="Q1" s="610"/>
      <c r="R1" s="610"/>
      <c r="S1" s="610"/>
      <c r="T1" s="610"/>
      <c r="U1" s="610"/>
      <c r="V1" s="610"/>
      <c r="W1" s="611"/>
    </row>
    <row r="2" spans="1:23" ht="18">
      <c r="A2" s="609" t="s">
        <v>1371</v>
      </c>
      <c r="B2" s="610"/>
      <c r="C2" s="610"/>
      <c r="D2" s="610"/>
      <c r="E2" s="610"/>
      <c r="F2" s="610"/>
      <c r="G2" s="610"/>
      <c r="H2" s="610"/>
      <c r="I2" s="610"/>
      <c r="J2" s="610"/>
      <c r="K2" s="610"/>
      <c r="L2" s="610"/>
      <c r="M2" s="610"/>
      <c r="N2" s="610"/>
      <c r="O2" s="610"/>
      <c r="P2" s="610"/>
      <c r="Q2" s="610"/>
      <c r="R2" s="610"/>
      <c r="S2" s="610"/>
      <c r="T2" s="610"/>
      <c r="U2" s="610"/>
      <c r="V2" s="610"/>
      <c r="W2" s="611"/>
    </row>
    <row r="3" spans="1:23" ht="18">
      <c r="A3" s="609" t="s">
        <v>344</v>
      </c>
      <c r="B3" s="610"/>
      <c r="C3" s="610"/>
      <c r="D3" s="610"/>
      <c r="E3" s="610"/>
      <c r="F3" s="610"/>
      <c r="G3" s="610"/>
      <c r="H3" s="610"/>
      <c r="I3" s="610"/>
      <c r="J3" s="610"/>
      <c r="K3" s="610"/>
      <c r="L3" s="610"/>
      <c r="M3" s="610"/>
      <c r="N3" s="610"/>
      <c r="O3" s="610"/>
      <c r="P3" s="610"/>
      <c r="Q3" s="610"/>
      <c r="R3" s="610"/>
      <c r="S3" s="610"/>
      <c r="T3" s="610"/>
      <c r="U3" s="610"/>
      <c r="V3" s="610"/>
      <c r="W3" s="611"/>
    </row>
    <row r="4" spans="1:23" ht="18">
      <c r="A4" s="609" t="s">
        <v>2093</v>
      </c>
      <c r="B4" s="610"/>
      <c r="C4" s="610"/>
      <c r="D4" s="610"/>
      <c r="E4" s="610"/>
      <c r="F4" s="610"/>
      <c r="G4" s="610"/>
      <c r="H4" s="610"/>
      <c r="I4" s="610"/>
      <c r="J4" s="610"/>
      <c r="K4" s="610"/>
      <c r="L4" s="610"/>
      <c r="M4" s="610"/>
      <c r="N4" s="610"/>
      <c r="O4" s="610"/>
      <c r="P4" s="610"/>
      <c r="Q4" s="610"/>
      <c r="R4" s="610"/>
      <c r="S4" s="610"/>
      <c r="T4" s="610"/>
      <c r="U4" s="610"/>
      <c r="V4" s="610"/>
      <c r="W4" s="611"/>
    </row>
    <row r="5" spans="1:23" ht="18">
      <c r="A5" s="605"/>
      <c r="B5" s="606"/>
      <c r="C5" s="606"/>
      <c r="D5" s="606"/>
      <c r="E5" s="606"/>
      <c r="F5" s="606"/>
      <c r="G5" s="606"/>
      <c r="H5" s="606"/>
      <c r="I5" s="606"/>
      <c r="J5" s="606"/>
      <c r="K5" s="606"/>
      <c r="L5" s="606"/>
      <c r="M5" s="606"/>
      <c r="N5" s="606"/>
      <c r="O5" s="606"/>
      <c r="P5" s="606"/>
      <c r="Q5" s="606"/>
      <c r="R5" s="606"/>
      <c r="S5" s="606"/>
      <c r="T5" s="606"/>
      <c r="U5" s="606"/>
      <c r="V5" s="606"/>
      <c r="W5" s="607"/>
    </row>
    <row r="6" spans="1:23" ht="18">
      <c r="A6" s="608" t="s">
        <v>2094</v>
      </c>
      <c r="B6" s="608" t="s">
        <v>1848</v>
      </c>
      <c r="C6" s="608" t="s">
        <v>2097</v>
      </c>
      <c r="D6" s="608" t="s">
        <v>2098</v>
      </c>
      <c r="E6" s="608"/>
      <c r="F6" s="608"/>
      <c r="G6" s="608"/>
      <c r="H6" s="608"/>
      <c r="I6" s="608"/>
      <c r="J6" s="608"/>
      <c r="K6" s="608" t="s">
        <v>2099</v>
      </c>
      <c r="L6" s="608"/>
      <c r="M6" s="608"/>
      <c r="N6" s="608"/>
      <c r="O6" s="608"/>
      <c r="P6" s="608"/>
      <c r="Q6" s="608"/>
      <c r="R6" s="608" t="s">
        <v>2100</v>
      </c>
      <c r="S6" s="608"/>
      <c r="T6" s="608"/>
      <c r="U6" s="608"/>
      <c r="V6" s="608"/>
      <c r="W6" s="608" t="s">
        <v>2101</v>
      </c>
    </row>
    <row r="7" spans="1:23" ht="72">
      <c r="A7" s="727"/>
      <c r="B7" s="608"/>
      <c r="C7" s="608"/>
      <c r="D7" s="344" t="s">
        <v>2102</v>
      </c>
      <c r="E7" s="352" t="s">
        <v>2103</v>
      </c>
      <c r="F7" s="344" t="s">
        <v>2107</v>
      </c>
      <c r="G7" s="344" t="s">
        <v>2108</v>
      </c>
      <c r="H7" s="344" t="s">
        <v>2109</v>
      </c>
      <c r="I7" s="344" t="s">
        <v>2104</v>
      </c>
      <c r="J7" s="353" t="s">
        <v>2105</v>
      </c>
      <c r="K7" s="344" t="s">
        <v>2102</v>
      </c>
      <c r="L7" s="344" t="s">
        <v>20</v>
      </c>
      <c r="M7" s="352" t="s">
        <v>2103</v>
      </c>
      <c r="N7" s="344" t="s">
        <v>2107</v>
      </c>
      <c r="O7" s="344" t="s">
        <v>2108</v>
      </c>
      <c r="P7" s="344" t="s">
        <v>2109</v>
      </c>
      <c r="Q7" s="344" t="s">
        <v>2104</v>
      </c>
      <c r="R7" s="344" t="s">
        <v>2110</v>
      </c>
      <c r="S7" s="344">
        <v>2012</v>
      </c>
      <c r="T7" s="344">
        <v>2013</v>
      </c>
      <c r="U7" s="344">
        <v>2014</v>
      </c>
      <c r="V7" s="344">
        <v>2015</v>
      </c>
      <c r="W7" s="608"/>
    </row>
    <row r="8" spans="1:23" ht="121.5" customHeight="1">
      <c r="A8" s="722" t="s">
        <v>360</v>
      </c>
      <c r="B8" s="602">
        <v>4.5</v>
      </c>
      <c r="C8" s="591" t="s">
        <v>2589</v>
      </c>
      <c r="D8" s="591" t="s">
        <v>2590</v>
      </c>
      <c r="E8" s="591" t="s">
        <v>2591</v>
      </c>
      <c r="F8" s="591">
        <v>2</v>
      </c>
      <c r="G8" s="591">
        <v>4</v>
      </c>
      <c r="H8" s="591">
        <v>6</v>
      </c>
      <c r="I8" s="591">
        <v>10</v>
      </c>
      <c r="J8" s="103" t="s">
        <v>2592</v>
      </c>
      <c r="K8" s="103" t="s">
        <v>2593</v>
      </c>
      <c r="L8" s="103" t="s">
        <v>189</v>
      </c>
      <c r="M8" s="94">
        <v>1</v>
      </c>
      <c r="N8" s="94">
        <v>0</v>
      </c>
      <c r="O8" s="94">
        <v>1</v>
      </c>
      <c r="P8" s="94">
        <v>1</v>
      </c>
      <c r="Q8" s="94">
        <v>1</v>
      </c>
      <c r="R8" s="297">
        <f>SUM(S8:V8)</f>
        <v>30000</v>
      </c>
      <c r="S8" s="297">
        <v>0</v>
      </c>
      <c r="T8" s="297">
        <v>30000</v>
      </c>
      <c r="U8" s="297">
        <v>0</v>
      </c>
      <c r="V8" s="297">
        <v>0</v>
      </c>
      <c r="W8" s="591" t="s">
        <v>359</v>
      </c>
    </row>
    <row r="9" spans="1:23" ht="38.25">
      <c r="A9" s="722"/>
      <c r="B9" s="602"/>
      <c r="C9" s="591"/>
      <c r="D9" s="591"/>
      <c r="E9" s="591"/>
      <c r="F9" s="591"/>
      <c r="G9" s="591"/>
      <c r="H9" s="591"/>
      <c r="I9" s="591"/>
      <c r="J9" s="103" t="s">
        <v>2594</v>
      </c>
      <c r="K9" s="103" t="s">
        <v>2595</v>
      </c>
      <c r="L9" s="103" t="s">
        <v>189</v>
      </c>
      <c r="M9" s="94">
        <v>30</v>
      </c>
      <c r="N9" s="94">
        <v>0</v>
      </c>
      <c r="O9" s="94">
        <v>5</v>
      </c>
      <c r="P9" s="94">
        <v>10</v>
      </c>
      <c r="Q9" s="94">
        <v>10</v>
      </c>
      <c r="R9" s="297">
        <f aca="true" t="shared" si="0" ref="R9:R72">SUM(S9:V9)</f>
        <v>30000</v>
      </c>
      <c r="S9" s="297">
        <v>0</v>
      </c>
      <c r="T9" s="297">
        <v>30000</v>
      </c>
      <c r="U9" s="297">
        <v>0</v>
      </c>
      <c r="V9" s="297">
        <v>0</v>
      </c>
      <c r="W9" s="591"/>
    </row>
    <row r="10" spans="1:23" ht="51">
      <c r="A10" s="722"/>
      <c r="B10" s="602"/>
      <c r="C10" s="591"/>
      <c r="D10" s="591"/>
      <c r="E10" s="591"/>
      <c r="F10" s="591"/>
      <c r="G10" s="591"/>
      <c r="H10" s="591"/>
      <c r="I10" s="591"/>
      <c r="J10" s="103" t="s">
        <v>2596</v>
      </c>
      <c r="K10" s="103" t="s">
        <v>2597</v>
      </c>
      <c r="L10" s="103" t="s">
        <v>189</v>
      </c>
      <c r="M10" s="94">
        <v>5</v>
      </c>
      <c r="N10" s="94">
        <v>1</v>
      </c>
      <c r="O10" s="94">
        <v>2</v>
      </c>
      <c r="P10" s="94">
        <v>3</v>
      </c>
      <c r="Q10" s="94">
        <v>5</v>
      </c>
      <c r="R10" s="297">
        <f t="shared" si="0"/>
        <v>332000</v>
      </c>
      <c r="S10" s="297">
        <v>80000</v>
      </c>
      <c r="T10" s="297">
        <f>(40000*5%)+S10</f>
        <v>82000</v>
      </c>
      <c r="U10" s="297">
        <f>(40000*5%)+T10</f>
        <v>84000</v>
      </c>
      <c r="V10" s="297">
        <f>(40000*5%)+U10</f>
        <v>86000</v>
      </c>
      <c r="W10" s="591"/>
    </row>
    <row r="11" spans="1:23" ht="42" customHeight="1">
      <c r="A11" s="722"/>
      <c r="B11" s="602"/>
      <c r="C11" s="103" t="s">
        <v>2610</v>
      </c>
      <c r="D11" s="103" t="s">
        <v>2598</v>
      </c>
      <c r="E11" s="95">
        <v>1050</v>
      </c>
      <c r="F11" s="95">
        <v>200</v>
      </c>
      <c r="G11" s="95">
        <v>300</v>
      </c>
      <c r="H11" s="95">
        <v>400</v>
      </c>
      <c r="I11" s="95">
        <v>500</v>
      </c>
      <c r="J11" s="103" t="s">
        <v>2599</v>
      </c>
      <c r="K11" s="103" t="s">
        <v>2600</v>
      </c>
      <c r="L11" s="103" t="s">
        <v>189</v>
      </c>
      <c r="M11" s="95">
        <v>1050</v>
      </c>
      <c r="N11" s="95">
        <v>200</v>
      </c>
      <c r="O11" s="95">
        <v>300</v>
      </c>
      <c r="P11" s="95">
        <v>400</v>
      </c>
      <c r="Q11" s="95">
        <v>500</v>
      </c>
      <c r="R11" s="297">
        <f t="shared" si="0"/>
        <v>1000000</v>
      </c>
      <c r="S11" s="298">
        <f>N11*2000</f>
        <v>400000</v>
      </c>
      <c r="T11" s="298">
        <v>200000</v>
      </c>
      <c r="U11" s="298">
        <v>200000</v>
      </c>
      <c r="V11" s="298">
        <v>200000</v>
      </c>
      <c r="W11" s="591"/>
    </row>
    <row r="12" spans="1:23" ht="34.5" customHeight="1">
      <c r="A12" s="722"/>
      <c r="B12" s="602"/>
      <c r="C12" s="94" t="s">
        <v>2601</v>
      </c>
      <c r="D12" s="94" t="s">
        <v>2602</v>
      </c>
      <c r="E12" s="94" t="s">
        <v>2603</v>
      </c>
      <c r="F12" s="94">
        <v>0</v>
      </c>
      <c r="G12" s="94">
        <v>1</v>
      </c>
      <c r="H12" s="94">
        <v>1</v>
      </c>
      <c r="I12" s="94">
        <v>1</v>
      </c>
      <c r="J12" s="103" t="s">
        <v>2604</v>
      </c>
      <c r="K12" s="103" t="s">
        <v>2605</v>
      </c>
      <c r="L12" s="103" t="s">
        <v>189</v>
      </c>
      <c r="M12" s="94" t="s">
        <v>2603</v>
      </c>
      <c r="N12" s="94"/>
      <c r="O12" s="94">
        <v>1</v>
      </c>
      <c r="P12" s="94">
        <v>1</v>
      </c>
      <c r="Q12" s="94">
        <v>1</v>
      </c>
      <c r="R12" s="297">
        <f t="shared" si="0"/>
        <v>90000</v>
      </c>
      <c r="S12" s="297">
        <v>0</v>
      </c>
      <c r="T12" s="297">
        <v>90000</v>
      </c>
      <c r="U12" s="297">
        <v>0</v>
      </c>
      <c r="V12" s="297">
        <v>0</v>
      </c>
      <c r="W12" s="591"/>
    </row>
    <row r="13" spans="1:25" ht="39.75" customHeight="1">
      <c r="A13" s="722"/>
      <c r="B13" s="602"/>
      <c r="C13" s="103" t="s">
        <v>2606</v>
      </c>
      <c r="D13" s="103" t="s">
        <v>2607</v>
      </c>
      <c r="E13" s="95" t="s">
        <v>2603</v>
      </c>
      <c r="F13" s="95">
        <v>1</v>
      </c>
      <c r="G13" s="95">
        <v>1</v>
      </c>
      <c r="H13" s="95">
        <v>1</v>
      </c>
      <c r="I13" s="95">
        <v>1</v>
      </c>
      <c r="J13" s="103" t="s">
        <v>2608</v>
      </c>
      <c r="K13" s="103" t="s">
        <v>2609</v>
      </c>
      <c r="L13" s="103" t="s">
        <v>189</v>
      </c>
      <c r="M13" s="95" t="s">
        <v>2603</v>
      </c>
      <c r="N13" s="95">
        <v>3</v>
      </c>
      <c r="O13" s="95">
        <v>5</v>
      </c>
      <c r="P13" s="95">
        <v>8</v>
      </c>
      <c r="Q13" s="95">
        <v>10</v>
      </c>
      <c r="R13" s="297">
        <f t="shared" si="0"/>
        <v>86000</v>
      </c>
      <c r="S13" s="298">
        <v>20000</v>
      </c>
      <c r="T13" s="298">
        <f>(20000*5%)+S13</f>
        <v>21000</v>
      </c>
      <c r="U13" s="298">
        <f>(20000*5%)+T13</f>
        <v>22000</v>
      </c>
      <c r="V13" s="298">
        <f>(20000*5%)+U13</f>
        <v>23000</v>
      </c>
      <c r="W13" s="591"/>
      <c r="Y13" s="299"/>
    </row>
    <row r="14" spans="1:23" ht="38.25">
      <c r="A14" s="722" t="s">
        <v>361</v>
      </c>
      <c r="B14" s="602">
        <v>5</v>
      </c>
      <c r="C14" s="103" t="s">
        <v>2611</v>
      </c>
      <c r="D14" s="103" t="s">
        <v>2612</v>
      </c>
      <c r="E14" s="92" t="s">
        <v>2603</v>
      </c>
      <c r="F14" s="92">
        <v>0</v>
      </c>
      <c r="G14" s="92">
        <v>1</v>
      </c>
      <c r="H14" s="92">
        <v>2</v>
      </c>
      <c r="I14" s="92">
        <v>3</v>
      </c>
      <c r="J14" s="103" t="s">
        <v>2611</v>
      </c>
      <c r="K14" s="103" t="s">
        <v>2613</v>
      </c>
      <c r="L14" s="103" t="s">
        <v>189</v>
      </c>
      <c r="M14" s="92" t="s">
        <v>2603</v>
      </c>
      <c r="N14" s="92"/>
      <c r="O14" s="92">
        <v>1</v>
      </c>
      <c r="P14" s="92">
        <v>2</v>
      </c>
      <c r="Q14" s="92">
        <v>3</v>
      </c>
      <c r="R14" s="297">
        <f t="shared" si="0"/>
        <v>157500</v>
      </c>
      <c r="S14" s="298"/>
      <c r="T14" s="298">
        <v>50000</v>
      </c>
      <c r="U14" s="298">
        <f>(50000*5%)+T14</f>
        <v>52500</v>
      </c>
      <c r="V14" s="298">
        <f>(50000*5%)+U14</f>
        <v>55000</v>
      </c>
      <c r="W14" s="591" t="s">
        <v>359</v>
      </c>
    </row>
    <row r="15" spans="1:23" ht="25.5">
      <c r="A15" s="722"/>
      <c r="B15" s="602"/>
      <c r="C15" s="103" t="s">
        <v>2614</v>
      </c>
      <c r="D15" s="103" t="s">
        <v>2615</v>
      </c>
      <c r="E15" s="92">
        <v>286</v>
      </c>
      <c r="F15" s="92">
        <v>95</v>
      </c>
      <c r="G15" s="92">
        <v>200</v>
      </c>
      <c r="H15" s="92">
        <v>300</v>
      </c>
      <c r="I15" s="92">
        <v>400</v>
      </c>
      <c r="J15" s="103" t="s">
        <v>2615</v>
      </c>
      <c r="K15" s="103" t="s">
        <v>2616</v>
      </c>
      <c r="L15" s="103" t="s">
        <v>189</v>
      </c>
      <c r="M15" s="92">
        <v>286</v>
      </c>
      <c r="N15" s="92">
        <v>95</v>
      </c>
      <c r="O15" s="92">
        <v>200</v>
      </c>
      <c r="P15" s="92">
        <v>300</v>
      </c>
      <c r="Q15" s="92">
        <v>400</v>
      </c>
      <c r="R15" s="297">
        <f t="shared" si="0"/>
        <v>960000</v>
      </c>
      <c r="S15" s="298">
        <v>240000</v>
      </c>
      <c r="T15" s="298">
        <v>240000</v>
      </c>
      <c r="U15" s="298">
        <v>240000</v>
      </c>
      <c r="V15" s="298">
        <v>240000</v>
      </c>
      <c r="W15" s="591"/>
    </row>
    <row r="16" spans="1:23" ht="25.5">
      <c r="A16" s="722"/>
      <c r="B16" s="602"/>
      <c r="C16" s="103" t="s">
        <v>2617</v>
      </c>
      <c r="D16" s="103" t="s">
        <v>2618</v>
      </c>
      <c r="E16" s="92">
        <v>5000</v>
      </c>
      <c r="F16" s="92">
        <v>30000</v>
      </c>
      <c r="G16" s="92">
        <v>60000</v>
      </c>
      <c r="H16" s="92">
        <v>90000</v>
      </c>
      <c r="I16" s="92">
        <v>120000</v>
      </c>
      <c r="J16" s="103" t="s">
        <v>2619</v>
      </c>
      <c r="K16" s="103" t="s">
        <v>2620</v>
      </c>
      <c r="L16" s="103" t="s">
        <v>189</v>
      </c>
      <c r="M16" s="92">
        <v>5000</v>
      </c>
      <c r="N16" s="92">
        <f>$I$16/4</f>
        <v>30000</v>
      </c>
      <c r="O16" s="92">
        <v>60000</v>
      </c>
      <c r="P16" s="92">
        <v>90000</v>
      </c>
      <c r="Q16" s="92">
        <v>120000</v>
      </c>
      <c r="R16" s="297">
        <f t="shared" si="0"/>
        <v>387000</v>
      </c>
      <c r="S16" s="298">
        <v>90000</v>
      </c>
      <c r="T16" s="298">
        <f>(90000*5%)+S16</f>
        <v>94500</v>
      </c>
      <c r="U16" s="298">
        <f>(90000*5%)+T16</f>
        <v>99000</v>
      </c>
      <c r="V16" s="298">
        <f>(90000*5%)+U16</f>
        <v>103500</v>
      </c>
      <c r="W16" s="591"/>
    </row>
    <row r="17" spans="1:23" ht="63.75">
      <c r="A17" s="722"/>
      <c r="B17" s="602"/>
      <c r="C17" s="103" t="s">
        <v>3040</v>
      </c>
      <c r="D17" s="103" t="s">
        <v>3041</v>
      </c>
      <c r="E17" s="92">
        <v>0</v>
      </c>
      <c r="F17" s="92">
        <v>0</v>
      </c>
      <c r="G17" s="92">
        <v>0</v>
      </c>
      <c r="H17" s="92">
        <v>1</v>
      </c>
      <c r="I17" s="92">
        <v>1</v>
      </c>
      <c r="J17" s="103" t="s">
        <v>3040</v>
      </c>
      <c r="K17" s="103" t="s">
        <v>3041</v>
      </c>
      <c r="L17" s="103" t="s">
        <v>189</v>
      </c>
      <c r="M17" s="92">
        <v>0</v>
      </c>
      <c r="N17" s="92">
        <v>0</v>
      </c>
      <c r="O17" s="92">
        <v>0</v>
      </c>
      <c r="P17" s="92">
        <v>1</v>
      </c>
      <c r="Q17" s="92">
        <v>1</v>
      </c>
      <c r="R17" s="297">
        <f t="shared" si="0"/>
        <v>300000</v>
      </c>
      <c r="S17" s="298">
        <v>0</v>
      </c>
      <c r="T17" s="298">
        <v>0</v>
      </c>
      <c r="U17" s="298">
        <v>300000</v>
      </c>
      <c r="V17" s="298">
        <v>0</v>
      </c>
      <c r="W17" s="591"/>
    </row>
    <row r="18" spans="1:23" ht="25.5">
      <c r="A18" s="722"/>
      <c r="B18" s="602"/>
      <c r="C18" s="103" t="s">
        <v>3042</v>
      </c>
      <c r="D18" s="103" t="s">
        <v>3043</v>
      </c>
      <c r="E18" s="92" t="s">
        <v>2591</v>
      </c>
      <c r="F18" s="92">
        <v>100</v>
      </c>
      <c r="G18" s="92">
        <v>200</v>
      </c>
      <c r="H18" s="92">
        <v>300</v>
      </c>
      <c r="I18" s="92">
        <v>400000</v>
      </c>
      <c r="J18" s="103" t="s">
        <v>2622</v>
      </c>
      <c r="K18" s="103" t="s">
        <v>2621</v>
      </c>
      <c r="L18" s="103" t="s">
        <v>189</v>
      </c>
      <c r="M18" s="92" t="s">
        <v>2591</v>
      </c>
      <c r="N18" s="92">
        <v>100000</v>
      </c>
      <c r="O18" s="92">
        <v>200000</v>
      </c>
      <c r="P18" s="92">
        <v>300000</v>
      </c>
      <c r="Q18" s="92">
        <v>400000</v>
      </c>
      <c r="R18" s="297">
        <f t="shared" si="0"/>
        <v>200000</v>
      </c>
      <c r="S18" s="298">
        <v>50000</v>
      </c>
      <c r="T18" s="298">
        <v>50000</v>
      </c>
      <c r="U18" s="298">
        <v>50000</v>
      </c>
      <c r="V18" s="298">
        <v>50000</v>
      </c>
      <c r="W18" s="591"/>
    </row>
    <row r="19" spans="1:23" ht="63.75">
      <c r="A19" s="722"/>
      <c r="B19" s="602"/>
      <c r="C19" s="103" t="s">
        <v>2623</v>
      </c>
      <c r="D19" s="103" t="s">
        <v>2624</v>
      </c>
      <c r="E19" s="92" t="s">
        <v>2591</v>
      </c>
      <c r="F19" s="92">
        <v>0</v>
      </c>
      <c r="G19" s="92">
        <v>1</v>
      </c>
      <c r="H19" s="92">
        <v>1</v>
      </c>
      <c r="I19" s="356">
        <v>1</v>
      </c>
      <c r="J19" s="103" t="s">
        <v>646</v>
      </c>
      <c r="K19" s="103" t="s">
        <v>647</v>
      </c>
      <c r="L19" s="103" t="s">
        <v>189</v>
      </c>
      <c r="M19" s="92" t="str">
        <f>+E19</f>
        <v>N/D</v>
      </c>
      <c r="N19" s="92">
        <v>0</v>
      </c>
      <c r="O19" s="11">
        <v>1</v>
      </c>
      <c r="P19" s="11">
        <v>1</v>
      </c>
      <c r="Q19" s="11">
        <v>1</v>
      </c>
      <c r="R19" s="297">
        <f t="shared" si="0"/>
        <v>0</v>
      </c>
      <c r="S19" s="298">
        <v>0</v>
      </c>
      <c r="T19" s="298">
        <v>0</v>
      </c>
      <c r="U19" s="298">
        <v>0</v>
      </c>
      <c r="V19" s="298">
        <v>0</v>
      </c>
      <c r="W19" s="591"/>
    </row>
    <row r="20" spans="1:23" ht="63.75" customHeight="1">
      <c r="A20" s="722" t="s">
        <v>362</v>
      </c>
      <c r="B20" s="602">
        <v>4</v>
      </c>
      <c r="C20" s="591" t="s">
        <v>2625</v>
      </c>
      <c r="D20" s="591" t="s">
        <v>2626</v>
      </c>
      <c r="E20" s="716" t="s">
        <v>2603</v>
      </c>
      <c r="F20" s="716">
        <v>500</v>
      </c>
      <c r="G20" s="716">
        <v>1000</v>
      </c>
      <c r="H20" s="716">
        <v>1800</v>
      </c>
      <c r="I20" s="716">
        <v>2300</v>
      </c>
      <c r="J20" s="103" t="s">
        <v>2627</v>
      </c>
      <c r="K20" s="103" t="s">
        <v>2628</v>
      </c>
      <c r="L20" s="103" t="s">
        <v>189</v>
      </c>
      <c r="M20" s="92" t="s">
        <v>2603</v>
      </c>
      <c r="N20" s="92">
        <v>0</v>
      </c>
      <c r="O20" s="92">
        <v>0</v>
      </c>
      <c r="P20" s="92">
        <v>1</v>
      </c>
      <c r="Q20" s="92">
        <v>1</v>
      </c>
      <c r="R20" s="297">
        <f t="shared" si="0"/>
        <v>30000</v>
      </c>
      <c r="S20" s="298">
        <v>0</v>
      </c>
      <c r="T20" s="298">
        <v>0</v>
      </c>
      <c r="U20" s="298">
        <v>30000</v>
      </c>
      <c r="V20" s="298">
        <v>0</v>
      </c>
      <c r="W20" s="591" t="s">
        <v>359</v>
      </c>
    </row>
    <row r="21" spans="1:23" ht="96" customHeight="1">
      <c r="A21" s="722"/>
      <c r="B21" s="602"/>
      <c r="C21" s="591"/>
      <c r="D21" s="591"/>
      <c r="E21" s="716"/>
      <c r="F21" s="716"/>
      <c r="G21" s="716"/>
      <c r="H21" s="716"/>
      <c r="I21" s="716"/>
      <c r="J21" s="103" t="s">
        <v>2629</v>
      </c>
      <c r="K21" s="103" t="s">
        <v>2593</v>
      </c>
      <c r="L21" s="103" t="s">
        <v>189</v>
      </c>
      <c r="M21" s="92">
        <v>1</v>
      </c>
      <c r="N21" s="92">
        <v>1</v>
      </c>
      <c r="O21" s="92">
        <v>0</v>
      </c>
      <c r="P21" s="92">
        <v>0</v>
      </c>
      <c r="Q21" s="92">
        <v>0</v>
      </c>
      <c r="R21" s="297">
        <f t="shared" si="0"/>
        <v>15000</v>
      </c>
      <c r="S21" s="298">
        <v>15000</v>
      </c>
      <c r="T21" s="298">
        <v>0</v>
      </c>
      <c r="U21" s="298">
        <v>0</v>
      </c>
      <c r="V21" s="298">
        <v>0</v>
      </c>
      <c r="W21" s="591"/>
    </row>
    <row r="22" spans="1:23" ht="94.5" customHeight="1">
      <c r="A22" s="722"/>
      <c r="B22" s="602"/>
      <c r="C22" s="591"/>
      <c r="D22" s="591"/>
      <c r="E22" s="716"/>
      <c r="F22" s="716"/>
      <c r="G22" s="716"/>
      <c r="H22" s="716"/>
      <c r="I22" s="716"/>
      <c r="J22" s="103" t="s">
        <v>2630</v>
      </c>
      <c r="K22" s="103" t="s">
        <v>2631</v>
      </c>
      <c r="L22" s="103" t="s">
        <v>189</v>
      </c>
      <c r="M22" s="92">
        <v>30</v>
      </c>
      <c r="N22" s="92">
        <v>0</v>
      </c>
      <c r="O22" s="92">
        <v>5</v>
      </c>
      <c r="P22" s="92">
        <v>10</v>
      </c>
      <c r="Q22" s="92">
        <v>0</v>
      </c>
      <c r="R22" s="297">
        <f t="shared" si="0"/>
        <v>30000</v>
      </c>
      <c r="S22" s="298">
        <v>0</v>
      </c>
      <c r="T22" s="298">
        <v>15000</v>
      </c>
      <c r="U22" s="298">
        <v>15000</v>
      </c>
      <c r="V22" s="298">
        <v>0</v>
      </c>
      <c r="W22" s="591"/>
    </row>
    <row r="23" spans="1:23" ht="133.5" customHeight="1">
      <c r="A23" s="722"/>
      <c r="B23" s="602"/>
      <c r="C23" s="591"/>
      <c r="D23" s="591"/>
      <c r="E23" s="716"/>
      <c r="F23" s="716"/>
      <c r="G23" s="716"/>
      <c r="H23" s="716"/>
      <c r="I23" s="716"/>
      <c r="J23" s="103" t="s">
        <v>2632</v>
      </c>
      <c r="K23" s="103" t="s">
        <v>2633</v>
      </c>
      <c r="L23" s="103" t="s">
        <v>189</v>
      </c>
      <c r="M23" s="92" t="s">
        <v>2591</v>
      </c>
      <c r="N23" s="92">
        <v>1</v>
      </c>
      <c r="O23" s="92">
        <v>2</v>
      </c>
      <c r="P23" s="92">
        <v>3</v>
      </c>
      <c r="Q23" s="92">
        <v>5</v>
      </c>
      <c r="R23" s="297">
        <f t="shared" si="0"/>
        <v>310000</v>
      </c>
      <c r="S23" s="298">
        <v>50000</v>
      </c>
      <c r="T23" s="298">
        <v>80000</v>
      </c>
      <c r="U23" s="298">
        <v>80000</v>
      </c>
      <c r="V23" s="298">
        <v>100000</v>
      </c>
      <c r="W23" s="591"/>
    </row>
    <row r="24" spans="1:23" ht="25.5">
      <c r="A24" s="722" t="s">
        <v>363</v>
      </c>
      <c r="B24" s="602">
        <v>4</v>
      </c>
      <c r="C24" s="591" t="s">
        <v>2983</v>
      </c>
      <c r="D24" s="591" t="s">
        <v>2984</v>
      </c>
      <c r="E24" s="716" t="s">
        <v>2591</v>
      </c>
      <c r="F24" s="716">
        <v>0</v>
      </c>
      <c r="G24" s="716">
        <v>200</v>
      </c>
      <c r="H24" s="716">
        <v>300</v>
      </c>
      <c r="I24" s="716">
        <v>400</v>
      </c>
      <c r="J24" s="103" t="s">
        <v>2985</v>
      </c>
      <c r="K24" s="103" t="s">
        <v>2986</v>
      </c>
      <c r="L24" s="103" t="s">
        <v>189</v>
      </c>
      <c r="M24" s="92">
        <v>1100</v>
      </c>
      <c r="N24" s="92">
        <v>0</v>
      </c>
      <c r="O24" s="92">
        <v>200</v>
      </c>
      <c r="P24" s="92">
        <v>300</v>
      </c>
      <c r="Q24" s="92">
        <v>400</v>
      </c>
      <c r="R24" s="297">
        <f t="shared" si="0"/>
        <v>945750</v>
      </c>
      <c r="S24" s="298">
        <v>0</v>
      </c>
      <c r="T24" s="298">
        <v>300000</v>
      </c>
      <c r="U24" s="298">
        <f>(T24*5%)+T24</f>
        <v>315000</v>
      </c>
      <c r="V24" s="298">
        <f>(U24*5%)+U24</f>
        <v>330750</v>
      </c>
      <c r="W24" s="591" t="s">
        <v>359</v>
      </c>
    </row>
    <row r="25" spans="1:23" ht="45" customHeight="1">
      <c r="A25" s="722"/>
      <c r="B25" s="602"/>
      <c r="C25" s="591"/>
      <c r="D25" s="591"/>
      <c r="E25" s="716"/>
      <c r="F25" s="716"/>
      <c r="G25" s="716"/>
      <c r="H25" s="716"/>
      <c r="I25" s="716"/>
      <c r="J25" s="103" t="s">
        <v>2987</v>
      </c>
      <c r="K25" s="103" t="s">
        <v>2988</v>
      </c>
      <c r="L25" s="103" t="s">
        <v>189</v>
      </c>
      <c r="M25" s="92">
        <v>286</v>
      </c>
      <c r="N25" s="92">
        <v>0</v>
      </c>
      <c r="O25" s="92">
        <v>200</v>
      </c>
      <c r="P25" s="92">
        <v>300</v>
      </c>
      <c r="Q25" s="92">
        <v>400</v>
      </c>
      <c r="R25" s="297">
        <f t="shared" si="0"/>
        <v>807500</v>
      </c>
      <c r="S25" s="298">
        <v>0</v>
      </c>
      <c r="T25" s="298">
        <v>400000</v>
      </c>
      <c r="U25" s="298">
        <v>202500</v>
      </c>
      <c r="V25" s="298">
        <f>(50000*5%)+U25</f>
        <v>205000</v>
      </c>
      <c r="W25" s="591"/>
    </row>
    <row r="26" spans="1:23" ht="38.25">
      <c r="A26" s="722"/>
      <c r="B26" s="602"/>
      <c r="C26" s="591"/>
      <c r="D26" s="591"/>
      <c r="E26" s="716"/>
      <c r="F26" s="716"/>
      <c r="G26" s="716"/>
      <c r="H26" s="716"/>
      <c r="I26" s="716"/>
      <c r="J26" s="103" t="s">
        <v>2989</v>
      </c>
      <c r="K26" s="103" t="s">
        <v>2990</v>
      </c>
      <c r="L26" s="103" t="s">
        <v>189</v>
      </c>
      <c r="M26" s="92" t="s">
        <v>2603</v>
      </c>
      <c r="N26" s="92">
        <v>0</v>
      </c>
      <c r="O26" s="92">
        <v>5</v>
      </c>
      <c r="P26" s="92">
        <v>0</v>
      </c>
      <c r="Q26" s="92">
        <v>0</v>
      </c>
      <c r="R26" s="297">
        <f t="shared" si="0"/>
        <v>25000</v>
      </c>
      <c r="S26" s="298">
        <v>0</v>
      </c>
      <c r="T26" s="298">
        <v>25000</v>
      </c>
      <c r="U26" s="298">
        <v>0</v>
      </c>
      <c r="V26" s="298">
        <v>0</v>
      </c>
      <c r="W26" s="591"/>
    </row>
    <row r="27" spans="1:23" ht="51">
      <c r="A27" s="722"/>
      <c r="B27" s="602"/>
      <c r="C27" s="591"/>
      <c r="D27" s="591"/>
      <c r="E27" s="716"/>
      <c r="F27" s="716"/>
      <c r="G27" s="716"/>
      <c r="H27" s="716"/>
      <c r="I27" s="716"/>
      <c r="J27" s="103" t="s">
        <v>2991</v>
      </c>
      <c r="K27" s="103" t="s">
        <v>2992</v>
      </c>
      <c r="L27" s="103" t="s">
        <v>189</v>
      </c>
      <c r="M27" s="92" t="s">
        <v>2603</v>
      </c>
      <c r="N27" s="92">
        <v>0</v>
      </c>
      <c r="O27" s="92">
        <v>1</v>
      </c>
      <c r="P27" s="92">
        <v>3</v>
      </c>
      <c r="Q27" s="92">
        <v>5</v>
      </c>
      <c r="R27" s="297">
        <f t="shared" si="0"/>
        <v>400000</v>
      </c>
      <c r="S27" s="298">
        <v>0</v>
      </c>
      <c r="T27" s="298">
        <v>50000</v>
      </c>
      <c r="U27" s="298">
        <v>150000</v>
      </c>
      <c r="V27" s="298">
        <v>200000</v>
      </c>
      <c r="W27" s="591"/>
    </row>
    <row r="28" spans="1:23" ht="25.5">
      <c r="A28" s="722"/>
      <c r="B28" s="602"/>
      <c r="C28" s="591"/>
      <c r="D28" s="591"/>
      <c r="E28" s="716"/>
      <c r="F28" s="716"/>
      <c r="G28" s="716"/>
      <c r="H28" s="716"/>
      <c r="I28" s="716"/>
      <c r="J28" s="103" t="s">
        <v>2993</v>
      </c>
      <c r="K28" s="103" t="s">
        <v>2994</v>
      </c>
      <c r="L28" s="103" t="s">
        <v>189</v>
      </c>
      <c r="M28" s="92">
        <v>2150</v>
      </c>
      <c r="N28" s="92">
        <v>2650</v>
      </c>
      <c r="O28" s="92">
        <v>2800</v>
      </c>
      <c r="P28" s="92">
        <v>3000</v>
      </c>
      <c r="Q28" s="92">
        <v>3400</v>
      </c>
      <c r="R28" s="297">
        <f t="shared" si="0"/>
        <v>407000</v>
      </c>
      <c r="S28" s="298">
        <v>107000</v>
      </c>
      <c r="T28" s="298">
        <v>100000</v>
      </c>
      <c r="U28" s="298">
        <v>100000</v>
      </c>
      <c r="V28" s="298">
        <v>100000</v>
      </c>
      <c r="W28" s="591"/>
    </row>
    <row r="29" spans="1:23" ht="45" customHeight="1">
      <c r="A29" s="722"/>
      <c r="B29" s="602"/>
      <c r="C29" s="94" t="s">
        <v>2995</v>
      </c>
      <c r="D29" s="94" t="s">
        <v>2996</v>
      </c>
      <c r="E29" s="92" t="s">
        <v>2603</v>
      </c>
      <c r="F29" s="92">
        <v>0</v>
      </c>
      <c r="G29" s="92">
        <v>0</v>
      </c>
      <c r="H29" s="92">
        <v>0</v>
      </c>
      <c r="I29" s="92">
        <v>1</v>
      </c>
      <c r="J29" s="103" t="s">
        <v>2997</v>
      </c>
      <c r="K29" s="103" t="s">
        <v>2998</v>
      </c>
      <c r="L29" s="103" t="s">
        <v>189</v>
      </c>
      <c r="M29" s="92" t="s">
        <v>2603</v>
      </c>
      <c r="N29" s="92">
        <v>0</v>
      </c>
      <c r="O29" s="92">
        <v>0</v>
      </c>
      <c r="P29" s="92">
        <v>0</v>
      </c>
      <c r="Q29" s="92">
        <v>1</v>
      </c>
      <c r="R29" s="297">
        <f t="shared" si="0"/>
        <v>35000</v>
      </c>
      <c r="S29" s="298">
        <v>0</v>
      </c>
      <c r="T29" s="298">
        <v>0</v>
      </c>
      <c r="U29" s="298">
        <v>0</v>
      </c>
      <c r="V29" s="298">
        <v>35000</v>
      </c>
      <c r="W29" s="591"/>
    </row>
    <row r="30" spans="1:23" ht="63.75">
      <c r="A30" s="722"/>
      <c r="B30" s="602"/>
      <c r="C30" s="94" t="s">
        <v>2999</v>
      </c>
      <c r="D30" s="94" t="s">
        <v>3000</v>
      </c>
      <c r="E30" s="92" t="s">
        <v>2603</v>
      </c>
      <c r="F30" s="92">
        <v>10000</v>
      </c>
      <c r="G30" s="92">
        <v>30000</v>
      </c>
      <c r="H30" s="92">
        <v>60000</v>
      </c>
      <c r="I30" s="92">
        <v>90000</v>
      </c>
      <c r="J30" s="103" t="s">
        <v>2769</v>
      </c>
      <c r="K30" s="103" t="s">
        <v>3001</v>
      </c>
      <c r="L30" s="103" t="s">
        <v>189</v>
      </c>
      <c r="M30" s="92">
        <v>40</v>
      </c>
      <c r="N30" s="92">
        <v>30</v>
      </c>
      <c r="O30" s="92">
        <v>60</v>
      </c>
      <c r="P30" s="92">
        <v>90</v>
      </c>
      <c r="Q30" s="92">
        <v>120</v>
      </c>
      <c r="R30" s="297">
        <f t="shared" si="0"/>
        <v>206000</v>
      </c>
      <c r="S30" s="298">
        <v>50000</v>
      </c>
      <c r="T30" s="298">
        <f>(20000*5%)+S30</f>
        <v>51000</v>
      </c>
      <c r="U30" s="298">
        <f>(20000*5%)+T30</f>
        <v>52000</v>
      </c>
      <c r="V30" s="298">
        <f>(20000*5%)+U30</f>
        <v>53000</v>
      </c>
      <c r="W30" s="591"/>
    </row>
    <row r="31" spans="1:23" ht="51">
      <c r="A31" s="722"/>
      <c r="B31" s="602"/>
      <c r="C31" s="591" t="s">
        <v>3002</v>
      </c>
      <c r="D31" s="591" t="s">
        <v>3003</v>
      </c>
      <c r="E31" s="716">
        <v>1</v>
      </c>
      <c r="F31" s="716">
        <v>0</v>
      </c>
      <c r="G31" s="716">
        <v>2</v>
      </c>
      <c r="H31" s="716">
        <v>3</v>
      </c>
      <c r="I31" s="716">
        <v>5</v>
      </c>
      <c r="J31" s="103" t="s">
        <v>3004</v>
      </c>
      <c r="K31" s="103" t="s">
        <v>3005</v>
      </c>
      <c r="L31" s="103" t="s">
        <v>189</v>
      </c>
      <c r="M31" s="92" t="s">
        <v>2603</v>
      </c>
      <c r="N31" s="92">
        <v>0</v>
      </c>
      <c r="O31" s="92">
        <v>2</v>
      </c>
      <c r="P31" s="92">
        <v>3</v>
      </c>
      <c r="Q31" s="92">
        <v>5</v>
      </c>
      <c r="R31" s="297">
        <f t="shared" si="0"/>
        <v>94575</v>
      </c>
      <c r="S31" s="298">
        <v>0</v>
      </c>
      <c r="T31" s="298">
        <v>30000</v>
      </c>
      <c r="U31" s="298">
        <f>(T31*5%)+T31</f>
        <v>31500</v>
      </c>
      <c r="V31" s="298">
        <f>(U31*5%)+U31</f>
        <v>33075</v>
      </c>
      <c r="W31" s="591"/>
    </row>
    <row r="32" spans="1:23" ht="25.5">
      <c r="A32" s="722"/>
      <c r="B32" s="602"/>
      <c r="C32" s="591"/>
      <c r="D32" s="591"/>
      <c r="E32" s="716"/>
      <c r="F32" s="716"/>
      <c r="G32" s="716"/>
      <c r="H32" s="716"/>
      <c r="I32" s="716"/>
      <c r="J32" s="103" t="s">
        <v>3006</v>
      </c>
      <c r="K32" s="103" t="s">
        <v>3007</v>
      </c>
      <c r="L32" s="103" t="s">
        <v>189</v>
      </c>
      <c r="M32" s="92">
        <v>1</v>
      </c>
      <c r="N32" s="92">
        <v>1</v>
      </c>
      <c r="O32" s="92">
        <v>0</v>
      </c>
      <c r="P32" s="92">
        <v>0</v>
      </c>
      <c r="Q32" s="92">
        <v>0</v>
      </c>
      <c r="R32" s="297">
        <f t="shared" si="0"/>
        <v>0</v>
      </c>
      <c r="S32" s="298">
        <v>0</v>
      </c>
      <c r="T32" s="298">
        <v>0</v>
      </c>
      <c r="U32" s="298">
        <v>0</v>
      </c>
      <c r="V32" s="298">
        <v>0</v>
      </c>
      <c r="W32" s="591"/>
    </row>
    <row r="33" spans="1:25" ht="100.5" customHeight="1">
      <c r="A33" s="724" t="s">
        <v>1034</v>
      </c>
      <c r="B33" s="602">
        <v>4.5</v>
      </c>
      <c r="C33" s="726" t="s">
        <v>3008</v>
      </c>
      <c r="D33" s="591" t="s">
        <v>1038</v>
      </c>
      <c r="E33" s="715">
        <v>2000</v>
      </c>
      <c r="F33" s="715">
        <v>1000</v>
      </c>
      <c r="G33" s="715">
        <v>3000</v>
      </c>
      <c r="H33" s="715">
        <v>4500</v>
      </c>
      <c r="I33" s="714">
        <v>6000</v>
      </c>
      <c r="J33" s="14" t="s">
        <v>3009</v>
      </c>
      <c r="K33" s="14" t="s">
        <v>3010</v>
      </c>
      <c r="L33" s="14" t="s">
        <v>189</v>
      </c>
      <c r="M33" s="92">
        <v>45</v>
      </c>
      <c r="N33" s="92">
        <v>10</v>
      </c>
      <c r="O33" s="92">
        <v>90</v>
      </c>
      <c r="P33" s="92">
        <v>100</v>
      </c>
      <c r="Q33" s="92">
        <v>100</v>
      </c>
      <c r="R33" s="297">
        <f t="shared" si="0"/>
        <v>110000</v>
      </c>
      <c r="S33" s="298">
        <v>20000</v>
      </c>
      <c r="T33" s="298">
        <v>25000</v>
      </c>
      <c r="U33" s="298">
        <v>30000</v>
      </c>
      <c r="V33" s="298">
        <v>35000</v>
      </c>
      <c r="W33" s="591" t="s">
        <v>1035</v>
      </c>
      <c r="Y33" s="299"/>
    </row>
    <row r="34" spans="1:23" ht="100.5" customHeight="1">
      <c r="A34" s="724"/>
      <c r="B34" s="602"/>
      <c r="C34" s="726"/>
      <c r="D34" s="591"/>
      <c r="E34" s="715"/>
      <c r="F34" s="715"/>
      <c r="G34" s="715"/>
      <c r="H34" s="715"/>
      <c r="I34" s="714"/>
      <c r="J34" s="14" t="s">
        <v>3011</v>
      </c>
      <c r="K34" s="14" t="s">
        <v>3012</v>
      </c>
      <c r="L34" s="14" t="s">
        <v>189</v>
      </c>
      <c r="M34" s="92">
        <v>1</v>
      </c>
      <c r="N34" s="92">
        <v>1</v>
      </c>
      <c r="O34" s="92">
        <v>1</v>
      </c>
      <c r="P34" s="92">
        <v>1</v>
      </c>
      <c r="Q34" s="92">
        <v>1</v>
      </c>
      <c r="R34" s="297">
        <f t="shared" si="0"/>
        <v>230000</v>
      </c>
      <c r="S34" s="298">
        <v>50000</v>
      </c>
      <c r="T34" s="298">
        <v>55000</v>
      </c>
      <c r="U34" s="298">
        <v>60000</v>
      </c>
      <c r="V34" s="298">
        <v>65000</v>
      </c>
      <c r="W34" s="591"/>
    </row>
    <row r="35" spans="1:23" ht="100.5" customHeight="1">
      <c r="A35" s="724"/>
      <c r="B35" s="602"/>
      <c r="C35" s="726"/>
      <c r="D35" s="591"/>
      <c r="E35" s="715"/>
      <c r="F35" s="715"/>
      <c r="G35" s="715"/>
      <c r="H35" s="715"/>
      <c r="I35" s="714"/>
      <c r="J35" s="14" t="s">
        <v>3013</v>
      </c>
      <c r="K35" s="14" t="s">
        <v>3014</v>
      </c>
      <c r="L35" s="14" t="s">
        <v>189</v>
      </c>
      <c r="M35" s="92">
        <v>20</v>
      </c>
      <c r="N35" s="92">
        <v>10</v>
      </c>
      <c r="O35" s="92">
        <v>90</v>
      </c>
      <c r="P35" s="92">
        <v>100</v>
      </c>
      <c r="Q35" s="92">
        <v>100</v>
      </c>
      <c r="R35" s="297">
        <f t="shared" si="0"/>
        <v>110000</v>
      </c>
      <c r="S35" s="298">
        <v>20000</v>
      </c>
      <c r="T35" s="298">
        <v>25000</v>
      </c>
      <c r="U35" s="298">
        <v>30000</v>
      </c>
      <c r="V35" s="298">
        <v>35000</v>
      </c>
      <c r="W35" s="591"/>
    </row>
    <row r="36" spans="1:23" ht="100.5" customHeight="1">
      <c r="A36" s="724"/>
      <c r="B36" s="602"/>
      <c r="C36" s="726"/>
      <c r="D36" s="591"/>
      <c r="E36" s="715"/>
      <c r="F36" s="715"/>
      <c r="G36" s="715"/>
      <c r="H36" s="715"/>
      <c r="I36" s="714"/>
      <c r="J36" s="14" t="s">
        <v>3015</v>
      </c>
      <c r="K36" s="14" t="s">
        <v>3016</v>
      </c>
      <c r="L36" s="14" t="s">
        <v>189</v>
      </c>
      <c r="M36" s="92">
        <v>1</v>
      </c>
      <c r="N36" s="92">
        <v>2</v>
      </c>
      <c r="O36" s="92">
        <v>2</v>
      </c>
      <c r="P36" s="92">
        <v>2</v>
      </c>
      <c r="Q36" s="92">
        <v>2</v>
      </c>
      <c r="R36" s="297">
        <f t="shared" si="0"/>
        <v>80000</v>
      </c>
      <c r="S36" s="298">
        <v>20000</v>
      </c>
      <c r="T36" s="298">
        <v>20000</v>
      </c>
      <c r="U36" s="298">
        <v>20000</v>
      </c>
      <c r="V36" s="298">
        <v>20000</v>
      </c>
      <c r="W36" s="591"/>
    </row>
    <row r="37" spans="1:25" ht="100.5" customHeight="1">
      <c r="A37" s="724"/>
      <c r="B37" s="602"/>
      <c r="C37" s="726"/>
      <c r="D37" s="591"/>
      <c r="E37" s="715"/>
      <c r="F37" s="715"/>
      <c r="G37" s="715"/>
      <c r="H37" s="715"/>
      <c r="I37" s="714"/>
      <c r="J37" s="14" t="s">
        <v>3017</v>
      </c>
      <c r="K37" s="14" t="s">
        <v>3018</v>
      </c>
      <c r="L37" s="14" t="s">
        <v>189</v>
      </c>
      <c r="M37" s="92">
        <v>0</v>
      </c>
      <c r="N37" s="92">
        <v>0</v>
      </c>
      <c r="O37" s="92">
        <v>1</v>
      </c>
      <c r="P37" s="92">
        <v>2</v>
      </c>
      <c r="Q37" s="92">
        <v>0</v>
      </c>
      <c r="R37" s="297">
        <f t="shared" si="0"/>
        <v>80000</v>
      </c>
      <c r="S37" s="298">
        <v>20000</v>
      </c>
      <c r="T37" s="298">
        <v>20000</v>
      </c>
      <c r="U37" s="298">
        <v>20000</v>
      </c>
      <c r="V37" s="298">
        <v>20000</v>
      </c>
      <c r="W37" s="591"/>
      <c r="Y37" s="299"/>
    </row>
    <row r="38" spans="1:23" ht="60" customHeight="1">
      <c r="A38" s="724"/>
      <c r="B38" s="602"/>
      <c r="C38" s="108" t="s">
        <v>648</v>
      </c>
      <c r="D38" s="94" t="s">
        <v>3019</v>
      </c>
      <c r="E38" s="109">
        <v>240</v>
      </c>
      <c r="F38" s="109">
        <v>40</v>
      </c>
      <c r="G38" s="109">
        <v>80</v>
      </c>
      <c r="H38" s="109">
        <v>120</v>
      </c>
      <c r="I38" s="95">
        <v>160</v>
      </c>
      <c r="J38" s="108" t="s">
        <v>648</v>
      </c>
      <c r="K38" s="14" t="s">
        <v>3020</v>
      </c>
      <c r="L38" s="14" t="s">
        <v>189</v>
      </c>
      <c r="M38" s="92">
        <v>240</v>
      </c>
      <c r="N38" s="92">
        <v>40</v>
      </c>
      <c r="O38" s="92">
        <v>80</v>
      </c>
      <c r="P38" s="92">
        <v>120</v>
      </c>
      <c r="Q38" s="92">
        <v>160</v>
      </c>
      <c r="R38" s="297">
        <f t="shared" si="0"/>
        <v>320000</v>
      </c>
      <c r="S38" s="298">
        <v>80000</v>
      </c>
      <c r="T38" s="298">
        <v>80000</v>
      </c>
      <c r="U38" s="298">
        <v>80000</v>
      </c>
      <c r="V38" s="298">
        <v>80000</v>
      </c>
      <c r="W38" s="94" t="s">
        <v>1036</v>
      </c>
    </row>
    <row r="39" spans="1:23" ht="25.5">
      <c r="A39" s="724"/>
      <c r="B39" s="602"/>
      <c r="C39" s="725" t="s">
        <v>1040</v>
      </c>
      <c r="D39" s="549" t="s">
        <v>1039</v>
      </c>
      <c r="E39" s="549">
        <v>1</v>
      </c>
      <c r="F39" s="549">
        <v>1</v>
      </c>
      <c r="G39" s="549">
        <v>2</v>
      </c>
      <c r="H39" s="549">
        <v>3</v>
      </c>
      <c r="I39" s="596">
        <v>4</v>
      </c>
      <c r="J39" s="14" t="s">
        <v>3021</v>
      </c>
      <c r="K39" s="14" t="s">
        <v>3022</v>
      </c>
      <c r="L39" s="14" t="s">
        <v>189</v>
      </c>
      <c r="M39" s="3">
        <v>450</v>
      </c>
      <c r="N39" s="3">
        <v>150</v>
      </c>
      <c r="O39" s="3">
        <v>300</v>
      </c>
      <c r="P39" s="3">
        <v>450</v>
      </c>
      <c r="Q39" s="3">
        <v>600</v>
      </c>
      <c r="R39" s="297">
        <f t="shared" si="0"/>
        <v>800000</v>
      </c>
      <c r="S39" s="298">
        <v>200000</v>
      </c>
      <c r="T39" s="298">
        <v>200000</v>
      </c>
      <c r="U39" s="298">
        <v>200000</v>
      </c>
      <c r="V39" s="298">
        <v>200000</v>
      </c>
      <c r="W39" s="549" t="s">
        <v>1037</v>
      </c>
    </row>
    <row r="40" spans="1:23" ht="25.5">
      <c r="A40" s="724"/>
      <c r="B40" s="602"/>
      <c r="C40" s="725"/>
      <c r="D40" s="549"/>
      <c r="E40" s="549"/>
      <c r="F40" s="549"/>
      <c r="G40" s="549"/>
      <c r="H40" s="549"/>
      <c r="I40" s="596"/>
      <c r="J40" s="14" t="s">
        <v>3023</v>
      </c>
      <c r="K40" s="14" t="s">
        <v>3024</v>
      </c>
      <c r="L40" s="14" t="s">
        <v>189</v>
      </c>
      <c r="M40" s="3">
        <v>300</v>
      </c>
      <c r="N40" s="3">
        <v>75</v>
      </c>
      <c r="O40" s="3">
        <v>150</v>
      </c>
      <c r="P40" s="3">
        <v>225</v>
      </c>
      <c r="Q40" s="3">
        <v>300</v>
      </c>
      <c r="R40" s="297">
        <f t="shared" si="0"/>
        <v>400000</v>
      </c>
      <c r="S40" s="298">
        <v>100000</v>
      </c>
      <c r="T40" s="298">
        <v>100000</v>
      </c>
      <c r="U40" s="298">
        <v>100000</v>
      </c>
      <c r="V40" s="298">
        <v>100000</v>
      </c>
      <c r="W40" s="549"/>
    </row>
    <row r="41" spans="1:23" ht="25.5">
      <c r="A41" s="724"/>
      <c r="B41" s="602"/>
      <c r="C41" s="725"/>
      <c r="D41" s="549"/>
      <c r="E41" s="549"/>
      <c r="F41" s="549"/>
      <c r="G41" s="549"/>
      <c r="H41" s="549"/>
      <c r="I41" s="596"/>
      <c r="J41" s="14" t="s">
        <v>3025</v>
      </c>
      <c r="K41" s="14" t="s">
        <v>3026</v>
      </c>
      <c r="L41" s="14" t="s">
        <v>189</v>
      </c>
      <c r="M41" s="3">
        <v>6</v>
      </c>
      <c r="N41" s="3">
        <v>3</v>
      </c>
      <c r="O41" s="3">
        <v>6</v>
      </c>
      <c r="P41" s="3">
        <v>9</v>
      </c>
      <c r="Q41" s="3">
        <v>12</v>
      </c>
      <c r="R41" s="297">
        <f t="shared" si="0"/>
        <v>0</v>
      </c>
      <c r="S41" s="298">
        <v>0</v>
      </c>
      <c r="T41" s="298">
        <v>0</v>
      </c>
      <c r="U41" s="298">
        <v>0</v>
      </c>
      <c r="V41" s="298">
        <v>0</v>
      </c>
      <c r="W41" s="549"/>
    </row>
    <row r="42" spans="1:23" ht="51">
      <c r="A42" s="724"/>
      <c r="B42" s="602"/>
      <c r="C42" s="108" t="s">
        <v>3027</v>
      </c>
      <c r="D42" s="94" t="s">
        <v>3028</v>
      </c>
      <c r="E42" s="109">
        <v>900</v>
      </c>
      <c r="F42" s="109">
        <v>1000</v>
      </c>
      <c r="G42" s="109">
        <v>3000</v>
      </c>
      <c r="H42" s="109">
        <v>5000</v>
      </c>
      <c r="I42" s="95">
        <v>7000</v>
      </c>
      <c r="J42" s="14" t="s">
        <v>3029</v>
      </c>
      <c r="K42" s="14" t="s">
        <v>3028</v>
      </c>
      <c r="L42" s="14" t="s">
        <v>189</v>
      </c>
      <c r="M42" s="92">
        <v>900</v>
      </c>
      <c r="N42" s="92">
        <v>1000</v>
      </c>
      <c r="O42" s="92">
        <v>3000</v>
      </c>
      <c r="P42" s="92">
        <v>5000</v>
      </c>
      <c r="Q42" s="92">
        <v>7000</v>
      </c>
      <c r="R42" s="297">
        <f t="shared" si="0"/>
        <v>7000</v>
      </c>
      <c r="S42" s="298">
        <v>1000</v>
      </c>
      <c r="T42" s="298">
        <v>2000</v>
      </c>
      <c r="U42" s="298">
        <v>2000</v>
      </c>
      <c r="V42" s="298">
        <v>2000</v>
      </c>
      <c r="W42" s="591" t="s">
        <v>1036</v>
      </c>
    </row>
    <row r="43" spans="1:23" ht="19.5" customHeight="1">
      <c r="A43" s="724"/>
      <c r="B43" s="602"/>
      <c r="C43" s="726" t="s">
        <v>3030</v>
      </c>
      <c r="D43" s="591" t="s">
        <v>3031</v>
      </c>
      <c r="E43" s="612" t="s">
        <v>2978</v>
      </c>
      <c r="F43" s="612">
        <v>3955</v>
      </c>
      <c r="G43" s="612">
        <v>5000</v>
      </c>
      <c r="H43" s="612">
        <v>6000</v>
      </c>
      <c r="I43" s="712">
        <v>7500</v>
      </c>
      <c r="J43" s="14" t="s">
        <v>3032</v>
      </c>
      <c r="K43" s="14" t="s">
        <v>3033</v>
      </c>
      <c r="L43" s="14" t="s">
        <v>189</v>
      </c>
      <c r="M43" s="92">
        <v>5506</v>
      </c>
      <c r="N43" s="92">
        <v>1875</v>
      </c>
      <c r="O43" s="92">
        <v>3750</v>
      </c>
      <c r="P43" s="92">
        <v>5625</v>
      </c>
      <c r="Q43" s="92">
        <v>7500</v>
      </c>
      <c r="R43" s="297">
        <f t="shared" si="0"/>
        <v>100000</v>
      </c>
      <c r="S43" s="298">
        <v>25000</v>
      </c>
      <c r="T43" s="298">
        <v>25000</v>
      </c>
      <c r="U43" s="298">
        <v>25000</v>
      </c>
      <c r="V43" s="298">
        <v>25000</v>
      </c>
      <c r="W43" s="591"/>
    </row>
    <row r="44" spans="1:23" ht="24" customHeight="1">
      <c r="A44" s="724"/>
      <c r="B44" s="602"/>
      <c r="C44" s="726"/>
      <c r="D44" s="591"/>
      <c r="E44" s="612"/>
      <c r="F44" s="612"/>
      <c r="G44" s="612"/>
      <c r="H44" s="612"/>
      <c r="I44" s="712"/>
      <c r="J44" s="14" t="s">
        <v>3034</v>
      </c>
      <c r="K44" s="14" t="s">
        <v>3035</v>
      </c>
      <c r="L44" s="14" t="s">
        <v>189</v>
      </c>
      <c r="M44" s="92">
        <v>3326</v>
      </c>
      <c r="N44" s="92">
        <v>1450</v>
      </c>
      <c r="O44" s="92">
        <v>2900</v>
      </c>
      <c r="P44" s="92">
        <v>4350</v>
      </c>
      <c r="Q44" s="92">
        <v>5800</v>
      </c>
      <c r="R44" s="297">
        <f t="shared" si="0"/>
        <v>100000</v>
      </c>
      <c r="S44" s="298">
        <v>25000</v>
      </c>
      <c r="T44" s="298">
        <v>25000</v>
      </c>
      <c r="U44" s="298">
        <v>25000</v>
      </c>
      <c r="V44" s="298">
        <v>25000</v>
      </c>
      <c r="W44" s="591"/>
    </row>
    <row r="45" spans="1:23" ht="27.75" customHeight="1">
      <c r="A45" s="724"/>
      <c r="B45" s="602"/>
      <c r="C45" s="726"/>
      <c r="D45" s="591"/>
      <c r="E45" s="612"/>
      <c r="F45" s="612"/>
      <c r="G45" s="612"/>
      <c r="H45" s="612"/>
      <c r="I45" s="712"/>
      <c r="J45" s="14" t="s">
        <v>3036</v>
      </c>
      <c r="K45" s="14" t="s">
        <v>3037</v>
      </c>
      <c r="L45" s="14" t="s">
        <v>189</v>
      </c>
      <c r="M45" s="92">
        <v>2324</v>
      </c>
      <c r="N45" s="92">
        <v>630</v>
      </c>
      <c r="O45" s="92">
        <v>1265</v>
      </c>
      <c r="P45" s="92">
        <v>1900</v>
      </c>
      <c r="Q45" s="92">
        <v>2550</v>
      </c>
      <c r="R45" s="297">
        <f t="shared" si="0"/>
        <v>140000</v>
      </c>
      <c r="S45" s="298">
        <v>35000</v>
      </c>
      <c r="T45" s="298">
        <v>35000</v>
      </c>
      <c r="U45" s="298">
        <v>35000</v>
      </c>
      <c r="V45" s="298">
        <v>35000</v>
      </c>
      <c r="W45" s="591"/>
    </row>
    <row r="46" spans="1:28" ht="51">
      <c r="A46" s="724"/>
      <c r="B46" s="602"/>
      <c r="C46" s="108" t="s">
        <v>3038</v>
      </c>
      <c r="D46" s="94" t="s">
        <v>3039</v>
      </c>
      <c r="E46" s="90">
        <v>0</v>
      </c>
      <c r="F46" s="90">
        <v>0</v>
      </c>
      <c r="G46" s="90">
        <v>1</v>
      </c>
      <c r="H46" s="90">
        <v>1</v>
      </c>
      <c r="I46" s="90">
        <v>1</v>
      </c>
      <c r="J46" s="108" t="s">
        <v>3038</v>
      </c>
      <c r="K46" s="94" t="s">
        <v>3039</v>
      </c>
      <c r="L46" s="94" t="s">
        <v>189</v>
      </c>
      <c r="M46" s="90">
        <v>0</v>
      </c>
      <c r="N46" s="90">
        <v>0</v>
      </c>
      <c r="O46" s="90">
        <v>1</v>
      </c>
      <c r="P46" s="90">
        <v>1</v>
      </c>
      <c r="Q46" s="90">
        <v>1</v>
      </c>
      <c r="R46" s="297">
        <f t="shared" si="0"/>
        <v>50000</v>
      </c>
      <c r="S46" s="362">
        <v>0</v>
      </c>
      <c r="T46" s="362">
        <v>50000</v>
      </c>
      <c r="U46" s="362">
        <v>0</v>
      </c>
      <c r="V46" s="362">
        <v>0</v>
      </c>
      <c r="W46" s="90" t="s">
        <v>649</v>
      </c>
      <c r="Y46" s="299"/>
      <c r="AA46" s="717"/>
      <c r="AB46" s="717"/>
    </row>
    <row r="47" spans="1:23" ht="51">
      <c r="A47" s="724" t="s">
        <v>1041</v>
      </c>
      <c r="B47" s="602">
        <v>4.5</v>
      </c>
      <c r="C47" s="726" t="s">
        <v>3044</v>
      </c>
      <c r="D47" s="591" t="s">
        <v>3045</v>
      </c>
      <c r="E47" s="715" t="s">
        <v>2978</v>
      </c>
      <c r="F47" s="715">
        <v>0</v>
      </c>
      <c r="G47" s="715">
        <v>1</v>
      </c>
      <c r="H47" s="715">
        <v>1</v>
      </c>
      <c r="I47" s="714">
        <v>1</v>
      </c>
      <c r="J47" s="14" t="s">
        <v>1042</v>
      </c>
      <c r="K47" s="14" t="s">
        <v>3046</v>
      </c>
      <c r="L47" s="14" t="s">
        <v>189</v>
      </c>
      <c r="M47" s="92">
        <v>0</v>
      </c>
      <c r="N47" s="92">
        <v>1</v>
      </c>
      <c r="O47" s="92">
        <v>2</v>
      </c>
      <c r="P47" s="92">
        <v>3</v>
      </c>
      <c r="Q47" s="92">
        <v>4</v>
      </c>
      <c r="R47" s="297">
        <f t="shared" si="0"/>
        <v>400000</v>
      </c>
      <c r="S47" s="298">
        <v>100000</v>
      </c>
      <c r="T47" s="298">
        <f>+S47</f>
        <v>100000</v>
      </c>
      <c r="U47" s="298">
        <f>+T47</f>
        <v>100000</v>
      </c>
      <c r="V47" s="298">
        <f>+U47</f>
        <v>100000</v>
      </c>
      <c r="W47" s="591" t="s">
        <v>1046</v>
      </c>
    </row>
    <row r="48" spans="1:23" ht="38.25">
      <c r="A48" s="724"/>
      <c r="B48" s="602"/>
      <c r="C48" s="726"/>
      <c r="D48" s="591"/>
      <c r="E48" s="715"/>
      <c r="F48" s="715"/>
      <c r="G48" s="715"/>
      <c r="H48" s="715"/>
      <c r="I48" s="714"/>
      <c r="J48" s="14" t="s">
        <v>1043</v>
      </c>
      <c r="K48" s="14" t="s">
        <v>3047</v>
      </c>
      <c r="L48" s="14" t="s">
        <v>189</v>
      </c>
      <c r="M48" s="92">
        <v>0</v>
      </c>
      <c r="N48" s="92">
        <v>1</v>
      </c>
      <c r="O48" s="92">
        <v>1</v>
      </c>
      <c r="P48" s="92">
        <v>1</v>
      </c>
      <c r="Q48" s="92">
        <v>1</v>
      </c>
      <c r="R48" s="297">
        <f t="shared" si="0"/>
        <v>300000</v>
      </c>
      <c r="S48" s="298">
        <v>150000</v>
      </c>
      <c r="T48" s="298">
        <f>+S48</f>
        <v>150000</v>
      </c>
      <c r="U48" s="298">
        <v>0</v>
      </c>
      <c r="V48" s="298">
        <v>0</v>
      </c>
      <c r="W48" s="591"/>
    </row>
    <row r="49" spans="1:23" ht="51">
      <c r="A49" s="724"/>
      <c r="B49" s="602"/>
      <c r="C49" s="726"/>
      <c r="D49" s="591"/>
      <c r="E49" s="715"/>
      <c r="F49" s="715"/>
      <c r="G49" s="715"/>
      <c r="H49" s="715"/>
      <c r="I49" s="714"/>
      <c r="J49" s="14" t="s">
        <v>3048</v>
      </c>
      <c r="K49" s="14" t="s">
        <v>3001</v>
      </c>
      <c r="L49" s="14" t="s">
        <v>189</v>
      </c>
      <c r="M49" s="92">
        <v>0</v>
      </c>
      <c r="N49" s="92">
        <v>30</v>
      </c>
      <c r="O49" s="92">
        <v>50</v>
      </c>
      <c r="P49" s="92">
        <v>50</v>
      </c>
      <c r="Q49" s="92">
        <v>60</v>
      </c>
      <c r="R49" s="297">
        <f t="shared" si="0"/>
        <v>250000</v>
      </c>
      <c r="S49" s="298">
        <v>100000</v>
      </c>
      <c r="T49" s="298">
        <f>+S49</f>
        <v>100000</v>
      </c>
      <c r="U49" s="298">
        <v>0</v>
      </c>
      <c r="V49" s="298">
        <v>50000</v>
      </c>
      <c r="W49" s="591"/>
    </row>
    <row r="50" spans="1:23" ht="38.25">
      <c r="A50" s="724"/>
      <c r="B50" s="602"/>
      <c r="C50" s="726"/>
      <c r="D50" s="591"/>
      <c r="E50" s="715"/>
      <c r="F50" s="715"/>
      <c r="G50" s="715"/>
      <c r="H50" s="715"/>
      <c r="I50" s="714"/>
      <c r="J50" s="14" t="s">
        <v>1578</v>
      </c>
      <c r="K50" s="14" t="s">
        <v>1579</v>
      </c>
      <c r="L50" s="14" t="s">
        <v>189</v>
      </c>
      <c r="M50" s="92">
        <v>0</v>
      </c>
      <c r="N50" s="92">
        <v>5</v>
      </c>
      <c r="O50" s="92">
        <v>10</v>
      </c>
      <c r="P50" s="92">
        <v>15</v>
      </c>
      <c r="Q50" s="92">
        <v>20</v>
      </c>
      <c r="R50" s="297">
        <f t="shared" si="0"/>
        <v>600000</v>
      </c>
      <c r="S50" s="298">
        <v>150000</v>
      </c>
      <c r="T50" s="298">
        <f>+S50</f>
        <v>150000</v>
      </c>
      <c r="U50" s="298">
        <f>+T50</f>
        <v>150000</v>
      </c>
      <c r="V50" s="298">
        <f>+U50</f>
        <v>150000</v>
      </c>
      <c r="W50" s="591"/>
    </row>
    <row r="51" spans="1:23" ht="51">
      <c r="A51" s="724"/>
      <c r="B51" s="602"/>
      <c r="C51" s="726" t="s">
        <v>1580</v>
      </c>
      <c r="D51" s="591" t="s">
        <v>1581</v>
      </c>
      <c r="E51" s="715"/>
      <c r="F51" s="715">
        <v>30</v>
      </c>
      <c r="G51" s="715">
        <v>50</v>
      </c>
      <c r="H51" s="715">
        <v>70</v>
      </c>
      <c r="I51" s="714">
        <v>100</v>
      </c>
      <c r="J51" s="14" t="s">
        <v>1044</v>
      </c>
      <c r="K51" s="14" t="s">
        <v>3045</v>
      </c>
      <c r="L51" s="14" t="s">
        <v>189</v>
      </c>
      <c r="M51" s="92">
        <v>0</v>
      </c>
      <c r="N51" s="92">
        <v>10</v>
      </c>
      <c r="O51" s="92">
        <v>25</v>
      </c>
      <c r="P51" s="92">
        <v>50</v>
      </c>
      <c r="Q51" s="92">
        <v>50</v>
      </c>
      <c r="R51" s="297">
        <f t="shared" si="0"/>
        <v>300000</v>
      </c>
      <c r="S51" s="298">
        <v>100000</v>
      </c>
      <c r="T51" s="298">
        <f>+S51</f>
        <v>100000</v>
      </c>
      <c r="U51" s="298">
        <f>+T51</f>
        <v>100000</v>
      </c>
      <c r="V51" s="298">
        <v>0</v>
      </c>
      <c r="W51" s="591"/>
    </row>
    <row r="52" spans="1:23" ht="25.5">
      <c r="A52" s="724"/>
      <c r="B52" s="602"/>
      <c r="C52" s="726"/>
      <c r="D52" s="591"/>
      <c r="E52" s="715"/>
      <c r="F52" s="715"/>
      <c r="G52" s="715"/>
      <c r="H52" s="715"/>
      <c r="I52" s="714"/>
      <c r="J52" s="14" t="s">
        <v>1582</v>
      </c>
      <c r="K52" s="14" t="s">
        <v>1583</v>
      </c>
      <c r="L52" s="14" t="s">
        <v>189</v>
      </c>
      <c r="M52" s="92">
        <v>0</v>
      </c>
      <c r="N52" s="92">
        <v>0</v>
      </c>
      <c r="O52" s="92">
        <v>5</v>
      </c>
      <c r="P52" s="92">
        <v>10</v>
      </c>
      <c r="Q52" s="92">
        <v>10</v>
      </c>
      <c r="R52" s="297">
        <f t="shared" si="0"/>
        <v>500000</v>
      </c>
      <c r="S52" s="298">
        <v>0</v>
      </c>
      <c r="T52" s="298">
        <v>250000</v>
      </c>
      <c r="U52" s="298">
        <f>+T52</f>
        <v>250000</v>
      </c>
      <c r="V52" s="298">
        <v>0</v>
      </c>
      <c r="W52" s="591"/>
    </row>
    <row r="53" spans="1:23" ht="38.25">
      <c r="A53" s="724"/>
      <c r="B53" s="602"/>
      <c r="C53" s="726"/>
      <c r="D53" s="591"/>
      <c r="E53" s="715"/>
      <c r="F53" s="715"/>
      <c r="G53" s="715"/>
      <c r="H53" s="715"/>
      <c r="I53" s="714"/>
      <c r="J53" s="14" t="s">
        <v>1045</v>
      </c>
      <c r="K53" s="14" t="s">
        <v>650</v>
      </c>
      <c r="L53" s="14" t="s">
        <v>189</v>
      </c>
      <c r="M53" s="92">
        <v>0</v>
      </c>
      <c r="N53" s="92">
        <v>1</v>
      </c>
      <c r="O53" s="92">
        <v>2</v>
      </c>
      <c r="P53" s="92">
        <v>2</v>
      </c>
      <c r="Q53" s="92">
        <v>2</v>
      </c>
      <c r="R53" s="297">
        <f t="shared" si="0"/>
        <v>1618000</v>
      </c>
      <c r="S53" s="298">
        <v>318000</v>
      </c>
      <c r="T53" s="298">
        <v>800000</v>
      </c>
      <c r="U53" s="298">
        <v>500000</v>
      </c>
      <c r="V53" s="298">
        <v>0</v>
      </c>
      <c r="W53" s="591"/>
    </row>
    <row r="54" spans="1:23" ht="51.75" customHeight="1">
      <c r="A54" s="724"/>
      <c r="B54" s="602"/>
      <c r="C54" s="726"/>
      <c r="D54" s="591"/>
      <c r="E54" s="715"/>
      <c r="F54" s="715"/>
      <c r="G54" s="715"/>
      <c r="H54" s="715"/>
      <c r="I54" s="714"/>
      <c r="J54" s="14" t="s">
        <v>1584</v>
      </c>
      <c r="K54" s="14" t="s">
        <v>1585</v>
      </c>
      <c r="L54" s="14" t="s">
        <v>189</v>
      </c>
      <c r="M54" s="92">
        <v>0</v>
      </c>
      <c r="N54" s="92">
        <v>5</v>
      </c>
      <c r="O54" s="92">
        <v>10</v>
      </c>
      <c r="P54" s="92">
        <v>20</v>
      </c>
      <c r="Q54" s="92">
        <v>30</v>
      </c>
      <c r="R54" s="297">
        <f t="shared" si="0"/>
        <v>4800000</v>
      </c>
      <c r="S54" s="298">
        <v>200000</v>
      </c>
      <c r="T54" s="298">
        <v>1500000</v>
      </c>
      <c r="U54" s="298">
        <f>+T54</f>
        <v>1500000</v>
      </c>
      <c r="V54" s="298">
        <v>1600000</v>
      </c>
      <c r="W54" s="591"/>
    </row>
    <row r="55" spans="1:23" ht="25.5">
      <c r="A55" s="724"/>
      <c r="B55" s="602"/>
      <c r="C55" s="726"/>
      <c r="D55" s="591"/>
      <c r="E55" s="715"/>
      <c r="F55" s="715"/>
      <c r="G55" s="715"/>
      <c r="H55" s="715"/>
      <c r="I55" s="714"/>
      <c r="J55" s="14" t="s">
        <v>1586</v>
      </c>
      <c r="K55" s="14" t="s">
        <v>1587</v>
      </c>
      <c r="L55" s="14" t="s">
        <v>189</v>
      </c>
      <c r="M55" s="92">
        <v>0</v>
      </c>
      <c r="N55" s="92">
        <v>0</v>
      </c>
      <c r="O55" s="92">
        <v>5</v>
      </c>
      <c r="P55" s="92">
        <v>10</v>
      </c>
      <c r="Q55" s="92">
        <v>10</v>
      </c>
      <c r="R55" s="297">
        <f t="shared" si="0"/>
        <v>600000</v>
      </c>
      <c r="S55" s="298">
        <v>0</v>
      </c>
      <c r="T55" s="298">
        <v>300000</v>
      </c>
      <c r="U55" s="298">
        <f>+T55</f>
        <v>300000</v>
      </c>
      <c r="V55" s="298">
        <v>0</v>
      </c>
      <c r="W55" s="591"/>
    </row>
    <row r="56" spans="1:23" ht="76.5" customHeight="1">
      <c r="A56" s="724"/>
      <c r="B56" s="602"/>
      <c r="C56" s="726"/>
      <c r="D56" s="591"/>
      <c r="E56" s="715"/>
      <c r="F56" s="715"/>
      <c r="G56" s="715"/>
      <c r="H56" s="715"/>
      <c r="I56" s="714"/>
      <c r="J56" s="14" t="s">
        <v>1588</v>
      </c>
      <c r="K56" s="14" t="s">
        <v>1589</v>
      </c>
      <c r="L56" s="14" t="s">
        <v>189</v>
      </c>
      <c r="M56" s="92">
        <v>0</v>
      </c>
      <c r="N56" s="92">
        <v>1</v>
      </c>
      <c r="O56" s="92">
        <v>2</v>
      </c>
      <c r="P56" s="92">
        <v>3</v>
      </c>
      <c r="Q56" s="92">
        <v>4</v>
      </c>
      <c r="R56" s="297">
        <f t="shared" si="0"/>
        <v>200000</v>
      </c>
      <c r="S56" s="298">
        <v>50000</v>
      </c>
      <c r="T56" s="298">
        <f>+S56</f>
        <v>50000</v>
      </c>
      <c r="U56" s="298">
        <f>+T56</f>
        <v>50000</v>
      </c>
      <c r="V56" s="298">
        <f>+U56</f>
        <v>50000</v>
      </c>
      <c r="W56" s="591"/>
    </row>
    <row r="57" spans="1:23" ht="40.5" customHeight="1">
      <c r="A57" s="724"/>
      <c r="B57" s="602"/>
      <c r="C57" s="726"/>
      <c r="D57" s="591"/>
      <c r="E57" s="715"/>
      <c r="F57" s="715"/>
      <c r="G57" s="715"/>
      <c r="H57" s="715"/>
      <c r="I57" s="714"/>
      <c r="J57" s="14" t="s">
        <v>1590</v>
      </c>
      <c r="K57" s="14" t="s">
        <v>1591</v>
      </c>
      <c r="L57" s="14" t="s">
        <v>189</v>
      </c>
      <c r="M57" s="92">
        <v>0</v>
      </c>
      <c r="N57" s="92">
        <v>2</v>
      </c>
      <c r="O57" s="92">
        <v>4</v>
      </c>
      <c r="P57" s="92">
        <v>6</v>
      </c>
      <c r="Q57" s="92">
        <v>6</v>
      </c>
      <c r="R57" s="297">
        <f t="shared" si="0"/>
        <v>180000</v>
      </c>
      <c r="S57" s="298">
        <v>60000</v>
      </c>
      <c r="T57" s="298">
        <f>+S57</f>
        <v>60000</v>
      </c>
      <c r="U57" s="298">
        <f>+T57</f>
        <v>60000</v>
      </c>
      <c r="V57" s="298">
        <v>0</v>
      </c>
      <c r="W57" s="591"/>
    </row>
    <row r="58" spans="1:23" ht="46.5" customHeight="1">
      <c r="A58" s="724"/>
      <c r="B58" s="602"/>
      <c r="C58" s="726"/>
      <c r="D58" s="591"/>
      <c r="E58" s="715"/>
      <c r="F58" s="715"/>
      <c r="G58" s="715"/>
      <c r="H58" s="715"/>
      <c r="I58" s="714"/>
      <c r="J58" s="14" t="s">
        <v>1592</v>
      </c>
      <c r="K58" s="14" t="s">
        <v>1593</v>
      </c>
      <c r="L58" s="14" t="s">
        <v>189</v>
      </c>
      <c r="M58" s="92">
        <v>0</v>
      </c>
      <c r="N58" s="92">
        <v>1</v>
      </c>
      <c r="O58" s="92">
        <v>1</v>
      </c>
      <c r="P58" s="92">
        <v>1</v>
      </c>
      <c r="Q58" s="92">
        <v>2</v>
      </c>
      <c r="R58" s="297">
        <f t="shared" si="0"/>
        <v>200000</v>
      </c>
      <c r="S58" s="298">
        <v>100000</v>
      </c>
      <c r="T58" s="298">
        <v>0</v>
      </c>
      <c r="U58" s="298">
        <v>0</v>
      </c>
      <c r="V58" s="298">
        <v>100000</v>
      </c>
      <c r="W58" s="591"/>
    </row>
    <row r="59" spans="1:23" ht="63" customHeight="1">
      <c r="A59" s="724"/>
      <c r="B59" s="602"/>
      <c r="C59" s="726"/>
      <c r="D59" s="591"/>
      <c r="E59" s="715"/>
      <c r="F59" s="715"/>
      <c r="G59" s="715"/>
      <c r="H59" s="715"/>
      <c r="I59" s="714"/>
      <c r="J59" s="14" t="s">
        <v>1594</v>
      </c>
      <c r="K59" s="14" t="s">
        <v>1593</v>
      </c>
      <c r="L59" s="14" t="s">
        <v>189</v>
      </c>
      <c r="M59" s="92">
        <v>0</v>
      </c>
      <c r="N59" s="92">
        <v>0</v>
      </c>
      <c r="O59" s="92">
        <v>1</v>
      </c>
      <c r="P59" s="92">
        <v>2</v>
      </c>
      <c r="Q59" s="92">
        <v>2</v>
      </c>
      <c r="R59" s="297">
        <f t="shared" si="0"/>
        <v>500000</v>
      </c>
      <c r="S59" s="298">
        <v>0</v>
      </c>
      <c r="T59" s="298">
        <v>250000</v>
      </c>
      <c r="U59" s="298">
        <f>+T59</f>
        <v>250000</v>
      </c>
      <c r="V59" s="298">
        <v>0</v>
      </c>
      <c r="W59" s="591"/>
    </row>
    <row r="60" spans="1:23" ht="25.5">
      <c r="A60" s="724"/>
      <c r="B60" s="602"/>
      <c r="C60" s="726"/>
      <c r="D60" s="591"/>
      <c r="E60" s="715"/>
      <c r="F60" s="715"/>
      <c r="G60" s="715"/>
      <c r="H60" s="715"/>
      <c r="I60" s="714"/>
      <c r="J60" s="14" t="s">
        <v>1595</v>
      </c>
      <c r="K60" s="14" t="s">
        <v>1596</v>
      </c>
      <c r="L60" s="14" t="s">
        <v>189</v>
      </c>
      <c r="M60" s="92">
        <v>0</v>
      </c>
      <c r="N60" s="92">
        <v>1</v>
      </c>
      <c r="O60" s="92">
        <v>1</v>
      </c>
      <c r="P60" s="92">
        <v>1</v>
      </c>
      <c r="Q60" s="92">
        <v>1</v>
      </c>
      <c r="R60" s="297">
        <f t="shared" si="0"/>
        <v>150000</v>
      </c>
      <c r="S60" s="298">
        <v>150000</v>
      </c>
      <c r="T60" s="298">
        <v>0</v>
      </c>
      <c r="U60" s="298">
        <v>0</v>
      </c>
      <c r="V60" s="298">
        <v>0</v>
      </c>
      <c r="W60" s="591"/>
    </row>
    <row r="61" spans="1:23" ht="73.5" customHeight="1">
      <c r="A61" s="724"/>
      <c r="B61" s="602"/>
      <c r="C61" s="726"/>
      <c r="D61" s="591"/>
      <c r="E61" s="715"/>
      <c r="F61" s="715"/>
      <c r="G61" s="715"/>
      <c r="H61" s="715"/>
      <c r="I61" s="714"/>
      <c r="J61" s="14" t="s">
        <v>1597</v>
      </c>
      <c r="K61" s="14" t="s">
        <v>1598</v>
      </c>
      <c r="L61" s="14" t="s">
        <v>189</v>
      </c>
      <c r="M61" s="92">
        <v>0</v>
      </c>
      <c r="N61" s="92">
        <v>1</v>
      </c>
      <c r="O61" s="92">
        <v>1</v>
      </c>
      <c r="P61" s="92">
        <v>1</v>
      </c>
      <c r="Q61" s="92">
        <v>2</v>
      </c>
      <c r="R61" s="297">
        <f t="shared" si="0"/>
        <v>6460000</v>
      </c>
      <c r="S61" s="298">
        <v>1460000</v>
      </c>
      <c r="T61" s="298">
        <v>0</v>
      </c>
      <c r="U61" s="298">
        <v>5000000</v>
      </c>
      <c r="V61" s="298">
        <v>0</v>
      </c>
      <c r="W61" s="591"/>
    </row>
    <row r="62" spans="1:23" ht="49.5" customHeight="1">
      <c r="A62" s="724"/>
      <c r="B62" s="602"/>
      <c r="C62" s="726"/>
      <c r="D62" s="591"/>
      <c r="E62" s="715"/>
      <c r="F62" s="715"/>
      <c r="G62" s="715"/>
      <c r="H62" s="715"/>
      <c r="I62" s="714"/>
      <c r="J62" s="14" t="s">
        <v>1599</v>
      </c>
      <c r="K62" s="14" t="s">
        <v>1600</v>
      </c>
      <c r="L62" s="14" t="s">
        <v>189</v>
      </c>
      <c r="M62" s="92">
        <v>0</v>
      </c>
      <c r="N62" s="92">
        <v>3</v>
      </c>
      <c r="O62" s="92">
        <v>6</v>
      </c>
      <c r="P62" s="92">
        <v>9</v>
      </c>
      <c r="Q62" s="92">
        <v>12</v>
      </c>
      <c r="R62" s="297">
        <f t="shared" si="0"/>
        <v>1200000</v>
      </c>
      <c r="S62" s="298">
        <v>300000</v>
      </c>
      <c r="T62" s="298">
        <f>+S62</f>
        <v>300000</v>
      </c>
      <c r="U62" s="298">
        <f>+T62</f>
        <v>300000</v>
      </c>
      <c r="V62" s="298">
        <f>+U62</f>
        <v>300000</v>
      </c>
      <c r="W62" s="591"/>
    </row>
    <row r="63" spans="1:23" ht="25.5">
      <c r="A63" s="724" t="s">
        <v>1047</v>
      </c>
      <c r="B63" s="602">
        <v>4</v>
      </c>
      <c r="C63" s="14" t="s">
        <v>1048</v>
      </c>
      <c r="D63" s="14" t="s">
        <v>1601</v>
      </c>
      <c r="E63" s="90">
        <v>0</v>
      </c>
      <c r="F63" s="90">
        <v>0</v>
      </c>
      <c r="G63" s="90">
        <v>1</v>
      </c>
      <c r="H63" s="90">
        <v>2</v>
      </c>
      <c r="I63" s="90">
        <v>3</v>
      </c>
      <c r="J63" s="14" t="s">
        <v>1048</v>
      </c>
      <c r="K63" s="14" t="s">
        <v>1601</v>
      </c>
      <c r="L63" s="14" t="s">
        <v>189</v>
      </c>
      <c r="M63" s="90"/>
      <c r="N63" s="90"/>
      <c r="O63" s="90">
        <v>1</v>
      </c>
      <c r="P63" s="90">
        <v>2</v>
      </c>
      <c r="Q63" s="90">
        <v>3</v>
      </c>
      <c r="R63" s="297">
        <f t="shared" si="0"/>
        <v>150000</v>
      </c>
      <c r="S63" s="362"/>
      <c r="T63" s="298">
        <v>50000</v>
      </c>
      <c r="U63" s="298">
        <v>50000</v>
      </c>
      <c r="V63" s="298">
        <f>+U63</f>
        <v>50000</v>
      </c>
      <c r="W63" s="591" t="s">
        <v>1050</v>
      </c>
    </row>
    <row r="64" spans="1:23" ht="76.5">
      <c r="A64" s="724"/>
      <c r="B64" s="602"/>
      <c r="C64" s="14" t="s">
        <v>1602</v>
      </c>
      <c r="D64" s="14" t="s">
        <v>1603</v>
      </c>
      <c r="E64" s="90">
        <v>0</v>
      </c>
      <c r="F64" s="90">
        <v>0</v>
      </c>
      <c r="G64" s="90">
        <v>1</v>
      </c>
      <c r="H64" s="90">
        <v>1</v>
      </c>
      <c r="I64" s="90">
        <v>1</v>
      </c>
      <c r="J64" s="14" t="s">
        <v>1053</v>
      </c>
      <c r="K64" s="14" t="s">
        <v>644</v>
      </c>
      <c r="L64" s="14" t="s">
        <v>189</v>
      </c>
      <c r="M64" s="92"/>
      <c r="N64" s="152">
        <v>0.7</v>
      </c>
      <c r="O64" s="152">
        <v>1</v>
      </c>
      <c r="P64" s="152">
        <v>1</v>
      </c>
      <c r="Q64" s="152">
        <v>1</v>
      </c>
      <c r="R64" s="297">
        <f t="shared" si="0"/>
        <v>57000</v>
      </c>
      <c r="S64" s="298">
        <v>40000</v>
      </c>
      <c r="T64" s="298">
        <v>17000</v>
      </c>
      <c r="U64" s="298">
        <v>0</v>
      </c>
      <c r="V64" s="298">
        <v>0</v>
      </c>
      <c r="W64" s="591"/>
    </row>
    <row r="65" spans="1:23" ht="51">
      <c r="A65" s="724"/>
      <c r="B65" s="602"/>
      <c r="C65" s="14" t="s">
        <v>1049</v>
      </c>
      <c r="D65" s="14" t="s">
        <v>1051</v>
      </c>
      <c r="E65" s="90">
        <v>0</v>
      </c>
      <c r="F65" s="90">
        <v>25</v>
      </c>
      <c r="G65" s="90">
        <v>50</v>
      </c>
      <c r="H65" s="90">
        <v>75</v>
      </c>
      <c r="I65" s="363">
        <v>0.99</v>
      </c>
      <c r="J65" s="14" t="s">
        <v>1049</v>
      </c>
      <c r="K65" s="14" t="s">
        <v>1051</v>
      </c>
      <c r="L65" s="14" t="s">
        <v>189</v>
      </c>
      <c r="M65" s="92"/>
      <c r="N65" s="152">
        <v>0.25</v>
      </c>
      <c r="O65" s="152">
        <v>0.5</v>
      </c>
      <c r="P65" s="152">
        <v>0.75</v>
      </c>
      <c r="Q65" s="152">
        <v>0.99</v>
      </c>
      <c r="R65" s="297">
        <f t="shared" si="0"/>
        <v>717000</v>
      </c>
      <c r="S65" s="298">
        <v>180000</v>
      </c>
      <c r="T65" s="298">
        <v>160000</v>
      </c>
      <c r="U65" s="298">
        <v>185000</v>
      </c>
      <c r="V65" s="298">
        <v>192000</v>
      </c>
      <c r="W65" s="591"/>
    </row>
    <row r="66" spans="1:23" ht="38.25">
      <c r="A66" s="724"/>
      <c r="B66" s="602"/>
      <c r="C66" s="14" t="s">
        <v>1052</v>
      </c>
      <c r="D66" s="14" t="s">
        <v>1604</v>
      </c>
      <c r="E66" s="90">
        <v>0</v>
      </c>
      <c r="F66" s="90">
        <v>1</v>
      </c>
      <c r="G66" s="90">
        <v>3</v>
      </c>
      <c r="H66" s="90">
        <v>4</v>
      </c>
      <c r="I66" s="90">
        <v>5</v>
      </c>
      <c r="J66" s="14" t="s">
        <v>1052</v>
      </c>
      <c r="K66" s="14" t="s">
        <v>1604</v>
      </c>
      <c r="L66" s="14" t="s">
        <v>189</v>
      </c>
      <c r="M66" s="92"/>
      <c r="N66" s="92">
        <v>1</v>
      </c>
      <c r="O66" s="92">
        <v>3</v>
      </c>
      <c r="P66" s="92">
        <v>4</v>
      </c>
      <c r="Q66" s="92">
        <v>5</v>
      </c>
      <c r="R66" s="297">
        <f t="shared" si="0"/>
        <v>80000</v>
      </c>
      <c r="S66" s="298">
        <v>20000</v>
      </c>
      <c r="T66" s="298">
        <v>20000</v>
      </c>
      <c r="U66" s="298">
        <v>20000</v>
      </c>
      <c r="V66" s="298">
        <v>20000</v>
      </c>
      <c r="W66" s="591"/>
    </row>
    <row r="67" spans="1:25" ht="38.25">
      <c r="A67" s="724" t="s">
        <v>1054</v>
      </c>
      <c r="B67" s="602">
        <v>4.5</v>
      </c>
      <c r="C67" s="14" t="s">
        <v>1605</v>
      </c>
      <c r="D67" s="14" t="s">
        <v>1606</v>
      </c>
      <c r="E67" s="14">
        <v>0</v>
      </c>
      <c r="F67" s="14">
        <v>0</v>
      </c>
      <c r="G67" s="14">
        <v>0</v>
      </c>
      <c r="H67" s="14">
        <v>100</v>
      </c>
      <c r="I67" s="92">
        <v>200</v>
      </c>
      <c r="J67" s="14" t="s">
        <v>1605</v>
      </c>
      <c r="K67" s="14" t="s">
        <v>1614</v>
      </c>
      <c r="L67" s="14" t="s">
        <v>189</v>
      </c>
      <c r="M67" s="92">
        <v>0</v>
      </c>
      <c r="N67" s="92">
        <v>0</v>
      </c>
      <c r="O67" s="92">
        <v>0</v>
      </c>
      <c r="P67" s="92">
        <v>100</v>
      </c>
      <c r="Q67" s="92">
        <v>200</v>
      </c>
      <c r="R67" s="297">
        <f t="shared" si="0"/>
        <v>0</v>
      </c>
      <c r="S67" s="298">
        <v>0</v>
      </c>
      <c r="T67" s="298">
        <v>0</v>
      </c>
      <c r="U67" s="298">
        <v>0</v>
      </c>
      <c r="V67" s="298">
        <v>0</v>
      </c>
      <c r="W67" s="94" t="s">
        <v>1055</v>
      </c>
      <c r="Y67" s="300"/>
    </row>
    <row r="68" spans="1:25" ht="51">
      <c r="A68" s="724"/>
      <c r="B68" s="602"/>
      <c r="C68" s="14" t="s">
        <v>1607</v>
      </c>
      <c r="D68" s="14" t="s">
        <v>1606</v>
      </c>
      <c r="E68" s="14">
        <v>0</v>
      </c>
      <c r="F68" s="14">
        <v>0</v>
      </c>
      <c r="G68" s="14">
        <v>0</v>
      </c>
      <c r="H68" s="14">
        <v>750</v>
      </c>
      <c r="I68" s="92">
        <v>1500</v>
      </c>
      <c r="J68" s="14" t="s">
        <v>1615</v>
      </c>
      <c r="K68" s="14" t="s">
        <v>1616</v>
      </c>
      <c r="L68" s="14" t="s">
        <v>189</v>
      </c>
      <c r="M68" s="92">
        <v>0</v>
      </c>
      <c r="N68" s="92">
        <v>0</v>
      </c>
      <c r="O68" s="92">
        <v>0</v>
      </c>
      <c r="P68" s="92">
        <v>750</v>
      </c>
      <c r="Q68" s="92">
        <v>1500</v>
      </c>
      <c r="R68" s="297">
        <f t="shared" si="0"/>
        <v>0</v>
      </c>
      <c r="S68" s="298">
        <v>0</v>
      </c>
      <c r="T68" s="298">
        <v>0</v>
      </c>
      <c r="U68" s="298">
        <v>0</v>
      </c>
      <c r="V68" s="298">
        <v>0</v>
      </c>
      <c r="W68" s="298" t="s">
        <v>2297</v>
      </c>
      <c r="Y68" s="300"/>
    </row>
    <row r="69" spans="1:23" ht="25.5">
      <c r="A69" s="724"/>
      <c r="B69" s="602"/>
      <c r="C69" s="14" t="s">
        <v>1608</v>
      </c>
      <c r="D69" s="14" t="s">
        <v>1609</v>
      </c>
      <c r="E69" s="14">
        <v>0</v>
      </c>
      <c r="F69" s="14">
        <v>0</v>
      </c>
      <c r="G69" s="14">
        <v>300</v>
      </c>
      <c r="H69" s="14">
        <v>900</v>
      </c>
      <c r="I69" s="92">
        <v>1500</v>
      </c>
      <c r="J69" s="14" t="s">
        <v>683</v>
      </c>
      <c r="K69" s="14" t="s">
        <v>1613</v>
      </c>
      <c r="L69" s="14" t="s">
        <v>189</v>
      </c>
      <c r="M69" s="92">
        <v>0</v>
      </c>
      <c r="N69" s="92">
        <v>0</v>
      </c>
      <c r="O69" s="92">
        <v>300</v>
      </c>
      <c r="P69" s="92">
        <v>900</v>
      </c>
      <c r="Q69" s="92">
        <v>1500</v>
      </c>
      <c r="R69" s="297">
        <f t="shared" si="0"/>
        <v>3200000</v>
      </c>
      <c r="S69" s="298">
        <v>0</v>
      </c>
      <c r="T69" s="298">
        <v>900000</v>
      </c>
      <c r="U69" s="298">
        <v>1000000</v>
      </c>
      <c r="V69" s="298">
        <v>1300000</v>
      </c>
      <c r="W69" s="298" t="s">
        <v>1056</v>
      </c>
    </row>
    <row r="70" spans="1:23" ht="25.5">
      <c r="A70" s="724"/>
      <c r="B70" s="602"/>
      <c r="C70" s="14" t="s">
        <v>1610</v>
      </c>
      <c r="D70" s="14" t="s">
        <v>1609</v>
      </c>
      <c r="E70" s="14">
        <v>0</v>
      </c>
      <c r="F70" s="14">
        <v>0</v>
      </c>
      <c r="G70" s="14">
        <v>200</v>
      </c>
      <c r="H70" s="14">
        <v>600</v>
      </c>
      <c r="I70" s="92">
        <v>1000</v>
      </c>
      <c r="J70" s="14" t="s">
        <v>1610</v>
      </c>
      <c r="K70" s="14" t="s">
        <v>684</v>
      </c>
      <c r="L70" s="14" t="s">
        <v>189</v>
      </c>
      <c r="M70" s="92">
        <v>2798</v>
      </c>
      <c r="N70" s="90">
        <v>0</v>
      </c>
      <c r="O70" s="90">
        <v>200</v>
      </c>
      <c r="P70" s="90">
        <v>600</v>
      </c>
      <c r="Q70" s="90">
        <v>1000</v>
      </c>
      <c r="R70" s="297">
        <f t="shared" si="0"/>
        <v>0</v>
      </c>
      <c r="S70" s="362">
        <v>0</v>
      </c>
      <c r="T70" s="362">
        <v>0</v>
      </c>
      <c r="U70" s="298">
        <v>0</v>
      </c>
      <c r="V70" s="298">
        <v>0</v>
      </c>
      <c r="W70" s="94" t="s">
        <v>1057</v>
      </c>
    </row>
    <row r="71" spans="1:23" ht="38.25">
      <c r="A71" s="592" t="s">
        <v>404</v>
      </c>
      <c r="B71" s="602">
        <v>4.3</v>
      </c>
      <c r="C71" s="549" t="s">
        <v>405</v>
      </c>
      <c r="D71" s="549" t="s">
        <v>686</v>
      </c>
      <c r="E71" s="549">
        <v>0</v>
      </c>
      <c r="F71" s="549">
        <v>2143</v>
      </c>
      <c r="G71" s="549">
        <v>10682</v>
      </c>
      <c r="H71" s="549">
        <v>10682</v>
      </c>
      <c r="I71" s="549">
        <v>10682</v>
      </c>
      <c r="J71" s="14" t="s">
        <v>685</v>
      </c>
      <c r="K71" s="14" t="s">
        <v>686</v>
      </c>
      <c r="L71" s="14" t="s">
        <v>189</v>
      </c>
      <c r="M71" s="14">
        <v>0</v>
      </c>
      <c r="N71" s="14">
        <v>2143</v>
      </c>
      <c r="O71" s="14">
        <v>10682</v>
      </c>
      <c r="P71" s="14">
        <f>+O71</f>
        <v>10682</v>
      </c>
      <c r="Q71" s="14">
        <f>+P71</f>
        <v>10682</v>
      </c>
      <c r="R71" s="297">
        <f t="shared" si="0"/>
        <v>1600000</v>
      </c>
      <c r="S71" s="297">
        <v>100000</v>
      </c>
      <c r="T71" s="297">
        <v>1500000</v>
      </c>
      <c r="U71" s="297">
        <v>0</v>
      </c>
      <c r="V71" s="297">
        <v>0</v>
      </c>
      <c r="W71" s="14" t="s">
        <v>2297</v>
      </c>
    </row>
    <row r="72" spans="1:23" ht="38.25">
      <c r="A72" s="592"/>
      <c r="B72" s="602"/>
      <c r="C72" s="549"/>
      <c r="D72" s="549"/>
      <c r="E72" s="549"/>
      <c r="F72" s="549"/>
      <c r="G72" s="549"/>
      <c r="H72" s="549"/>
      <c r="I72" s="549"/>
      <c r="J72" s="14" t="s">
        <v>691</v>
      </c>
      <c r="K72" s="14" t="s">
        <v>692</v>
      </c>
      <c r="L72" s="14" t="s">
        <v>189</v>
      </c>
      <c r="M72" s="14">
        <v>0</v>
      </c>
      <c r="N72" s="14">
        <v>20</v>
      </c>
      <c r="O72" s="14">
        <v>40</v>
      </c>
      <c r="P72" s="14">
        <v>40</v>
      </c>
      <c r="Q72" s="14">
        <v>40</v>
      </c>
      <c r="R72" s="297">
        <f t="shared" si="0"/>
        <v>240000</v>
      </c>
      <c r="S72" s="90">
        <v>0</v>
      </c>
      <c r="T72" s="297">
        <v>120000</v>
      </c>
      <c r="U72" s="297">
        <v>120000</v>
      </c>
      <c r="V72" s="297">
        <v>0</v>
      </c>
      <c r="W72" s="14" t="s">
        <v>2001</v>
      </c>
    </row>
    <row r="73" spans="1:23" ht="38.25">
      <c r="A73" s="592"/>
      <c r="B73" s="602"/>
      <c r="C73" s="14" t="s">
        <v>687</v>
      </c>
      <c r="D73" s="14" t="s">
        <v>688</v>
      </c>
      <c r="E73" s="14">
        <v>0</v>
      </c>
      <c r="F73" s="14">
        <v>0</v>
      </c>
      <c r="G73" s="14">
        <v>10</v>
      </c>
      <c r="H73" s="14">
        <v>60</v>
      </c>
      <c r="I73" s="6">
        <v>1</v>
      </c>
      <c r="J73" s="14" t="s">
        <v>687</v>
      </c>
      <c r="K73" s="14" t="s">
        <v>688</v>
      </c>
      <c r="L73" s="14" t="s">
        <v>189</v>
      </c>
      <c r="M73" s="14">
        <v>0</v>
      </c>
      <c r="N73" s="14">
        <v>0</v>
      </c>
      <c r="O73" s="11">
        <v>0.1</v>
      </c>
      <c r="P73" s="11">
        <v>0.6</v>
      </c>
      <c r="Q73" s="6">
        <v>1</v>
      </c>
      <c r="R73" s="297">
        <f aca="true" t="shared" si="1" ref="R73:R136">SUM(S73:V73)</f>
        <v>1800000</v>
      </c>
      <c r="S73" s="297">
        <v>0</v>
      </c>
      <c r="T73" s="297">
        <v>600000</v>
      </c>
      <c r="U73" s="297">
        <v>600000</v>
      </c>
      <c r="V73" s="297">
        <v>600000</v>
      </c>
      <c r="W73" s="549" t="s">
        <v>406</v>
      </c>
    </row>
    <row r="74" spans="1:23" ht="25.5">
      <c r="A74" s="592"/>
      <c r="B74" s="602"/>
      <c r="C74" s="14" t="s">
        <v>689</v>
      </c>
      <c r="D74" s="14" t="s">
        <v>690</v>
      </c>
      <c r="E74" s="14">
        <v>0</v>
      </c>
      <c r="F74" s="14">
        <v>0</v>
      </c>
      <c r="G74" s="14">
        <v>200</v>
      </c>
      <c r="H74" s="14">
        <v>800</v>
      </c>
      <c r="I74" s="14">
        <v>1200</v>
      </c>
      <c r="J74" s="14" t="s">
        <v>689</v>
      </c>
      <c r="K74" s="14" t="s">
        <v>690</v>
      </c>
      <c r="L74" s="14" t="s">
        <v>189</v>
      </c>
      <c r="M74" s="14">
        <v>0</v>
      </c>
      <c r="N74" s="14">
        <v>0</v>
      </c>
      <c r="O74" s="14">
        <v>200</v>
      </c>
      <c r="P74" s="14">
        <v>800</v>
      </c>
      <c r="Q74" s="14">
        <v>1200</v>
      </c>
      <c r="R74" s="297">
        <f t="shared" si="1"/>
        <v>6000000</v>
      </c>
      <c r="S74" s="297">
        <v>0</v>
      </c>
      <c r="T74" s="297">
        <v>2000000</v>
      </c>
      <c r="U74" s="297">
        <f>+T74</f>
        <v>2000000</v>
      </c>
      <c r="V74" s="297">
        <f>+U74</f>
        <v>2000000</v>
      </c>
      <c r="W74" s="549"/>
    </row>
    <row r="75" spans="1:23" ht="25.5">
      <c r="A75" s="724" t="s">
        <v>408</v>
      </c>
      <c r="B75" s="602">
        <v>4</v>
      </c>
      <c r="C75" s="14" t="s">
        <v>693</v>
      </c>
      <c r="D75" s="14" t="s">
        <v>1609</v>
      </c>
      <c r="E75" s="90"/>
      <c r="F75" s="90">
        <v>0</v>
      </c>
      <c r="G75" s="90">
        <v>1250</v>
      </c>
      <c r="H75" s="90">
        <v>2050</v>
      </c>
      <c r="I75" s="90">
        <v>2500</v>
      </c>
      <c r="J75" s="14" t="s">
        <v>693</v>
      </c>
      <c r="K75" s="14" t="s">
        <v>1609</v>
      </c>
      <c r="L75" s="14" t="s">
        <v>189</v>
      </c>
      <c r="M75" s="90"/>
      <c r="N75" s="90">
        <v>0</v>
      </c>
      <c r="O75" s="90">
        <v>1250</v>
      </c>
      <c r="P75" s="90">
        <v>2050</v>
      </c>
      <c r="Q75" s="90">
        <v>2500</v>
      </c>
      <c r="R75" s="297">
        <f t="shared" si="1"/>
        <v>8500000</v>
      </c>
      <c r="S75" s="362"/>
      <c r="T75" s="362">
        <v>2500000</v>
      </c>
      <c r="U75" s="362">
        <v>3500000</v>
      </c>
      <c r="V75" s="362">
        <v>2500000</v>
      </c>
      <c r="W75" s="90" t="s">
        <v>2297</v>
      </c>
    </row>
    <row r="76" spans="1:25" ht="25.5">
      <c r="A76" s="724"/>
      <c r="B76" s="602"/>
      <c r="C76" s="14" t="s">
        <v>407</v>
      </c>
      <c r="D76" s="90" t="s">
        <v>694</v>
      </c>
      <c r="E76" s="90">
        <v>0</v>
      </c>
      <c r="F76" s="90">
        <v>35</v>
      </c>
      <c r="G76" s="90">
        <v>150</v>
      </c>
      <c r="H76" s="90">
        <v>350</v>
      </c>
      <c r="I76" s="90">
        <v>500</v>
      </c>
      <c r="J76" s="14" t="s">
        <v>407</v>
      </c>
      <c r="K76" s="90" t="s">
        <v>694</v>
      </c>
      <c r="L76" s="90" t="s">
        <v>189</v>
      </c>
      <c r="M76" s="90">
        <v>0</v>
      </c>
      <c r="N76" s="90">
        <v>35</v>
      </c>
      <c r="O76" s="90">
        <v>150</v>
      </c>
      <c r="P76" s="90">
        <v>350</v>
      </c>
      <c r="Q76" s="90">
        <v>500</v>
      </c>
      <c r="R76" s="297">
        <f t="shared" si="1"/>
        <v>1500000</v>
      </c>
      <c r="S76" s="362">
        <v>350000</v>
      </c>
      <c r="T76" s="362">
        <v>500000</v>
      </c>
      <c r="U76" s="362">
        <v>500000</v>
      </c>
      <c r="V76" s="362">
        <v>150000</v>
      </c>
      <c r="W76" s="90" t="s">
        <v>406</v>
      </c>
      <c r="Y76" s="294"/>
    </row>
    <row r="77" spans="1:23" ht="25.5">
      <c r="A77" s="592" t="s">
        <v>695</v>
      </c>
      <c r="B77" s="602">
        <v>5</v>
      </c>
      <c r="C77" s="14" t="s">
        <v>697</v>
      </c>
      <c r="D77" s="14" t="s">
        <v>696</v>
      </c>
      <c r="E77" s="357">
        <v>1409</v>
      </c>
      <c r="F77" s="357">
        <v>0</v>
      </c>
      <c r="G77" s="357">
        <v>500</v>
      </c>
      <c r="H77" s="357">
        <v>1500</v>
      </c>
      <c r="I77" s="92">
        <v>2500</v>
      </c>
      <c r="J77" s="14" t="s">
        <v>1611</v>
      </c>
      <c r="K77" s="14" t="s">
        <v>1612</v>
      </c>
      <c r="L77" s="14" t="s">
        <v>189</v>
      </c>
      <c r="M77" s="90">
        <v>1409</v>
      </c>
      <c r="N77" s="90">
        <v>0</v>
      </c>
      <c r="O77" s="90">
        <v>500</v>
      </c>
      <c r="P77" s="90">
        <v>1500</v>
      </c>
      <c r="Q77" s="90">
        <v>2500</v>
      </c>
      <c r="R77" s="297">
        <f t="shared" si="1"/>
        <v>0</v>
      </c>
      <c r="S77" s="362">
        <v>0</v>
      </c>
      <c r="T77" s="362">
        <v>0</v>
      </c>
      <c r="U77" s="362">
        <v>0</v>
      </c>
      <c r="V77" s="362">
        <v>0</v>
      </c>
      <c r="W77" s="612" t="s">
        <v>1056</v>
      </c>
    </row>
    <row r="78" spans="1:23" ht="25.5">
      <c r="A78" s="592"/>
      <c r="B78" s="602"/>
      <c r="C78" s="14" t="s">
        <v>698</v>
      </c>
      <c r="D78" s="14" t="s">
        <v>1609</v>
      </c>
      <c r="E78" s="90">
        <v>0</v>
      </c>
      <c r="F78" s="90">
        <v>0</v>
      </c>
      <c r="G78" s="90">
        <v>500</v>
      </c>
      <c r="H78" s="90">
        <v>1500</v>
      </c>
      <c r="I78" s="90">
        <v>2500</v>
      </c>
      <c r="J78" s="14" t="s">
        <v>698</v>
      </c>
      <c r="K78" s="14" t="s">
        <v>1609</v>
      </c>
      <c r="L78" s="14" t="s">
        <v>189</v>
      </c>
      <c r="M78" s="90">
        <v>0</v>
      </c>
      <c r="N78" s="90">
        <v>0</v>
      </c>
      <c r="O78" s="90">
        <v>500</v>
      </c>
      <c r="P78" s="90">
        <v>1500</v>
      </c>
      <c r="Q78" s="90">
        <v>2500</v>
      </c>
      <c r="R78" s="297">
        <f t="shared" si="1"/>
        <v>9355000</v>
      </c>
      <c r="S78" s="362">
        <v>1100000</v>
      </c>
      <c r="T78" s="362">
        <v>1809000</v>
      </c>
      <c r="U78" s="362">
        <v>2618000</v>
      </c>
      <c r="V78" s="362">
        <v>3828000</v>
      </c>
      <c r="W78" s="612"/>
    </row>
    <row r="79" spans="1:23" ht="21" customHeight="1">
      <c r="A79" s="592"/>
      <c r="B79" s="602"/>
      <c r="C79" s="14" t="s">
        <v>70</v>
      </c>
      <c r="D79" s="14" t="s">
        <v>1609</v>
      </c>
      <c r="E79" s="90">
        <v>0</v>
      </c>
      <c r="F79" s="90">
        <v>0</v>
      </c>
      <c r="G79" s="90">
        <v>500</v>
      </c>
      <c r="H79" s="90">
        <v>1500</v>
      </c>
      <c r="I79" s="90">
        <v>2500</v>
      </c>
      <c r="J79" s="14" t="s">
        <v>70</v>
      </c>
      <c r="K79" s="14" t="s">
        <v>1609</v>
      </c>
      <c r="L79" s="14" t="s">
        <v>189</v>
      </c>
      <c r="M79" s="90">
        <v>0</v>
      </c>
      <c r="N79" s="90">
        <v>0</v>
      </c>
      <c r="O79" s="90">
        <v>500</v>
      </c>
      <c r="P79" s="90">
        <v>1500</v>
      </c>
      <c r="Q79" s="90">
        <v>2500</v>
      </c>
      <c r="R79" s="297">
        <f t="shared" si="1"/>
        <v>0</v>
      </c>
      <c r="S79" s="362">
        <v>0</v>
      </c>
      <c r="T79" s="362">
        <v>0</v>
      </c>
      <c r="U79" s="362">
        <v>0</v>
      </c>
      <c r="V79" s="362">
        <v>0</v>
      </c>
      <c r="W79" s="90" t="s">
        <v>1056</v>
      </c>
    </row>
    <row r="80" spans="1:23" ht="38.25">
      <c r="A80" s="592"/>
      <c r="B80" s="602"/>
      <c r="C80" s="14" t="s">
        <v>71</v>
      </c>
      <c r="D80" s="14" t="s">
        <v>72</v>
      </c>
      <c r="E80" s="90">
        <v>0</v>
      </c>
      <c r="F80" s="90">
        <v>1</v>
      </c>
      <c r="G80" s="90">
        <v>2</v>
      </c>
      <c r="H80" s="90">
        <v>3</v>
      </c>
      <c r="I80" s="90">
        <v>4</v>
      </c>
      <c r="J80" s="14" t="s">
        <v>71</v>
      </c>
      <c r="K80" s="14" t="s">
        <v>72</v>
      </c>
      <c r="L80" s="14" t="s">
        <v>189</v>
      </c>
      <c r="M80" s="90">
        <v>0</v>
      </c>
      <c r="N80" s="90">
        <v>1</v>
      </c>
      <c r="O80" s="90">
        <v>2</v>
      </c>
      <c r="P80" s="90">
        <v>3</v>
      </c>
      <c r="Q80" s="90">
        <v>4</v>
      </c>
      <c r="R80" s="297">
        <f t="shared" si="1"/>
        <v>0</v>
      </c>
      <c r="S80" s="362">
        <v>0</v>
      </c>
      <c r="T80" s="362">
        <v>0</v>
      </c>
      <c r="U80" s="362">
        <v>0</v>
      </c>
      <c r="V80" s="362">
        <v>0</v>
      </c>
      <c r="W80" s="90" t="s">
        <v>645</v>
      </c>
    </row>
    <row r="81" spans="1:23" ht="25.5">
      <c r="A81" s="724" t="s">
        <v>409</v>
      </c>
      <c r="B81" s="602">
        <v>4.5</v>
      </c>
      <c r="C81" s="14" t="s">
        <v>73</v>
      </c>
      <c r="D81" s="14" t="s">
        <v>1609</v>
      </c>
      <c r="E81" s="90">
        <v>183</v>
      </c>
      <c r="F81" s="90">
        <v>0</v>
      </c>
      <c r="G81" s="90">
        <v>60</v>
      </c>
      <c r="H81" s="90">
        <v>160</v>
      </c>
      <c r="I81" s="90">
        <v>300</v>
      </c>
      <c r="J81" s="14" t="s">
        <v>74</v>
      </c>
      <c r="K81" s="14" t="s">
        <v>75</v>
      </c>
      <c r="L81" s="14" t="s">
        <v>189</v>
      </c>
      <c r="M81" s="90">
        <v>0</v>
      </c>
      <c r="N81" s="90">
        <v>0</v>
      </c>
      <c r="O81" s="90">
        <v>60</v>
      </c>
      <c r="P81" s="90">
        <v>160</v>
      </c>
      <c r="Q81" s="90">
        <v>300</v>
      </c>
      <c r="R81" s="297">
        <f t="shared" si="1"/>
        <v>600000</v>
      </c>
      <c r="S81" s="362">
        <v>0</v>
      </c>
      <c r="T81" s="362">
        <v>200000</v>
      </c>
      <c r="U81" s="362">
        <f>+T81</f>
        <v>200000</v>
      </c>
      <c r="V81" s="362">
        <f>+U81</f>
        <v>200000</v>
      </c>
      <c r="W81" s="90" t="s">
        <v>645</v>
      </c>
    </row>
    <row r="82" spans="1:24" ht="25.5">
      <c r="A82" s="724"/>
      <c r="B82" s="602"/>
      <c r="C82" s="14" t="s">
        <v>76</v>
      </c>
      <c r="D82" s="14" t="s">
        <v>78</v>
      </c>
      <c r="E82" s="90">
        <v>0</v>
      </c>
      <c r="F82" s="90">
        <v>0</v>
      </c>
      <c r="G82" s="90">
        <v>200</v>
      </c>
      <c r="H82" s="90">
        <v>400</v>
      </c>
      <c r="I82" s="90">
        <v>600</v>
      </c>
      <c r="J82" s="14" t="s">
        <v>76</v>
      </c>
      <c r="K82" s="14" t="s">
        <v>78</v>
      </c>
      <c r="L82" s="14" t="s">
        <v>189</v>
      </c>
      <c r="M82" s="90">
        <v>0</v>
      </c>
      <c r="N82" s="90">
        <v>0</v>
      </c>
      <c r="O82" s="90">
        <v>200</v>
      </c>
      <c r="P82" s="90">
        <v>400</v>
      </c>
      <c r="Q82" s="90">
        <v>600</v>
      </c>
      <c r="R82" s="297">
        <f t="shared" si="1"/>
        <v>800000</v>
      </c>
      <c r="S82" s="90">
        <v>0</v>
      </c>
      <c r="T82" s="362">
        <v>800000</v>
      </c>
      <c r="U82" s="362">
        <v>0</v>
      </c>
      <c r="V82" s="362">
        <v>0</v>
      </c>
      <c r="W82" s="90" t="s">
        <v>1055</v>
      </c>
      <c r="X82" s="300"/>
    </row>
    <row r="83" spans="1:23" ht="38.25">
      <c r="A83" s="724"/>
      <c r="B83" s="602"/>
      <c r="C83" s="14" t="s">
        <v>77</v>
      </c>
      <c r="D83" s="14" t="s">
        <v>699</v>
      </c>
      <c r="E83" s="90">
        <v>0</v>
      </c>
      <c r="F83" s="90">
        <v>0</v>
      </c>
      <c r="G83" s="90">
        <v>100</v>
      </c>
      <c r="H83" s="90">
        <v>250</v>
      </c>
      <c r="I83" s="90">
        <v>400</v>
      </c>
      <c r="J83" s="14" t="s">
        <v>77</v>
      </c>
      <c r="K83" s="14" t="s">
        <v>699</v>
      </c>
      <c r="L83" s="14" t="s">
        <v>189</v>
      </c>
      <c r="M83" s="90"/>
      <c r="N83" s="90"/>
      <c r="O83" s="90">
        <v>100</v>
      </c>
      <c r="P83" s="90">
        <v>250</v>
      </c>
      <c r="Q83" s="90">
        <v>400</v>
      </c>
      <c r="R83" s="297">
        <f t="shared" si="1"/>
        <v>2400000</v>
      </c>
      <c r="S83" s="362"/>
      <c r="T83" s="362">
        <v>300000</v>
      </c>
      <c r="U83" s="362">
        <v>800000</v>
      </c>
      <c r="V83" s="362">
        <v>1300000</v>
      </c>
      <c r="W83" s="90" t="s">
        <v>1056</v>
      </c>
    </row>
    <row r="84" spans="1:23" ht="38.25">
      <c r="A84" s="724" t="s">
        <v>410</v>
      </c>
      <c r="B84" s="602">
        <v>2.5</v>
      </c>
      <c r="C84" s="14" t="s">
        <v>700</v>
      </c>
      <c r="D84" s="14" t="s">
        <v>701</v>
      </c>
      <c r="E84" s="12">
        <v>0</v>
      </c>
      <c r="F84" s="12">
        <v>1</v>
      </c>
      <c r="G84" s="12">
        <v>1</v>
      </c>
      <c r="H84" s="12">
        <v>1</v>
      </c>
      <c r="I84" s="95">
        <v>1</v>
      </c>
      <c r="J84" s="14" t="s">
        <v>700</v>
      </c>
      <c r="K84" s="14" t="s">
        <v>701</v>
      </c>
      <c r="L84" s="14" t="s">
        <v>189</v>
      </c>
      <c r="M84" s="92">
        <v>0</v>
      </c>
      <c r="N84" s="92">
        <v>1</v>
      </c>
      <c r="O84" s="92">
        <v>1</v>
      </c>
      <c r="P84" s="92">
        <v>1</v>
      </c>
      <c r="Q84" s="92">
        <v>1</v>
      </c>
      <c r="R84" s="297">
        <f t="shared" si="1"/>
        <v>143500</v>
      </c>
      <c r="S84" s="298">
        <v>143500</v>
      </c>
      <c r="T84" s="298">
        <v>0</v>
      </c>
      <c r="U84" s="298">
        <v>0</v>
      </c>
      <c r="V84" s="298">
        <v>0</v>
      </c>
      <c r="W84" s="591" t="s">
        <v>411</v>
      </c>
    </row>
    <row r="85" spans="1:23" ht="38.25">
      <c r="A85" s="724"/>
      <c r="B85" s="602"/>
      <c r="C85" s="591" t="s">
        <v>702</v>
      </c>
      <c r="D85" s="591" t="s">
        <v>703</v>
      </c>
      <c r="E85" s="713">
        <v>0</v>
      </c>
      <c r="F85" s="713">
        <v>4</v>
      </c>
      <c r="G85" s="713">
        <v>4</v>
      </c>
      <c r="H85" s="713">
        <v>4</v>
      </c>
      <c r="I85" s="712">
        <v>4</v>
      </c>
      <c r="J85" s="14" t="s">
        <v>1639</v>
      </c>
      <c r="K85" s="14" t="s">
        <v>1640</v>
      </c>
      <c r="L85" s="14" t="s">
        <v>189</v>
      </c>
      <c r="M85" s="92">
        <v>0</v>
      </c>
      <c r="N85" s="92">
        <v>0</v>
      </c>
      <c r="O85" s="92">
        <v>1</v>
      </c>
      <c r="P85" s="92">
        <v>1</v>
      </c>
      <c r="Q85" s="92">
        <v>1</v>
      </c>
      <c r="R85" s="297">
        <f t="shared" si="1"/>
        <v>0</v>
      </c>
      <c r="S85" s="298">
        <v>0</v>
      </c>
      <c r="T85" s="298">
        <v>0</v>
      </c>
      <c r="U85" s="298">
        <v>0</v>
      </c>
      <c r="V85" s="298">
        <v>0</v>
      </c>
      <c r="W85" s="591"/>
    </row>
    <row r="86" spans="1:23" ht="51">
      <c r="A86" s="724"/>
      <c r="B86" s="602"/>
      <c r="C86" s="591"/>
      <c r="D86" s="591"/>
      <c r="E86" s="713"/>
      <c r="F86" s="713"/>
      <c r="G86" s="713"/>
      <c r="H86" s="713"/>
      <c r="I86" s="712"/>
      <c r="J86" s="14" t="s">
        <v>1627</v>
      </c>
      <c r="K86" s="14" t="s">
        <v>1628</v>
      </c>
      <c r="L86" s="14" t="s">
        <v>189</v>
      </c>
      <c r="M86" s="92">
        <v>16</v>
      </c>
      <c r="N86" s="92">
        <v>4</v>
      </c>
      <c r="O86" s="92">
        <v>8</v>
      </c>
      <c r="P86" s="92">
        <v>12</v>
      </c>
      <c r="Q86" s="92">
        <v>16</v>
      </c>
      <c r="R86" s="297">
        <f t="shared" si="1"/>
        <v>100000</v>
      </c>
      <c r="S86" s="298">
        <v>25000</v>
      </c>
      <c r="T86" s="298">
        <v>25000</v>
      </c>
      <c r="U86" s="298">
        <v>25000</v>
      </c>
      <c r="V86" s="298">
        <v>25000</v>
      </c>
      <c r="W86" s="591"/>
    </row>
    <row r="87" spans="1:23" ht="38.25">
      <c r="A87" s="724"/>
      <c r="B87" s="602"/>
      <c r="C87" s="591"/>
      <c r="D87" s="591"/>
      <c r="E87" s="713"/>
      <c r="F87" s="713"/>
      <c r="G87" s="713"/>
      <c r="H87" s="713"/>
      <c r="I87" s="712"/>
      <c r="J87" s="14" t="s">
        <v>1641</v>
      </c>
      <c r="K87" s="14" t="s">
        <v>1642</v>
      </c>
      <c r="L87" s="14" t="s">
        <v>189</v>
      </c>
      <c r="M87" s="92">
        <v>0</v>
      </c>
      <c r="N87" s="92">
        <v>1</v>
      </c>
      <c r="O87" s="92">
        <v>1</v>
      </c>
      <c r="P87" s="92">
        <v>1</v>
      </c>
      <c r="Q87" s="92">
        <v>1</v>
      </c>
      <c r="R87" s="297">
        <f t="shared" si="1"/>
        <v>30000</v>
      </c>
      <c r="S87" s="298">
        <v>30000</v>
      </c>
      <c r="T87" s="298">
        <v>0</v>
      </c>
      <c r="U87" s="298">
        <v>0</v>
      </c>
      <c r="V87" s="298">
        <v>0</v>
      </c>
      <c r="W87" s="591"/>
    </row>
    <row r="88" spans="1:23" ht="38.25">
      <c r="A88" s="724"/>
      <c r="B88" s="602"/>
      <c r="C88" s="591"/>
      <c r="D88" s="591"/>
      <c r="E88" s="713"/>
      <c r="F88" s="713"/>
      <c r="G88" s="713"/>
      <c r="H88" s="713"/>
      <c r="I88" s="712"/>
      <c r="J88" s="14" t="s">
        <v>1629</v>
      </c>
      <c r="K88" s="14" t="s">
        <v>1630</v>
      </c>
      <c r="L88" s="14" t="s">
        <v>189</v>
      </c>
      <c r="M88" s="92">
        <v>420</v>
      </c>
      <c r="N88" s="92">
        <v>390</v>
      </c>
      <c r="O88" s="92">
        <v>360</v>
      </c>
      <c r="P88" s="92">
        <v>330</v>
      </c>
      <c r="Q88" s="92">
        <v>300</v>
      </c>
      <c r="R88" s="297">
        <f t="shared" si="1"/>
        <v>0</v>
      </c>
      <c r="S88" s="298">
        <v>0</v>
      </c>
      <c r="T88" s="298">
        <v>0</v>
      </c>
      <c r="U88" s="298">
        <v>0</v>
      </c>
      <c r="V88" s="298">
        <v>0</v>
      </c>
      <c r="W88" s="591"/>
    </row>
    <row r="89" spans="1:23" ht="51">
      <c r="A89" s="724"/>
      <c r="B89" s="602"/>
      <c r="C89" s="591"/>
      <c r="D89" s="591"/>
      <c r="E89" s="713"/>
      <c r="F89" s="713"/>
      <c r="G89" s="713"/>
      <c r="H89" s="713"/>
      <c r="I89" s="712"/>
      <c r="J89" s="14" t="s">
        <v>1631</v>
      </c>
      <c r="K89" s="14" t="s">
        <v>1643</v>
      </c>
      <c r="L89" s="14" t="s">
        <v>189</v>
      </c>
      <c r="M89" s="92">
        <v>400000</v>
      </c>
      <c r="N89" s="92">
        <v>100000</v>
      </c>
      <c r="O89" s="92">
        <v>200000</v>
      </c>
      <c r="P89" s="92">
        <v>0</v>
      </c>
      <c r="Q89" s="92">
        <v>200000</v>
      </c>
      <c r="R89" s="297">
        <f t="shared" si="1"/>
        <v>0</v>
      </c>
      <c r="S89" s="298">
        <v>0</v>
      </c>
      <c r="T89" s="298">
        <v>0</v>
      </c>
      <c r="U89" s="298">
        <v>0</v>
      </c>
      <c r="V89" s="298">
        <v>0</v>
      </c>
      <c r="W89" s="591"/>
    </row>
    <row r="90" spans="1:23" ht="25.5">
      <c r="A90" s="724"/>
      <c r="B90" s="602"/>
      <c r="C90" s="591" t="s">
        <v>1632</v>
      </c>
      <c r="D90" s="591" t="s">
        <v>1633</v>
      </c>
      <c r="E90" s="713">
        <v>14</v>
      </c>
      <c r="F90" s="713">
        <v>10</v>
      </c>
      <c r="G90" s="713">
        <v>12</v>
      </c>
      <c r="H90" s="713">
        <v>14</v>
      </c>
      <c r="I90" s="712">
        <v>14</v>
      </c>
      <c r="J90" s="14" t="s">
        <v>1634</v>
      </c>
      <c r="K90" s="14" t="s">
        <v>1635</v>
      </c>
      <c r="L90" s="14" t="s">
        <v>189</v>
      </c>
      <c r="M90" s="92">
        <v>1300</v>
      </c>
      <c r="N90" s="92">
        <v>336</v>
      </c>
      <c r="O90" s="92">
        <v>672</v>
      </c>
      <c r="P90" s="92">
        <v>1008</v>
      </c>
      <c r="Q90" s="92">
        <v>1344</v>
      </c>
      <c r="R90" s="297">
        <f t="shared" si="1"/>
        <v>80000</v>
      </c>
      <c r="S90" s="298">
        <v>20000</v>
      </c>
      <c r="T90" s="298">
        <v>20000</v>
      </c>
      <c r="U90" s="298">
        <v>20000</v>
      </c>
      <c r="V90" s="298">
        <v>20000</v>
      </c>
      <c r="W90" s="591"/>
    </row>
    <row r="91" spans="1:23" ht="25.5">
      <c r="A91" s="724"/>
      <c r="B91" s="602"/>
      <c r="C91" s="591"/>
      <c r="D91" s="591"/>
      <c r="E91" s="713"/>
      <c r="F91" s="713"/>
      <c r="G91" s="713"/>
      <c r="H91" s="713"/>
      <c r="I91" s="712"/>
      <c r="J91" s="14" t="s">
        <v>1636</v>
      </c>
      <c r="K91" s="14" t="s">
        <v>1635</v>
      </c>
      <c r="L91" s="14" t="s">
        <v>189</v>
      </c>
      <c r="M91" s="92">
        <v>672</v>
      </c>
      <c r="N91" s="92">
        <v>168</v>
      </c>
      <c r="O91" s="92">
        <v>336</v>
      </c>
      <c r="P91" s="92">
        <v>504</v>
      </c>
      <c r="Q91" s="92">
        <v>672</v>
      </c>
      <c r="R91" s="297">
        <f t="shared" si="1"/>
        <v>40000</v>
      </c>
      <c r="S91" s="298">
        <v>10000</v>
      </c>
      <c r="T91" s="298">
        <v>10000</v>
      </c>
      <c r="U91" s="298">
        <v>10000</v>
      </c>
      <c r="V91" s="298">
        <v>10000</v>
      </c>
      <c r="W91" s="591"/>
    </row>
    <row r="92" spans="1:23" ht="38.25">
      <c r="A92" s="724"/>
      <c r="B92" s="602"/>
      <c r="C92" s="591"/>
      <c r="D92" s="591"/>
      <c r="E92" s="713"/>
      <c r="F92" s="713"/>
      <c r="G92" s="713"/>
      <c r="H92" s="713"/>
      <c r="I92" s="712"/>
      <c r="J92" s="14" t="s">
        <v>1637</v>
      </c>
      <c r="K92" s="14" t="s">
        <v>1638</v>
      </c>
      <c r="L92" s="14" t="s">
        <v>189</v>
      </c>
      <c r="M92" s="92">
        <v>2</v>
      </c>
      <c r="N92" s="92">
        <v>0</v>
      </c>
      <c r="O92" s="92">
        <v>1</v>
      </c>
      <c r="P92" s="92">
        <v>1</v>
      </c>
      <c r="Q92" s="92">
        <v>2</v>
      </c>
      <c r="R92" s="297">
        <f t="shared" si="1"/>
        <v>60000</v>
      </c>
      <c r="S92" s="298">
        <v>0</v>
      </c>
      <c r="T92" s="298">
        <v>30000</v>
      </c>
      <c r="U92" s="298">
        <v>30000</v>
      </c>
      <c r="V92" s="298">
        <v>0</v>
      </c>
      <c r="W92" s="591"/>
    </row>
    <row r="93" spans="1:23" ht="51">
      <c r="A93" s="724"/>
      <c r="B93" s="602"/>
      <c r="C93" s="94" t="s">
        <v>1644</v>
      </c>
      <c r="D93" s="94" t="s">
        <v>1645</v>
      </c>
      <c r="E93" s="90">
        <v>0</v>
      </c>
      <c r="F93" s="90">
        <v>70</v>
      </c>
      <c r="G93" s="90">
        <v>140</v>
      </c>
      <c r="H93" s="90">
        <v>200</v>
      </c>
      <c r="I93" s="94">
        <v>200</v>
      </c>
      <c r="J93" s="94" t="s">
        <v>1644</v>
      </c>
      <c r="K93" s="94" t="s">
        <v>1645</v>
      </c>
      <c r="L93" s="94" t="s">
        <v>189</v>
      </c>
      <c r="M93" s="90">
        <v>0</v>
      </c>
      <c r="N93" s="90">
        <v>70</v>
      </c>
      <c r="O93" s="90">
        <v>140</v>
      </c>
      <c r="P93" s="90">
        <v>200</v>
      </c>
      <c r="Q93" s="90">
        <v>200</v>
      </c>
      <c r="R93" s="297">
        <f t="shared" si="1"/>
        <v>700000</v>
      </c>
      <c r="S93" s="362">
        <v>0</v>
      </c>
      <c r="T93" s="362">
        <v>350000</v>
      </c>
      <c r="U93" s="362">
        <v>350000</v>
      </c>
      <c r="V93" s="362">
        <v>0</v>
      </c>
      <c r="W93" s="90" t="s">
        <v>406</v>
      </c>
    </row>
    <row r="94" spans="1:23" ht="38.25">
      <c r="A94" s="601" t="s">
        <v>412</v>
      </c>
      <c r="B94" s="602">
        <v>5.5</v>
      </c>
      <c r="C94" s="94" t="s">
        <v>1646</v>
      </c>
      <c r="D94" s="94" t="s">
        <v>1647</v>
      </c>
      <c r="E94" s="94">
        <v>0</v>
      </c>
      <c r="F94" s="94">
        <v>20</v>
      </c>
      <c r="G94" s="94">
        <v>40</v>
      </c>
      <c r="H94" s="94">
        <v>60</v>
      </c>
      <c r="I94" s="94">
        <v>100</v>
      </c>
      <c r="J94" s="94" t="s">
        <v>1650</v>
      </c>
      <c r="K94" s="94" t="s">
        <v>1651</v>
      </c>
      <c r="L94" s="94" t="s">
        <v>189</v>
      </c>
      <c r="M94" s="94">
        <v>0</v>
      </c>
      <c r="N94" s="94">
        <v>1</v>
      </c>
      <c r="O94" s="94">
        <v>1</v>
      </c>
      <c r="P94" s="94">
        <v>1</v>
      </c>
      <c r="Q94" s="94">
        <v>1</v>
      </c>
      <c r="R94" s="297">
        <f t="shared" si="1"/>
        <v>129000</v>
      </c>
      <c r="S94" s="297">
        <v>129000</v>
      </c>
      <c r="T94" s="297">
        <v>0</v>
      </c>
      <c r="U94" s="297">
        <v>0</v>
      </c>
      <c r="V94" s="297">
        <v>0</v>
      </c>
      <c r="W94" s="591" t="s">
        <v>413</v>
      </c>
    </row>
    <row r="95" spans="1:23" ht="51">
      <c r="A95" s="601"/>
      <c r="B95" s="602"/>
      <c r="C95" s="94" t="s">
        <v>1648</v>
      </c>
      <c r="D95" s="94" t="s">
        <v>1647</v>
      </c>
      <c r="E95" s="94">
        <v>0</v>
      </c>
      <c r="F95" s="94">
        <v>0</v>
      </c>
      <c r="G95" s="94">
        <v>5</v>
      </c>
      <c r="H95" s="94">
        <v>10</v>
      </c>
      <c r="I95" s="94">
        <v>30</v>
      </c>
      <c r="J95" s="94" t="s">
        <v>1653</v>
      </c>
      <c r="K95" s="94" t="s">
        <v>1654</v>
      </c>
      <c r="L95" s="94" t="s">
        <v>189</v>
      </c>
      <c r="M95" s="94">
        <v>0</v>
      </c>
      <c r="N95" s="94">
        <v>0</v>
      </c>
      <c r="O95" s="94">
        <v>0.05</v>
      </c>
      <c r="P95" s="94">
        <v>0.1</v>
      </c>
      <c r="Q95" s="94">
        <v>0.3</v>
      </c>
      <c r="R95" s="297">
        <f t="shared" si="1"/>
        <v>692000</v>
      </c>
      <c r="S95" s="297">
        <v>0</v>
      </c>
      <c r="T95" s="297">
        <v>200000</v>
      </c>
      <c r="U95" s="297">
        <v>245000</v>
      </c>
      <c r="V95" s="297">
        <v>247000</v>
      </c>
      <c r="W95" s="591"/>
    </row>
    <row r="96" spans="1:23" ht="25.5">
      <c r="A96" s="601"/>
      <c r="B96" s="602"/>
      <c r="C96" s="94" t="s">
        <v>1649</v>
      </c>
      <c r="D96" s="94" t="s">
        <v>1655</v>
      </c>
      <c r="E96" s="94">
        <v>1.8</v>
      </c>
      <c r="F96" s="94">
        <v>0</v>
      </c>
      <c r="G96" s="94">
        <v>1.8</v>
      </c>
      <c r="H96" s="94">
        <v>2</v>
      </c>
      <c r="I96" s="94">
        <v>2.1</v>
      </c>
      <c r="J96" s="94" t="s">
        <v>1656</v>
      </c>
      <c r="K96" s="94" t="s">
        <v>1655</v>
      </c>
      <c r="L96" s="94" t="s">
        <v>189</v>
      </c>
      <c r="M96" s="94">
        <v>0</v>
      </c>
      <c r="N96" s="94">
        <v>0</v>
      </c>
      <c r="O96" s="94">
        <v>1.8</v>
      </c>
      <c r="P96" s="94">
        <v>2</v>
      </c>
      <c r="Q96" s="94">
        <v>2.1</v>
      </c>
      <c r="R96" s="297">
        <f t="shared" si="1"/>
        <v>0</v>
      </c>
      <c r="S96" s="297">
        <v>0</v>
      </c>
      <c r="T96" s="297">
        <v>0</v>
      </c>
      <c r="U96" s="297">
        <v>0</v>
      </c>
      <c r="V96" s="297">
        <v>0</v>
      </c>
      <c r="W96" s="591"/>
    </row>
    <row r="97" spans="1:23" ht="33.75" customHeight="1">
      <c r="A97" s="601"/>
      <c r="B97" s="602"/>
      <c r="C97" s="94" t="s">
        <v>1657</v>
      </c>
      <c r="D97" s="94" t="s">
        <v>1658</v>
      </c>
      <c r="E97" s="94">
        <v>0</v>
      </c>
      <c r="F97" s="94">
        <v>0</v>
      </c>
      <c r="G97" s="94">
        <v>2</v>
      </c>
      <c r="H97" s="94">
        <v>3</v>
      </c>
      <c r="I97" s="94">
        <v>5</v>
      </c>
      <c r="J97" s="94" t="s">
        <v>1659</v>
      </c>
      <c r="K97" s="94" t="s">
        <v>1658</v>
      </c>
      <c r="L97" s="94" t="s">
        <v>189</v>
      </c>
      <c r="M97" s="94">
        <v>0</v>
      </c>
      <c r="N97" s="94">
        <v>0</v>
      </c>
      <c r="O97" s="94">
        <v>2</v>
      </c>
      <c r="P97" s="94">
        <v>3</v>
      </c>
      <c r="Q97" s="94">
        <v>5</v>
      </c>
      <c r="R97" s="297">
        <f t="shared" si="1"/>
        <v>0</v>
      </c>
      <c r="S97" s="297">
        <v>0</v>
      </c>
      <c r="T97" s="297">
        <v>0</v>
      </c>
      <c r="U97" s="297">
        <v>0</v>
      </c>
      <c r="V97" s="297">
        <v>0</v>
      </c>
      <c r="W97" s="591"/>
    </row>
    <row r="98" spans="1:23" ht="51">
      <c r="A98" s="601"/>
      <c r="B98" s="602"/>
      <c r="C98" s="94" t="s">
        <v>1660</v>
      </c>
      <c r="D98" s="94" t="s">
        <v>1661</v>
      </c>
      <c r="E98" s="94">
        <v>0</v>
      </c>
      <c r="F98" s="94">
        <v>0</v>
      </c>
      <c r="G98" s="94">
        <v>0</v>
      </c>
      <c r="H98" s="94">
        <v>0</v>
      </c>
      <c r="I98" s="94">
        <v>1</v>
      </c>
      <c r="J98" s="94" t="s">
        <v>1662</v>
      </c>
      <c r="K98" s="94" t="s">
        <v>704</v>
      </c>
      <c r="L98" s="94" t="s">
        <v>189</v>
      </c>
      <c r="M98" s="94">
        <v>0</v>
      </c>
      <c r="N98" s="94">
        <v>0</v>
      </c>
      <c r="O98" s="94">
        <v>0</v>
      </c>
      <c r="P98" s="94">
        <v>0</v>
      </c>
      <c r="Q98" s="94">
        <v>1</v>
      </c>
      <c r="R98" s="297">
        <f t="shared" si="1"/>
        <v>150000</v>
      </c>
      <c r="S98" s="297">
        <v>0</v>
      </c>
      <c r="T98" s="297">
        <v>0</v>
      </c>
      <c r="U98" s="297">
        <v>50000</v>
      </c>
      <c r="V98" s="297">
        <v>100000</v>
      </c>
      <c r="W98" s="591"/>
    </row>
    <row r="99" spans="1:23" ht="25.5">
      <c r="A99" s="724" t="s">
        <v>414</v>
      </c>
      <c r="B99" s="602">
        <v>4.5</v>
      </c>
      <c r="C99" s="14" t="s">
        <v>1663</v>
      </c>
      <c r="D99" s="14" t="s">
        <v>1664</v>
      </c>
      <c r="E99" s="12">
        <v>0</v>
      </c>
      <c r="F99" s="12">
        <v>1</v>
      </c>
      <c r="G99" s="12">
        <v>3</v>
      </c>
      <c r="H99" s="12">
        <v>5</v>
      </c>
      <c r="I99" s="96">
        <v>7</v>
      </c>
      <c r="J99" s="14" t="s">
        <v>1665</v>
      </c>
      <c r="K99" s="94" t="s">
        <v>1666</v>
      </c>
      <c r="L99" s="94" t="s">
        <v>189</v>
      </c>
      <c r="M99" s="92">
        <v>0</v>
      </c>
      <c r="N99" s="92">
        <v>1</v>
      </c>
      <c r="O99" s="92">
        <v>3</v>
      </c>
      <c r="P99" s="92">
        <v>5</v>
      </c>
      <c r="Q99" s="92">
        <v>7</v>
      </c>
      <c r="R99" s="297">
        <f t="shared" si="1"/>
        <v>300000</v>
      </c>
      <c r="S99" s="298">
        <v>0</v>
      </c>
      <c r="T99" s="298">
        <v>100000</v>
      </c>
      <c r="U99" s="298">
        <v>100000</v>
      </c>
      <c r="V99" s="298">
        <v>100000</v>
      </c>
      <c r="W99" s="721" t="s">
        <v>413</v>
      </c>
    </row>
    <row r="100" spans="1:23" ht="25.5">
      <c r="A100" s="724"/>
      <c r="B100" s="602"/>
      <c r="C100" s="14" t="s">
        <v>1667</v>
      </c>
      <c r="D100" s="14" t="s">
        <v>1668</v>
      </c>
      <c r="E100" s="12">
        <v>0</v>
      </c>
      <c r="F100" s="12">
        <v>0</v>
      </c>
      <c r="G100" s="12">
        <v>0</v>
      </c>
      <c r="H100" s="12">
        <v>0</v>
      </c>
      <c r="I100" s="96">
        <v>1</v>
      </c>
      <c r="J100" s="14" t="s">
        <v>1669</v>
      </c>
      <c r="K100" s="6" t="s">
        <v>1670</v>
      </c>
      <c r="L100" s="6" t="s">
        <v>189</v>
      </c>
      <c r="M100" s="92">
        <v>0</v>
      </c>
      <c r="N100" s="92">
        <v>0</v>
      </c>
      <c r="O100" s="92">
        <v>0</v>
      </c>
      <c r="P100" s="92">
        <v>0</v>
      </c>
      <c r="Q100" s="92">
        <v>1</v>
      </c>
      <c r="R100" s="297">
        <f t="shared" si="1"/>
        <v>0</v>
      </c>
      <c r="S100" s="298">
        <v>0</v>
      </c>
      <c r="T100" s="298">
        <v>0</v>
      </c>
      <c r="U100" s="298">
        <v>0</v>
      </c>
      <c r="V100" s="298">
        <v>0</v>
      </c>
      <c r="W100" s="721"/>
    </row>
    <row r="101" spans="1:23" ht="38.25">
      <c r="A101" s="724"/>
      <c r="B101" s="602"/>
      <c r="C101" s="14" t="s">
        <v>1671</v>
      </c>
      <c r="D101" s="14" t="s">
        <v>1672</v>
      </c>
      <c r="E101" s="12">
        <v>0</v>
      </c>
      <c r="F101" s="12">
        <v>0</v>
      </c>
      <c r="G101" s="12">
        <v>20</v>
      </c>
      <c r="H101" s="12">
        <v>40</v>
      </c>
      <c r="I101" s="96">
        <v>60</v>
      </c>
      <c r="J101" s="14" t="s">
        <v>1673</v>
      </c>
      <c r="K101" s="94" t="s">
        <v>1674</v>
      </c>
      <c r="L101" s="94" t="s">
        <v>189</v>
      </c>
      <c r="M101" s="92">
        <v>0</v>
      </c>
      <c r="N101" s="92">
        <v>1</v>
      </c>
      <c r="O101" s="92">
        <v>1</v>
      </c>
      <c r="P101" s="92">
        <v>1</v>
      </c>
      <c r="Q101" s="92">
        <v>1</v>
      </c>
      <c r="R101" s="297">
        <f t="shared" si="1"/>
        <v>100000</v>
      </c>
      <c r="S101" s="298">
        <v>100000</v>
      </c>
      <c r="T101" s="298">
        <v>0</v>
      </c>
      <c r="U101" s="298">
        <v>0</v>
      </c>
      <c r="V101" s="298">
        <v>0</v>
      </c>
      <c r="W101" s="721"/>
    </row>
    <row r="102" spans="1:23" ht="51">
      <c r="A102" s="724"/>
      <c r="B102" s="602"/>
      <c r="C102" s="14" t="s">
        <v>1675</v>
      </c>
      <c r="D102" s="14" t="s">
        <v>1676</v>
      </c>
      <c r="E102" s="12">
        <v>0</v>
      </c>
      <c r="F102" s="12">
        <v>0</v>
      </c>
      <c r="G102" s="12">
        <v>100</v>
      </c>
      <c r="H102" s="12">
        <v>100</v>
      </c>
      <c r="I102" s="97">
        <v>1</v>
      </c>
      <c r="J102" s="14" t="s">
        <v>1677</v>
      </c>
      <c r="K102" s="14" t="s">
        <v>1676</v>
      </c>
      <c r="L102" s="14" t="s">
        <v>189</v>
      </c>
      <c r="M102" s="92">
        <v>0</v>
      </c>
      <c r="N102" s="97">
        <v>0</v>
      </c>
      <c r="O102" s="97">
        <v>1</v>
      </c>
      <c r="P102" s="97">
        <v>1</v>
      </c>
      <c r="Q102" s="97">
        <v>1</v>
      </c>
      <c r="R102" s="297">
        <f t="shared" si="1"/>
        <v>0</v>
      </c>
      <c r="S102" s="298">
        <v>0</v>
      </c>
      <c r="T102" s="298">
        <v>0</v>
      </c>
      <c r="U102" s="298">
        <v>0</v>
      </c>
      <c r="V102" s="298">
        <v>0</v>
      </c>
      <c r="W102" s="721"/>
    </row>
    <row r="103" spans="1:23" ht="25.5">
      <c r="A103" s="724"/>
      <c r="B103" s="602"/>
      <c r="C103" s="14" t="s">
        <v>1678</v>
      </c>
      <c r="D103" s="14" t="s">
        <v>1679</v>
      </c>
      <c r="E103" s="97">
        <v>0.1</v>
      </c>
      <c r="F103" s="97">
        <v>0</v>
      </c>
      <c r="G103" s="97">
        <v>1</v>
      </c>
      <c r="H103" s="97">
        <v>1</v>
      </c>
      <c r="I103" s="97">
        <v>1</v>
      </c>
      <c r="J103" s="14" t="s">
        <v>744</v>
      </c>
      <c r="K103" s="14" t="s">
        <v>745</v>
      </c>
      <c r="L103" s="14" t="s">
        <v>189</v>
      </c>
      <c r="M103" s="92">
        <v>0</v>
      </c>
      <c r="N103" s="97">
        <v>0</v>
      </c>
      <c r="O103" s="97">
        <v>1</v>
      </c>
      <c r="P103" s="97">
        <v>1</v>
      </c>
      <c r="Q103" s="97">
        <v>1</v>
      </c>
      <c r="R103" s="297">
        <f t="shared" si="1"/>
        <v>0</v>
      </c>
      <c r="S103" s="298">
        <v>0</v>
      </c>
      <c r="T103" s="298">
        <v>0</v>
      </c>
      <c r="U103" s="298">
        <v>0</v>
      </c>
      <c r="V103" s="298">
        <v>0</v>
      </c>
      <c r="W103" s="721"/>
    </row>
    <row r="104" spans="1:23" ht="51">
      <c r="A104" s="724"/>
      <c r="B104" s="602"/>
      <c r="C104" s="14" t="s">
        <v>746</v>
      </c>
      <c r="D104" s="14" t="s">
        <v>747</v>
      </c>
      <c r="E104" s="12">
        <v>0</v>
      </c>
      <c r="F104" s="12">
        <v>0</v>
      </c>
      <c r="G104" s="12">
        <v>0</v>
      </c>
      <c r="H104" s="12">
        <v>50</v>
      </c>
      <c r="I104" s="97">
        <v>0.5</v>
      </c>
      <c r="J104" s="14" t="s">
        <v>748</v>
      </c>
      <c r="K104" s="14" t="s">
        <v>747</v>
      </c>
      <c r="L104" s="14" t="s">
        <v>189</v>
      </c>
      <c r="M104" s="92">
        <v>0</v>
      </c>
      <c r="N104" s="97">
        <v>0</v>
      </c>
      <c r="O104" s="97">
        <v>0</v>
      </c>
      <c r="P104" s="97">
        <v>0.5</v>
      </c>
      <c r="Q104" s="97">
        <v>0.5</v>
      </c>
      <c r="R104" s="297">
        <f t="shared" si="1"/>
        <v>0</v>
      </c>
      <c r="S104" s="298">
        <v>0</v>
      </c>
      <c r="T104" s="298">
        <v>0</v>
      </c>
      <c r="U104" s="298">
        <v>0</v>
      </c>
      <c r="V104" s="298">
        <v>0</v>
      </c>
      <c r="W104" s="721"/>
    </row>
    <row r="105" spans="1:23" ht="38.25">
      <c r="A105" s="361" t="s">
        <v>415</v>
      </c>
      <c r="B105" s="101">
        <v>2.2</v>
      </c>
      <c r="C105" s="14" t="s">
        <v>749</v>
      </c>
      <c r="D105" s="14" t="s">
        <v>750</v>
      </c>
      <c r="E105" s="12">
        <v>0</v>
      </c>
      <c r="F105" s="12">
        <v>1</v>
      </c>
      <c r="G105" s="12">
        <v>2</v>
      </c>
      <c r="H105" s="12">
        <v>3</v>
      </c>
      <c r="I105" s="96">
        <v>4</v>
      </c>
      <c r="J105" s="14" t="s">
        <v>1706</v>
      </c>
      <c r="K105" s="94" t="s">
        <v>1707</v>
      </c>
      <c r="L105" s="94" t="s">
        <v>189</v>
      </c>
      <c r="M105" s="92">
        <v>0</v>
      </c>
      <c r="N105" s="92">
        <v>1</v>
      </c>
      <c r="O105" s="92">
        <v>2</v>
      </c>
      <c r="P105" s="92">
        <v>3</v>
      </c>
      <c r="Q105" s="92">
        <v>4</v>
      </c>
      <c r="R105" s="297">
        <f t="shared" si="1"/>
        <v>200000</v>
      </c>
      <c r="S105" s="298">
        <v>50000</v>
      </c>
      <c r="T105" s="298">
        <v>50000</v>
      </c>
      <c r="U105" s="298">
        <v>50000</v>
      </c>
      <c r="V105" s="298">
        <v>50000</v>
      </c>
      <c r="W105" s="10" t="s">
        <v>413</v>
      </c>
    </row>
    <row r="106" spans="1:23" ht="63.75">
      <c r="A106" s="361" t="s">
        <v>416</v>
      </c>
      <c r="B106" s="101">
        <v>2</v>
      </c>
      <c r="C106" s="14" t="s">
        <v>1708</v>
      </c>
      <c r="D106" s="14" t="s">
        <v>1709</v>
      </c>
      <c r="E106" s="12">
        <v>0</v>
      </c>
      <c r="F106" s="12">
        <v>1</v>
      </c>
      <c r="G106" s="12">
        <v>1</v>
      </c>
      <c r="H106" s="12">
        <v>2</v>
      </c>
      <c r="I106" s="96">
        <v>2</v>
      </c>
      <c r="J106" s="14" t="s">
        <v>1710</v>
      </c>
      <c r="K106" s="94" t="s">
        <v>1711</v>
      </c>
      <c r="L106" s="94" t="s">
        <v>189</v>
      </c>
      <c r="M106" s="92">
        <v>0</v>
      </c>
      <c r="N106" s="92">
        <v>1</v>
      </c>
      <c r="O106" s="92">
        <v>1</v>
      </c>
      <c r="P106" s="92">
        <v>2</v>
      </c>
      <c r="Q106" s="92">
        <v>2</v>
      </c>
      <c r="R106" s="297">
        <f t="shared" si="1"/>
        <v>200000</v>
      </c>
      <c r="S106" s="298">
        <v>50000</v>
      </c>
      <c r="T106" s="298">
        <v>50000</v>
      </c>
      <c r="U106" s="298">
        <v>50000</v>
      </c>
      <c r="V106" s="298">
        <v>50000</v>
      </c>
      <c r="W106" s="10" t="s">
        <v>413</v>
      </c>
    </row>
    <row r="107" spans="1:23" ht="63.75">
      <c r="A107" s="361" t="s">
        <v>417</v>
      </c>
      <c r="B107" s="101">
        <v>2.5</v>
      </c>
      <c r="C107" s="14" t="s">
        <v>1712</v>
      </c>
      <c r="D107" s="14" t="s">
        <v>1651</v>
      </c>
      <c r="E107" s="12">
        <v>0</v>
      </c>
      <c r="F107" s="12">
        <v>1</v>
      </c>
      <c r="G107" s="12">
        <v>1</v>
      </c>
      <c r="H107" s="12">
        <v>1</v>
      </c>
      <c r="I107" s="96">
        <v>1</v>
      </c>
      <c r="J107" s="14" t="s">
        <v>1713</v>
      </c>
      <c r="K107" s="94" t="s">
        <v>1714</v>
      </c>
      <c r="L107" s="94" t="s">
        <v>189</v>
      </c>
      <c r="M107" s="92">
        <v>0</v>
      </c>
      <c r="N107" s="92">
        <v>1</v>
      </c>
      <c r="O107" s="92">
        <v>1</v>
      </c>
      <c r="P107" s="92">
        <v>1</v>
      </c>
      <c r="Q107" s="92">
        <v>1</v>
      </c>
      <c r="R107" s="297">
        <f t="shared" si="1"/>
        <v>200000</v>
      </c>
      <c r="S107" s="298">
        <v>50000</v>
      </c>
      <c r="T107" s="298">
        <v>50000</v>
      </c>
      <c r="U107" s="298">
        <v>50000</v>
      </c>
      <c r="V107" s="298">
        <v>50000</v>
      </c>
      <c r="W107" s="10" t="s">
        <v>413</v>
      </c>
    </row>
    <row r="108" spans="1:23" ht="25.5">
      <c r="A108" s="724" t="s">
        <v>418</v>
      </c>
      <c r="B108" s="602">
        <v>9</v>
      </c>
      <c r="C108" s="14" t="s">
        <v>1715</v>
      </c>
      <c r="D108" s="14" t="s">
        <v>1716</v>
      </c>
      <c r="E108" s="358">
        <v>662730</v>
      </c>
      <c r="F108" s="358">
        <v>100</v>
      </c>
      <c r="G108" s="358">
        <v>500</v>
      </c>
      <c r="H108" s="358">
        <v>900</v>
      </c>
      <c r="I108" s="358">
        <v>1200000</v>
      </c>
      <c r="J108" s="14" t="s">
        <v>1715</v>
      </c>
      <c r="K108" s="14" t="s">
        <v>1716</v>
      </c>
      <c r="L108" s="14" t="s">
        <v>189</v>
      </c>
      <c r="M108" s="92">
        <v>0</v>
      </c>
      <c r="N108" s="92">
        <v>100000</v>
      </c>
      <c r="O108" s="92">
        <v>500000</v>
      </c>
      <c r="P108" s="92">
        <v>900000</v>
      </c>
      <c r="Q108" s="92">
        <f>+P108+300000</f>
        <v>1200000</v>
      </c>
      <c r="R108" s="297">
        <f t="shared" si="1"/>
        <v>87129000</v>
      </c>
      <c r="S108" s="298">
        <v>28366000</v>
      </c>
      <c r="T108" s="298">
        <v>11723000</v>
      </c>
      <c r="U108" s="298">
        <v>23684000</v>
      </c>
      <c r="V108" s="298">
        <v>23356000</v>
      </c>
      <c r="W108" s="716" t="s">
        <v>1056</v>
      </c>
    </row>
    <row r="109" spans="1:23" ht="38.25">
      <c r="A109" s="724"/>
      <c r="B109" s="602"/>
      <c r="C109" s="14" t="s">
        <v>1717</v>
      </c>
      <c r="D109" s="14" t="s">
        <v>1722</v>
      </c>
      <c r="E109" s="9"/>
      <c r="F109" s="98">
        <v>0</v>
      </c>
      <c r="G109" s="98">
        <v>0</v>
      </c>
      <c r="H109" s="98">
        <v>1</v>
      </c>
      <c r="I109" s="98">
        <v>2</v>
      </c>
      <c r="J109" s="94" t="s">
        <v>1718</v>
      </c>
      <c r="K109" s="94" t="s">
        <v>1719</v>
      </c>
      <c r="L109" s="94" t="s">
        <v>189</v>
      </c>
      <c r="M109" s="92">
        <v>0</v>
      </c>
      <c r="N109" s="92">
        <v>0</v>
      </c>
      <c r="O109" s="92">
        <v>0</v>
      </c>
      <c r="P109" s="92">
        <v>1</v>
      </c>
      <c r="Q109" s="92">
        <v>2</v>
      </c>
      <c r="R109" s="297">
        <f t="shared" si="1"/>
        <v>10000000</v>
      </c>
      <c r="S109" s="298">
        <v>2000000</v>
      </c>
      <c r="T109" s="298">
        <v>5000000</v>
      </c>
      <c r="U109" s="298">
        <v>3000000</v>
      </c>
      <c r="V109" s="298">
        <v>0</v>
      </c>
      <c r="W109" s="591"/>
    </row>
    <row r="110" spans="1:23" ht="51">
      <c r="A110" s="724"/>
      <c r="B110" s="602"/>
      <c r="C110" s="14" t="s">
        <v>1720</v>
      </c>
      <c r="D110" s="14" t="s">
        <v>1721</v>
      </c>
      <c r="E110" s="9"/>
      <c r="F110" s="9">
        <v>0</v>
      </c>
      <c r="G110" s="9">
        <v>0.33</v>
      </c>
      <c r="H110" s="9">
        <v>0.67</v>
      </c>
      <c r="I110" s="331">
        <v>1</v>
      </c>
      <c r="J110" s="14" t="s">
        <v>1720</v>
      </c>
      <c r="K110" s="14" t="s">
        <v>1721</v>
      </c>
      <c r="L110" s="14" t="s">
        <v>189</v>
      </c>
      <c r="M110" s="92">
        <v>0</v>
      </c>
      <c r="N110" s="97">
        <v>0</v>
      </c>
      <c r="O110" s="97">
        <v>0.3333</v>
      </c>
      <c r="P110" s="97">
        <f>+O110+33.33%</f>
        <v>0.6666</v>
      </c>
      <c r="Q110" s="97">
        <f>+P110+33.33%</f>
        <v>0.9999</v>
      </c>
      <c r="R110" s="297">
        <f t="shared" si="1"/>
        <v>4500000</v>
      </c>
      <c r="S110" s="298">
        <v>0</v>
      </c>
      <c r="T110" s="298">
        <v>2000000</v>
      </c>
      <c r="U110" s="298">
        <v>2500000</v>
      </c>
      <c r="V110" s="298">
        <v>0</v>
      </c>
      <c r="W110" s="591"/>
    </row>
    <row r="111" spans="1:23" ht="63.75">
      <c r="A111" s="592" t="s">
        <v>419</v>
      </c>
      <c r="B111" s="602">
        <v>5.5</v>
      </c>
      <c r="C111" s="591" t="s">
        <v>1723</v>
      </c>
      <c r="D111" s="591" t="s">
        <v>1724</v>
      </c>
      <c r="E111" s="710">
        <v>0.87</v>
      </c>
      <c r="F111" s="710">
        <v>0.89</v>
      </c>
      <c r="G111" s="710">
        <v>0.9</v>
      </c>
      <c r="H111" s="710">
        <v>0.93</v>
      </c>
      <c r="I111" s="719">
        <v>0.95</v>
      </c>
      <c r="J111" s="14" t="s">
        <v>803</v>
      </c>
      <c r="K111" s="14" t="s">
        <v>1725</v>
      </c>
      <c r="L111" s="14" t="s">
        <v>189</v>
      </c>
      <c r="M111" s="92">
        <v>109795</v>
      </c>
      <c r="N111" s="92">
        <v>2000</v>
      </c>
      <c r="O111" s="92">
        <f>N111+2000</f>
        <v>4000</v>
      </c>
      <c r="P111" s="92">
        <f>O111+2000</f>
        <v>6000</v>
      </c>
      <c r="Q111" s="92">
        <f>P111+2000</f>
        <v>8000</v>
      </c>
      <c r="R111" s="297">
        <f t="shared" si="1"/>
        <v>3200000</v>
      </c>
      <c r="S111" s="298">
        <v>800000</v>
      </c>
      <c r="T111" s="298">
        <v>800000</v>
      </c>
      <c r="U111" s="298">
        <v>800000</v>
      </c>
      <c r="V111" s="298">
        <v>800000</v>
      </c>
      <c r="W111" s="591" t="s">
        <v>1726</v>
      </c>
    </row>
    <row r="112" spans="1:23" ht="38.25">
      <c r="A112" s="592"/>
      <c r="B112" s="602"/>
      <c r="C112" s="591"/>
      <c r="D112" s="591"/>
      <c r="E112" s="710"/>
      <c r="F112" s="710"/>
      <c r="G112" s="710"/>
      <c r="H112" s="710"/>
      <c r="I112" s="719"/>
      <c r="J112" s="14" t="s">
        <v>1727</v>
      </c>
      <c r="K112" s="14" t="s">
        <v>1728</v>
      </c>
      <c r="L112" s="14" t="s">
        <v>189</v>
      </c>
      <c r="M112" s="92">
        <v>0</v>
      </c>
      <c r="N112" s="92">
        <v>0</v>
      </c>
      <c r="O112" s="92">
        <v>0</v>
      </c>
      <c r="P112" s="92">
        <v>1</v>
      </c>
      <c r="Q112" s="92">
        <v>2</v>
      </c>
      <c r="R112" s="297">
        <f t="shared" si="1"/>
        <v>0</v>
      </c>
      <c r="S112" s="298">
        <v>0</v>
      </c>
      <c r="T112" s="298">
        <v>0</v>
      </c>
      <c r="U112" s="298">
        <v>0</v>
      </c>
      <c r="V112" s="298">
        <v>0</v>
      </c>
      <c r="W112" s="591"/>
    </row>
    <row r="113" spans="1:23" ht="63.75">
      <c r="A113" s="592"/>
      <c r="B113" s="602"/>
      <c r="C113" s="591" t="s">
        <v>1729</v>
      </c>
      <c r="D113" s="591" t="s">
        <v>804</v>
      </c>
      <c r="E113" s="711" t="s">
        <v>805</v>
      </c>
      <c r="F113" s="710">
        <v>0.209</v>
      </c>
      <c r="G113" s="711">
        <v>0.21</v>
      </c>
      <c r="H113" s="710">
        <v>0.218</v>
      </c>
      <c r="I113" s="720" t="s">
        <v>806</v>
      </c>
      <c r="J113" s="14" t="s">
        <v>1730</v>
      </c>
      <c r="K113" s="14" t="s">
        <v>1731</v>
      </c>
      <c r="L113" s="14" t="s">
        <v>189</v>
      </c>
      <c r="M113" s="92">
        <v>0</v>
      </c>
      <c r="N113" s="92">
        <v>0</v>
      </c>
      <c r="O113" s="92">
        <v>0</v>
      </c>
      <c r="P113" s="92">
        <v>75000</v>
      </c>
      <c r="Q113" s="92">
        <v>150000</v>
      </c>
      <c r="R113" s="297">
        <f t="shared" si="1"/>
        <v>6500000</v>
      </c>
      <c r="S113" s="298">
        <v>0</v>
      </c>
      <c r="T113" s="298">
        <v>1000000</v>
      </c>
      <c r="U113" s="298">
        <v>2500000</v>
      </c>
      <c r="V113" s="298">
        <v>3000000</v>
      </c>
      <c r="W113" s="591"/>
    </row>
    <row r="114" spans="1:23" ht="38.25">
      <c r="A114" s="592"/>
      <c r="B114" s="602"/>
      <c r="C114" s="591"/>
      <c r="D114" s="591"/>
      <c r="E114" s="711"/>
      <c r="F114" s="710"/>
      <c r="G114" s="711"/>
      <c r="H114" s="710"/>
      <c r="I114" s="720"/>
      <c r="J114" s="14" t="s">
        <v>1732</v>
      </c>
      <c r="K114" s="14" t="s">
        <v>1733</v>
      </c>
      <c r="L114" s="14" t="s">
        <v>189</v>
      </c>
      <c r="M114" s="92">
        <v>38400</v>
      </c>
      <c r="N114" s="92">
        <v>38400</v>
      </c>
      <c r="O114" s="92">
        <v>41400</v>
      </c>
      <c r="P114" s="92">
        <v>45000</v>
      </c>
      <c r="Q114" s="92">
        <v>46400</v>
      </c>
      <c r="R114" s="297">
        <f t="shared" si="1"/>
        <v>5250000</v>
      </c>
      <c r="S114" s="298">
        <v>500000</v>
      </c>
      <c r="T114" s="298">
        <v>2250000</v>
      </c>
      <c r="U114" s="298">
        <v>2500000</v>
      </c>
      <c r="V114" s="298">
        <v>0</v>
      </c>
      <c r="W114" s="591"/>
    </row>
    <row r="115" spans="1:23" ht="51">
      <c r="A115" s="592"/>
      <c r="B115" s="602"/>
      <c r="C115" s="591"/>
      <c r="D115" s="591"/>
      <c r="E115" s="711"/>
      <c r="F115" s="710"/>
      <c r="G115" s="711"/>
      <c r="H115" s="710"/>
      <c r="I115" s="720"/>
      <c r="J115" s="14" t="s">
        <v>1734</v>
      </c>
      <c r="K115" s="14" t="s">
        <v>1735</v>
      </c>
      <c r="L115" s="14" t="s">
        <v>189</v>
      </c>
      <c r="M115" s="9">
        <v>0.39</v>
      </c>
      <c r="N115" s="89">
        <v>0</v>
      </c>
      <c r="O115" s="89">
        <v>0.38</v>
      </c>
      <c r="P115" s="89">
        <v>0.37</v>
      </c>
      <c r="Q115" s="89">
        <v>0.35</v>
      </c>
      <c r="R115" s="297">
        <f t="shared" si="1"/>
        <v>4693950</v>
      </c>
      <c r="S115" s="298">
        <v>193950</v>
      </c>
      <c r="T115" s="298">
        <v>1500000</v>
      </c>
      <c r="U115" s="298">
        <v>1500000</v>
      </c>
      <c r="V115" s="298">
        <v>1500000</v>
      </c>
      <c r="W115" s="591"/>
    </row>
    <row r="116" spans="1:23" ht="63.75">
      <c r="A116" s="592"/>
      <c r="B116" s="602"/>
      <c r="C116" s="591"/>
      <c r="D116" s="591"/>
      <c r="E116" s="711"/>
      <c r="F116" s="710"/>
      <c r="G116" s="711"/>
      <c r="H116" s="710"/>
      <c r="I116" s="720"/>
      <c r="J116" s="14" t="s">
        <v>1736</v>
      </c>
      <c r="K116" s="14" t="s">
        <v>1737</v>
      </c>
      <c r="L116" s="14" t="s">
        <v>189</v>
      </c>
      <c r="M116" s="92">
        <v>0</v>
      </c>
      <c r="N116" s="92">
        <v>0</v>
      </c>
      <c r="O116" s="92">
        <v>12</v>
      </c>
      <c r="P116" s="92">
        <v>24</v>
      </c>
      <c r="Q116" s="92">
        <v>35</v>
      </c>
      <c r="R116" s="297">
        <f t="shared" si="1"/>
        <v>250000</v>
      </c>
      <c r="S116" s="298">
        <v>0</v>
      </c>
      <c r="T116" s="298">
        <v>60000</v>
      </c>
      <c r="U116" s="298">
        <v>100000</v>
      </c>
      <c r="V116" s="298">
        <v>90000</v>
      </c>
      <c r="W116" s="591"/>
    </row>
    <row r="117" spans="1:23" ht="51">
      <c r="A117" s="592"/>
      <c r="B117" s="602"/>
      <c r="C117" s="591"/>
      <c r="D117" s="591"/>
      <c r="E117" s="711"/>
      <c r="F117" s="710"/>
      <c r="G117" s="711"/>
      <c r="H117" s="710"/>
      <c r="I117" s="720"/>
      <c r="J117" s="14" t="s">
        <v>784</v>
      </c>
      <c r="K117" s="14" t="s">
        <v>785</v>
      </c>
      <c r="L117" s="14" t="s">
        <v>189</v>
      </c>
      <c r="M117" s="92">
        <v>250</v>
      </c>
      <c r="N117" s="92">
        <v>0</v>
      </c>
      <c r="O117" s="92">
        <v>0</v>
      </c>
      <c r="P117" s="92">
        <v>0</v>
      </c>
      <c r="Q117" s="92">
        <v>480</v>
      </c>
      <c r="R117" s="297">
        <f t="shared" si="1"/>
        <v>735000</v>
      </c>
      <c r="S117" s="298">
        <v>0</v>
      </c>
      <c r="T117" s="298">
        <v>100000</v>
      </c>
      <c r="U117" s="298">
        <v>300000</v>
      </c>
      <c r="V117" s="298">
        <v>335000</v>
      </c>
      <c r="W117" s="591"/>
    </row>
    <row r="118" spans="1:23" ht="51">
      <c r="A118" s="592"/>
      <c r="B118" s="602"/>
      <c r="C118" s="591"/>
      <c r="D118" s="591"/>
      <c r="E118" s="711"/>
      <c r="F118" s="710"/>
      <c r="G118" s="711"/>
      <c r="H118" s="710"/>
      <c r="I118" s="720"/>
      <c r="J118" s="14" t="s">
        <v>807</v>
      </c>
      <c r="K118" s="14" t="s">
        <v>785</v>
      </c>
      <c r="L118" s="14" t="s">
        <v>189</v>
      </c>
      <c r="M118" s="92">
        <v>1500</v>
      </c>
      <c r="N118" s="92">
        <v>0</v>
      </c>
      <c r="O118" s="92">
        <v>0</v>
      </c>
      <c r="P118" s="92">
        <v>0</v>
      </c>
      <c r="Q118" s="92">
        <v>1800</v>
      </c>
      <c r="R118" s="297">
        <f t="shared" si="1"/>
        <v>1100000</v>
      </c>
      <c r="S118" s="298">
        <v>0</v>
      </c>
      <c r="T118" s="298">
        <v>200000</v>
      </c>
      <c r="U118" s="298">
        <v>450000</v>
      </c>
      <c r="V118" s="298">
        <v>450000</v>
      </c>
      <c r="W118" s="591"/>
    </row>
    <row r="119" spans="1:23" ht="24" customHeight="1">
      <c r="A119" s="592"/>
      <c r="B119" s="602"/>
      <c r="C119" s="591"/>
      <c r="D119" s="591"/>
      <c r="E119" s="711"/>
      <c r="F119" s="710"/>
      <c r="G119" s="711"/>
      <c r="H119" s="710"/>
      <c r="I119" s="720"/>
      <c r="J119" s="14" t="s">
        <v>786</v>
      </c>
      <c r="K119" s="14" t="s">
        <v>787</v>
      </c>
      <c r="L119" s="14" t="s">
        <v>189</v>
      </c>
      <c r="M119" s="92">
        <v>0</v>
      </c>
      <c r="N119" s="92">
        <v>0</v>
      </c>
      <c r="O119" s="92">
        <v>10</v>
      </c>
      <c r="P119" s="92">
        <v>20</v>
      </c>
      <c r="Q119" s="92">
        <v>20</v>
      </c>
      <c r="R119" s="297">
        <f t="shared" si="1"/>
        <v>80000</v>
      </c>
      <c r="S119" s="298">
        <v>0</v>
      </c>
      <c r="T119" s="298">
        <v>40000</v>
      </c>
      <c r="U119" s="298">
        <v>40000</v>
      </c>
      <c r="V119" s="298">
        <v>0</v>
      </c>
      <c r="W119" s="591"/>
    </row>
    <row r="120" spans="1:23" ht="25.5">
      <c r="A120" s="592"/>
      <c r="B120" s="602"/>
      <c r="C120" s="591"/>
      <c r="D120" s="591"/>
      <c r="E120" s="711"/>
      <c r="F120" s="710"/>
      <c r="G120" s="711"/>
      <c r="H120" s="710"/>
      <c r="I120" s="720"/>
      <c r="J120" s="14" t="s">
        <v>788</v>
      </c>
      <c r="K120" s="14" t="s">
        <v>789</v>
      </c>
      <c r="L120" s="14" t="s">
        <v>189</v>
      </c>
      <c r="M120" s="92">
        <v>0</v>
      </c>
      <c r="N120" s="92">
        <v>20</v>
      </c>
      <c r="O120" s="92">
        <v>40</v>
      </c>
      <c r="P120" s="92">
        <v>60</v>
      </c>
      <c r="Q120" s="92">
        <v>60</v>
      </c>
      <c r="R120" s="297">
        <f t="shared" si="1"/>
        <v>150000</v>
      </c>
      <c r="S120" s="298">
        <v>50000</v>
      </c>
      <c r="T120" s="298">
        <v>50000</v>
      </c>
      <c r="U120" s="298">
        <v>50000</v>
      </c>
      <c r="V120" s="298">
        <v>0</v>
      </c>
      <c r="W120" s="591"/>
    </row>
    <row r="121" spans="1:23" ht="38.25">
      <c r="A121" s="592"/>
      <c r="B121" s="602"/>
      <c r="C121" s="591"/>
      <c r="D121" s="591"/>
      <c r="E121" s="711"/>
      <c r="F121" s="710"/>
      <c r="G121" s="711"/>
      <c r="H121" s="710"/>
      <c r="I121" s="720"/>
      <c r="J121" s="14" t="s">
        <v>790</v>
      </c>
      <c r="K121" s="14" t="s">
        <v>791</v>
      </c>
      <c r="L121" s="14" t="s">
        <v>189</v>
      </c>
      <c r="M121" s="9">
        <v>0.3</v>
      </c>
      <c r="N121" s="92">
        <v>10</v>
      </c>
      <c r="O121" s="92">
        <v>40</v>
      </c>
      <c r="P121" s="92">
        <v>90</v>
      </c>
      <c r="Q121" s="92">
        <v>100</v>
      </c>
      <c r="R121" s="297">
        <f t="shared" si="1"/>
        <v>780000</v>
      </c>
      <c r="S121" s="298">
        <v>80000</v>
      </c>
      <c r="T121" s="298">
        <v>200000</v>
      </c>
      <c r="U121" s="298">
        <v>200000</v>
      </c>
      <c r="V121" s="298">
        <v>300000</v>
      </c>
      <c r="W121" s="591"/>
    </row>
    <row r="122" spans="1:23" ht="25.5">
      <c r="A122" s="592"/>
      <c r="B122" s="602"/>
      <c r="C122" s="591" t="s">
        <v>792</v>
      </c>
      <c r="D122" s="591" t="s">
        <v>793</v>
      </c>
      <c r="E122" s="710" t="s">
        <v>794</v>
      </c>
      <c r="F122" s="602" t="s">
        <v>794</v>
      </c>
      <c r="G122" s="602" t="s">
        <v>794</v>
      </c>
      <c r="H122" s="602" t="s">
        <v>794</v>
      </c>
      <c r="I122" s="719" t="s">
        <v>794</v>
      </c>
      <c r="J122" s="14" t="s">
        <v>795</v>
      </c>
      <c r="K122" s="14" t="s">
        <v>796</v>
      </c>
      <c r="L122" s="14" t="s">
        <v>189</v>
      </c>
      <c r="M122" s="92">
        <v>0</v>
      </c>
      <c r="N122" s="92">
        <v>0</v>
      </c>
      <c r="O122" s="92">
        <v>3</v>
      </c>
      <c r="P122" s="92">
        <v>7</v>
      </c>
      <c r="Q122" s="92">
        <v>10</v>
      </c>
      <c r="R122" s="297">
        <f t="shared" si="1"/>
        <v>1500000</v>
      </c>
      <c r="S122" s="298">
        <v>0</v>
      </c>
      <c r="T122" s="298">
        <v>500000</v>
      </c>
      <c r="U122" s="298">
        <v>500000</v>
      </c>
      <c r="V122" s="298">
        <v>500000</v>
      </c>
      <c r="W122" s="591"/>
    </row>
    <row r="123" spans="1:23" ht="51">
      <c r="A123" s="592"/>
      <c r="B123" s="602"/>
      <c r="C123" s="591"/>
      <c r="D123" s="591"/>
      <c r="E123" s="710"/>
      <c r="F123" s="602"/>
      <c r="G123" s="602"/>
      <c r="H123" s="602"/>
      <c r="I123" s="719"/>
      <c r="J123" s="14" t="s">
        <v>797</v>
      </c>
      <c r="K123" s="14" t="s">
        <v>798</v>
      </c>
      <c r="L123" s="14" t="s">
        <v>189</v>
      </c>
      <c r="M123" s="92">
        <v>16</v>
      </c>
      <c r="N123" s="92">
        <v>15</v>
      </c>
      <c r="O123" s="92">
        <v>14</v>
      </c>
      <c r="P123" s="92">
        <v>13</v>
      </c>
      <c r="Q123" s="92">
        <v>12</v>
      </c>
      <c r="R123" s="297">
        <f t="shared" si="1"/>
        <v>150000</v>
      </c>
      <c r="S123" s="298">
        <v>0</v>
      </c>
      <c r="T123" s="298">
        <v>50000</v>
      </c>
      <c r="U123" s="298">
        <v>50000</v>
      </c>
      <c r="V123" s="298">
        <v>50000</v>
      </c>
      <c r="W123" s="591"/>
    </row>
    <row r="124" spans="1:23" ht="25.5">
      <c r="A124" s="592"/>
      <c r="B124" s="602"/>
      <c r="C124" s="591"/>
      <c r="D124" s="591"/>
      <c r="E124" s="710"/>
      <c r="F124" s="602"/>
      <c r="G124" s="602"/>
      <c r="H124" s="602"/>
      <c r="I124" s="719"/>
      <c r="J124" s="14" t="s">
        <v>808</v>
      </c>
      <c r="K124" s="14" t="s">
        <v>799</v>
      </c>
      <c r="L124" s="14" t="s">
        <v>189</v>
      </c>
      <c r="M124" s="92">
        <v>63</v>
      </c>
      <c r="N124" s="92">
        <v>0</v>
      </c>
      <c r="O124" s="92">
        <v>65</v>
      </c>
      <c r="P124" s="92">
        <v>70</v>
      </c>
      <c r="Q124" s="92">
        <v>70</v>
      </c>
      <c r="R124" s="297">
        <f t="shared" si="1"/>
        <v>140000</v>
      </c>
      <c r="S124" s="298">
        <v>35000</v>
      </c>
      <c r="T124" s="298">
        <v>35000</v>
      </c>
      <c r="U124" s="298">
        <v>35000</v>
      </c>
      <c r="V124" s="298">
        <v>35000</v>
      </c>
      <c r="W124" s="591"/>
    </row>
    <row r="125" spans="1:23" ht="51">
      <c r="A125" s="592"/>
      <c r="B125" s="602"/>
      <c r="C125" s="591"/>
      <c r="D125" s="591"/>
      <c r="E125" s="710"/>
      <c r="F125" s="602"/>
      <c r="G125" s="602"/>
      <c r="H125" s="602"/>
      <c r="I125" s="719"/>
      <c r="J125" s="14" t="s">
        <v>800</v>
      </c>
      <c r="K125" s="14" t="s">
        <v>801</v>
      </c>
      <c r="L125" s="14" t="s">
        <v>189</v>
      </c>
      <c r="M125" s="92">
        <v>30</v>
      </c>
      <c r="N125" s="92">
        <v>40</v>
      </c>
      <c r="O125" s="92">
        <v>60</v>
      </c>
      <c r="P125" s="92">
        <v>75</v>
      </c>
      <c r="Q125" s="92">
        <v>80</v>
      </c>
      <c r="R125" s="297">
        <f t="shared" si="1"/>
        <v>150000</v>
      </c>
      <c r="S125" s="298" t="s">
        <v>802</v>
      </c>
      <c r="T125" s="298">
        <v>50000</v>
      </c>
      <c r="U125" s="298">
        <v>50000</v>
      </c>
      <c r="V125" s="298">
        <v>50000</v>
      </c>
      <c r="W125" s="591"/>
    </row>
    <row r="126" spans="1:23" ht="38.25">
      <c r="A126" s="592" t="s">
        <v>420</v>
      </c>
      <c r="B126" s="602">
        <v>4</v>
      </c>
      <c r="C126" s="14" t="s">
        <v>812</v>
      </c>
      <c r="D126" s="14" t="s">
        <v>813</v>
      </c>
      <c r="E126" s="9">
        <v>0.87</v>
      </c>
      <c r="F126" s="9">
        <v>0.89</v>
      </c>
      <c r="G126" s="9">
        <v>0.9</v>
      </c>
      <c r="H126" s="9">
        <v>0.93</v>
      </c>
      <c r="I126" s="330">
        <v>0.95</v>
      </c>
      <c r="J126" s="14" t="s">
        <v>814</v>
      </c>
      <c r="K126" s="14" t="s">
        <v>815</v>
      </c>
      <c r="L126" s="14" t="s">
        <v>189</v>
      </c>
      <c r="M126" s="92">
        <v>109795</v>
      </c>
      <c r="N126" s="92">
        <v>111795</v>
      </c>
      <c r="O126" s="92">
        <v>113795</v>
      </c>
      <c r="P126" s="92">
        <v>115795</v>
      </c>
      <c r="Q126" s="92">
        <v>117795</v>
      </c>
      <c r="R126" s="297">
        <f t="shared" si="1"/>
        <v>2000000</v>
      </c>
      <c r="S126" s="298">
        <v>500000</v>
      </c>
      <c r="T126" s="298">
        <v>500000</v>
      </c>
      <c r="U126" s="298">
        <v>500000</v>
      </c>
      <c r="V126" s="298">
        <v>500000</v>
      </c>
      <c r="W126" s="591" t="s">
        <v>2296</v>
      </c>
    </row>
    <row r="127" spans="1:23" ht="34.5" customHeight="1">
      <c r="A127" s="592"/>
      <c r="B127" s="602"/>
      <c r="C127" s="549" t="s">
        <v>1758</v>
      </c>
      <c r="D127" s="549" t="s">
        <v>816</v>
      </c>
      <c r="E127" s="710" t="s">
        <v>2978</v>
      </c>
      <c r="F127" s="710">
        <v>0.02</v>
      </c>
      <c r="G127" s="710">
        <v>0.05</v>
      </c>
      <c r="H127" s="710">
        <v>0.08</v>
      </c>
      <c r="I127" s="719">
        <v>0.1</v>
      </c>
      <c r="J127" s="14" t="s">
        <v>1752</v>
      </c>
      <c r="K127" s="14" t="s">
        <v>1753</v>
      </c>
      <c r="L127" s="14" t="s">
        <v>189</v>
      </c>
      <c r="M127" s="92">
        <v>0</v>
      </c>
      <c r="N127" s="92">
        <v>0</v>
      </c>
      <c r="O127" s="92">
        <v>0</v>
      </c>
      <c r="P127" s="92">
        <v>0</v>
      </c>
      <c r="Q127" s="92">
        <v>1</v>
      </c>
      <c r="R127" s="297">
        <f t="shared" si="1"/>
        <v>2250000</v>
      </c>
      <c r="S127" s="298">
        <v>0</v>
      </c>
      <c r="T127" s="298">
        <v>250000</v>
      </c>
      <c r="U127" s="298">
        <v>1000000</v>
      </c>
      <c r="V127" s="298">
        <v>1000000</v>
      </c>
      <c r="W127" s="591"/>
    </row>
    <row r="128" spans="1:23" ht="32.25" customHeight="1">
      <c r="A128" s="592"/>
      <c r="B128" s="602"/>
      <c r="C128" s="549"/>
      <c r="D128" s="549"/>
      <c r="E128" s="710"/>
      <c r="F128" s="710"/>
      <c r="G128" s="710"/>
      <c r="H128" s="710"/>
      <c r="I128" s="719"/>
      <c r="J128" s="14" t="s">
        <v>1754</v>
      </c>
      <c r="K128" s="14" t="s">
        <v>1755</v>
      </c>
      <c r="L128" s="14" t="s">
        <v>19</v>
      </c>
      <c r="M128" s="92">
        <v>0</v>
      </c>
      <c r="N128" s="92">
        <v>5</v>
      </c>
      <c r="O128" s="92">
        <v>15</v>
      </c>
      <c r="P128" s="92">
        <v>25</v>
      </c>
      <c r="Q128" s="92">
        <v>40</v>
      </c>
      <c r="R128" s="297">
        <f t="shared" si="1"/>
        <v>1398100</v>
      </c>
      <c r="S128" s="298">
        <v>200000</v>
      </c>
      <c r="T128" s="298">
        <v>398100</v>
      </c>
      <c r="U128" s="298">
        <v>400000</v>
      </c>
      <c r="V128" s="298">
        <v>400000</v>
      </c>
      <c r="W128" s="591"/>
    </row>
    <row r="129" spans="1:23" ht="25.5">
      <c r="A129" s="592"/>
      <c r="B129" s="602"/>
      <c r="C129" s="14" t="s">
        <v>1756</v>
      </c>
      <c r="D129" s="14" t="s">
        <v>1757</v>
      </c>
      <c r="E129" s="98">
        <v>0</v>
      </c>
      <c r="F129" s="98">
        <v>1</v>
      </c>
      <c r="G129" s="98">
        <v>1</v>
      </c>
      <c r="H129" s="98">
        <v>1</v>
      </c>
      <c r="I129" s="98">
        <v>1</v>
      </c>
      <c r="J129" s="14" t="s">
        <v>1756</v>
      </c>
      <c r="K129" s="14" t="s">
        <v>1757</v>
      </c>
      <c r="L129" s="14" t="s">
        <v>189</v>
      </c>
      <c r="M129" s="92">
        <v>0</v>
      </c>
      <c r="N129" s="92">
        <v>0</v>
      </c>
      <c r="O129" s="92">
        <v>0</v>
      </c>
      <c r="P129" s="92">
        <v>1</v>
      </c>
      <c r="Q129" s="92">
        <v>1</v>
      </c>
      <c r="R129" s="297">
        <f t="shared" si="1"/>
        <v>1000000</v>
      </c>
      <c r="S129" s="298">
        <v>0</v>
      </c>
      <c r="T129" s="298">
        <v>0</v>
      </c>
      <c r="U129" s="298">
        <v>1000000</v>
      </c>
      <c r="V129" s="298">
        <v>0</v>
      </c>
      <c r="W129" s="591"/>
    </row>
    <row r="130" spans="1:23" ht="38.25" customHeight="1">
      <c r="A130" s="592"/>
      <c r="B130" s="602"/>
      <c r="C130" s="14" t="s">
        <v>809</v>
      </c>
      <c r="D130" s="14" t="s">
        <v>810</v>
      </c>
      <c r="E130" s="98">
        <v>0</v>
      </c>
      <c r="F130" s="98">
        <v>0</v>
      </c>
      <c r="G130" s="98">
        <v>200</v>
      </c>
      <c r="H130" s="98">
        <v>400</v>
      </c>
      <c r="I130" s="98">
        <v>560</v>
      </c>
      <c r="J130" s="14" t="s">
        <v>811</v>
      </c>
      <c r="K130" s="14" t="s">
        <v>810</v>
      </c>
      <c r="L130" s="14" t="s">
        <v>189</v>
      </c>
      <c r="M130" s="92">
        <v>0</v>
      </c>
      <c r="N130" s="92">
        <v>0</v>
      </c>
      <c r="O130" s="92">
        <v>200</v>
      </c>
      <c r="P130" s="92">
        <v>400</v>
      </c>
      <c r="Q130" s="92">
        <v>560</v>
      </c>
      <c r="R130" s="297">
        <f t="shared" si="1"/>
        <v>3200000</v>
      </c>
      <c r="S130" s="298">
        <v>200000</v>
      </c>
      <c r="T130" s="298">
        <v>1000000</v>
      </c>
      <c r="U130" s="298">
        <v>1000000</v>
      </c>
      <c r="V130" s="298">
        <v>1000000</v>
      </c>
      <c r="W130" s="591"/>
    </row>
    <row r="131" spans="1:23" ht="63.75">
      <c r="A131" s="722" t="s">
        <v>421</v>
      </c>
      <c r="B131" s="602">
        <v>2.5</v>
      </c>
      <c r="C131" s="723" t="s">
        <v>1759</v>
      </c>
      <c r="D131" s="723" t="s">
        <v>1760</v>
      </c>
      <c r="E131" s="602">
        <v>180</v>
      </c>
      <c r="F131" s="602">
        <v>0</v>
      </c>
      <c r="G131" s="602">
        <v>50</v>
      </c>
      <c r="H131" s="602">
        <v>100</v>
      </c>
      <c r="I131" s="718">
        <v>200</v>
      </c>
      <c r="J131" s="103" t="s">
        <v>1761</v>
      </c>
      <c r="K131" s="103" t="s">
        <v>1762</v>
      </c>
      <c r="L131" s="103" t="s">
        <v>189</v>
      </c>
      <c r="M131" s="92">
        <v>0</v>
      </c>
      <c r="N131" s="92">
        <v>2</v>
      </c>
      <c r="O131" s="92">
        <v>3</v>
      </c>
      <c r="P131" s="92">
        <v>3</v>
      </c>
      <c r="Q131" s="92">
        <v>3</v>
      </c>
      <c r="R131" s="297">
        <f t="shared" si="1"/>
        <v>94000</v>
      </c>
      <c r="S131" s="298">
        <v>64000</v>
      </c>
      <c r="T131" s="298">
        <v>30000</v>
      </c>
      <c r="U131" s="298">
        <v>0</v>
      </c>
      <c r="V131" s="298">
        <v>0</v>
      </c>
      <c r="W131" s="591" t="s">
        <v>359</v>
      </c>
    </row>
    <row r="132" spans="1:23" ht="25.5">
      <c r="A132" s="722"/>
      <c r="B132" s="602"/>
      <c r="C132" s="723"/>
      <c r="D132" s="723"/>
      <c r="E132" s="602"/>
      <c r="F132" s="602"/>
      <c r="G132" s="602"/>
      <c r="H132" s="602"/>
      <c r="I132" s="718"/>
      <c r="J132" s="103" t="s">
        <v>1763</v>
      </c>
      <c r="K132" s="103" t="s">
        <v>1764</v>
      </c>
      <c r="L132" s="103" t="s">
        <v>189</v>
      </c>
      <c r="M132" s="92">
        <v>0</v>
      </c>
      <c r="N132" s="92">
        <v>0</v>
      </c>
      <c r="O132" s="92">
        <v>0</v>
      </c>
      <c r="P132" s="92">
        <v>0</v>
      </c>
      <c r="Q132" s="92">
        <v>1</v>
      </c>
      <c r="R132" s="297">
        <f t="shared" si="1"/>
        <v>400000</v>
      </c>
      <c r="S132" s="298">
        <v>0</v>
      </c>
      <c r="T132" s="298">
        <v>0</v>
      </c>
      <c r="U132" s="298">
        <v>0</v>
      </c>
      <c r="V132" s="298">
        <v>400000</v>
      </c>
      <c r="W132" s="591"/>
    </row>
    <row r="133" spans="1:23" ht="76.5">
      <c r="A133" s="722"/>
      <c r="B133" s="602"/>
      <c r="C133" s="103" t="s">
        <v>1765</v>
      </c>
      <c r="D133" s="103" t="s">
        <v>1766</v>
      </c>
      <c r="E133" s="101">
        <v>4</v>
      </c>
      <c r="F133" s="101">
        <v>8</v>
      </c>
      <c r="G133" s="101">
        <v>12</v>
      </c>
      <c r="H133" s="101">
        <v>14</v>
      </c>
      <c r="I133" s="102">
        <v>16</v>
      </c>
      <c r="J133" s="103" t="s">
        <v>1765</v>
      </c>
      <c r="K133" s="103" t="s">
        <v>1766</v>
      </c>
      <c r="L133" s="103" t="s">
        <v>189</v>
      </c>
      <c r="M133" s="92">
        <v>4</v>
      </c>
      <c r="N133" s="92">
        <v>8</v>
      </c>
      <c r="O133" s="92">
        <v>12</v>
      </c>
      <c r="P133" s="92">
        <v>16</v>
      </c>
      <c r="Q133" s="92">
        <v>16</v>
      </c>
      <c r="R133" s="297">
        <f t="shared" si="1"/>
        <v>3406870</v>
      </c>
      <c r="S133" s="298">
        <v>1047038</v>
      </c>
      <c r="T133" s="298">
        <v>250438</v>
      </c>
      <c r="U133" s="298">
        <v>1033638</v>
      </c>
      <c r="V133" s="298">
        <v>1075756</v>
      </c>
      <c r="W133" s="591"/>
    </row>
    <row r="134" spans="1:23" ht="51">
      <c r="A134" s="722"/>
      <c r="B134" s="602"/>
      <c r="C134" s="103" t="s">
        <v>1768</v>
      </c>
      <c r="D134" s="103" t="s">
        <v>1769</v>
      </c>
      <c r="E134" s="101">
        <v>30</v>
      </c>
      <c r="F134" s="101">
        <v>5</v>
      </c>
      <c r="G134" s="101">
        <v>10</v>
      </c>
      <c r="H134" s="101">
        <v>15</v>
      </c>
      <c r="I134" s="102">
        <v>20</v>
      </c>
      <c r="J134" s="103" t="s">
        <v>1768</v>
      </c>
      <c r="K134" s="103" t="s">
        <v>1769</v>
      </c>
      <c r="L134" s="103" t="s">
        <v>189</v>
      </c>
      <c r="M134" s="92">
        <v>30</v>
      </c>
      <c r="N134" s="92">
        <v>5</v>
      </c>
      <c r="O134" s="92">
        <v>10</v>
      </c>
      <c r="P134" s="92">
        <v>15</v>
      </c>
      <c r="Q134" s="92">
        <v>20</v>
      </c>
      <c r="R134" s="297">
        <f t="shared" si="1"/>
        <v>1011848</v>
      </c>
      <c r="S134" s="298">
        <v>222962</v>
      </c>
      <c r="T134" s="298">
        <f>(400000*5%)+S134</f>
        <v>242962</v>
      </c>
      <c r="U134" s="298">
        <f>(400000*5%)+T134</f>
        <v>262962</v>
      </c>
      <c r="V134" s="298">
        <f>(400000*5%)+U134</f>
        <v>282962</v>
      </c>
      <c r="W134" s="591"/>
    </row>
    <row r="135" spans="1:23" ht="38.25">
      <c r="A135" s="722"/>
      <c r="B135" s="602"/>
      <c r="C135" s="103" t="s">
        <v>1767</v>
      </c>
      <c r="D135" s="103" t="s">
        <v>1651</v>
      </c>
      <c r="E135" s="101">
        <v>0</v>
      </c>
      <c r="F135" s="101">
        <v>0</v>
      </c>
      <c r="G135" s="101">
        <v>1</v>
      </c>
      <c r="H135" s="101">
        <v>1</v>
      </c>
      <c r="I135" s="102">
        <v>1</v>
      </c>
      <c r="J135" s="103" t="s">
        <v>1767</v>
      </c>
      <c r="K135" s="103" t="s">
        <v>1651</v>
      </c>
      <c r="L135" s="103" t="s">
        <v>189</v>
      </c>
      <c r="M135" s="92">
        <v>0</v>
      </c>
      <c r="N135" s="92">
        <v>0</v>
      </c>
      <c r="O135" s="92">
        <v>1</v>
      </c>
      <c r="P135" s="92">
        <v>1</v>
      </c>
      <c r="Q135" s="92">
        <v>1</v>
      </c>
      <c r="R135" s="297">
        <f t="shared" si="1"/>
        <v>30000</v>
      </c>
      <c r="S135" s="298">
        <v>0</v>
      </c>
      <c r="T135" s="298">
        <v>30000</v>
      </c>
      <c r="U135" s="298">
        <v>0</v>
      </c>
      <c r="V135" s="298">
        <v>0</v>
      </c>
      <c r="W135" s="591"/>
    </row>
    <row r="136" spans="1:23" ht="38.25">
      <c r="A136" s="722" t="s">
        <v>422</v>
      </c>
      <c r="B136" s="602">
        <v>2.5</v>
      </c>
      <c r="C136" s="723" t="s">
        <v>1770</v>
      </c>
      <c r="D136" s="723" t="s">
        <v>1771</v>
      </c>
      <c r="E136" s="602">
        <v>1</v>
      </c>
      <c r="F136" s="602">
        <v>0</v>
      </c>
      <c r="G136" s="602">
        <v>1</v>
      </c>
      <c r="H136" s="602">
        <v>1</v>
      </c>
      <c r="I136" s="718">
        <v>1</v>
      </c>
      <c r="J136" s="103" t="s">
        <v>1772</v>
      </c>
      <c r="K136" s="103" t="s">
        <v>1773</v>
      </c>
      <c r="L136" s="103" t="s">
        <v>189</v>
      </c>
      <c r="M136" s="92">
        <v>3</v>
      </c>
      <c r="N136" s="92">
        <v>0</v>
      </c>
      <c r="O136" s="92">
        <v>1</v>
      </c>
      <c r="P136" s="92">
        <v>2</v>
      </c>
      <c r="Q136" s="92">
        <v>2</v>
      </c>
      <c r="R136" s="297">
        <f t="shared" si="1"/>
        <v>2500000</v>
      </c>
      <c r="S136" s="298">
        <v>0</v>
      </c>
      <c r="T136" s="298">
        <v>1250000</v>
      </c>
      <c r="U136" s="298">
        <f>+T136</f>
        <v>1250000</v>
      </c>
      <c r="V136" s="298">
        <v>0</v>
      </c>
      <c r="W136" s="591" t="s">
        <v>359</v>
      </c>
    </row>
    <row r="137" spans="1:23" ht="38.25">
      <c r="A137" s="722"/>
      <c r="B137" s="602"/>
      <c r="C137" s="723"/>
      <c r="D137" s="723"/>
      <c r="E137" s="602"/>
      <c r="F137" s="602"/>
      <c r="G137" s="602"/>
      <c r="H137" s="602"/>
      <c r="I137" s="718"/>
      <c r="J137" s="103" t="s">
        <v>1774</v>
      </c>
      <c r="K137" s="103" t="s">
        <v>1775</v>
      </c>
      <c r="L137" s="103" t="s">
        <v>189</v>
      </c>
      <c r="M137" s="92">
        <v>12</v>
      </c>
      <c r="N137" s="92">
        <v>3</v>
      </c>
      <c r="O137" s="92">
        <v>6</v>
      </c>
      <c r="P137" s="92">
        <v>9</v>
      </c>
      <c r="Q137" s="92">
        <v>12</v>
      </c>
      <c r="R137" s="297">
        <f aca="true" t="shared" si="2" ref="R137:R154">SUM(S137:V137)</f>
        <v>820000</v>
      </c>
      <c r="S137" s="298">
        <v>190000</v>
      </c>
      <c r="T137" s="298">
        <f>(200000*5%)+S137</f>
        <v>200000</v>
      </c>
      <c r="U137" s="298">
        <f>(200000*5%)+T137</f>
        <v>210000</v>
      </c>
      <c r="V137" s="298">
        <f>(200000*5%)+U137</f>
        <v>220000</v>
      </c>
      <c r="W137" s="591"/>
    </row>
    <row r="138" spans="1:23" ht="25.5">
      <c r="A138" s="722"/>
      <c r="B138" s="602"/>
      <c r="C138" s="723"/>
      <c r="D138" s="723"/>
      <c r="E138" s="602"/>
      <c r="F138" s="602"/>
      <c r="G138" s="602"/>
      <c r="H138" s="602"/>
      <c r="I138" s="718"/>
      <c r="J138" s="103" t="s">
        <v>1776</v>
      </c>
      <c r="K138" s="103" t="s">
        <v>1777</v>
      </c>
      <c r="L138" s="103" t="s">
        <v>189</v>
      </c>
      <c r="M138" s="92">
        <v>0</v>
      </c>
      <c r="N138" s="92">
        <v>1</v>
      </c>
      <c r="O138" s="92">
        <v>3</v>
      </c>
      <c r="P138" s="92">
        <v>5</v>
      </c>
      <c r="Q138" s="92">
        <v>6</v>
      </c>
      <c r="R138" s="297">
        <f t="shared" si="2"/>
        <v>107500</v>
      </c>
      <c r="S138" s="298">
        <v>25000</v>
      </c>
      <c r="T138" s="298">
        <f>(25000*5%)+S138</f>
        <v>26250</v>
      </c>
      <c r="U138" s="298">
        <f>(25000*5%)+T138</f>
        <v>27500</v>
      </c>
      <c r="V138" s="298">
        <f>(25000*5%)+U138</f>
        <v>28750</v>
      </c>
      <c r="W138" s="591"/>
    </row>
    <row r="139" spans="1:23" ht="25.5">
      <c r="A139" s="722"/>
      <c r="B139" s="602"/>
      <c r="C139" s="723"/>
      <c r="D139" s="723"/>
      <c r="E139" s="602"/>
      <c r="F139" s="602"/>
      <c r="G139" s="602"/>
      <c r="H139" s="602"/>
      <c r="I139" s="718"/>
      <c r="J139" s="103" t="s">
        <v>1778</v>
      </c>
      <c r="K139" s="103" t="s">
        <v>1779</v>
      </c>
      <c r="L139" s="103" t="s">
        <v>189</v>
      </c>
      <c r="M139" s="92">
        <v>0</v>
      </c>
      <c r="N139" s="92">
        <v>200</v>
      </c>
      <c r="O139" s="92">
        <v>250</v>
      </c>
      <c r="P139" s="92">
        <v>0</v>
      </c>
      <c r="Q139" s="92">
        <v>0</v>
      </c>
      <c r="R139" s="297">
        <f t="shared" si="2"/>
        <v>690850</v>
      </c>
      <c r="S139" s="298">
        <v>337000</v>
      </c>
      <c r="T139" s="298">
        <f>(337000*5%)+S139</f>
        <v>353850</v>
      </c>
      <c r="U139" s="298">
        <v>0</v>
      </c>
      <c r="V139" s="298">
        <v>0</v>
      </c>
      <c r="W139" s="591"/>
    </row>
    <row r="140" spans="1:23" ht="25.5">
      <c r="A140" s="722"/>
      <c r="B140" s="602"/>
      <c r="C140" s="723"/>
      <c r="D140" s="723"/>
      <c r="E140" s="602"/>
      <c r="F140" s="602"/>
      <c r="G140" s="602"/>
      <c r="H140" s="602"/>
      <c r="I140" s="718"/>
      <c r="J140" s="103" t="s">
        <v>1780</v>
      </c>
      <c r="K140" s="103" t="s">
        <v>1781</v>
      </c>
      <c r="L140" s="103" t="s">
        <v>189</v>
      </c>
      <c r="M140" s="92">
        <v>0</v>
      </c>
      <c r="N140" s="92">
        <v>0</v>
      </c>
      <c r="O140" s="92">
        <v>10</v>
      </c>
      <c r="P140" s="92">
        <v>25</v>
      </c>
      <c r="Q140" s="92">
        <v>0</v>
      </c>
      <c r="R140" s="297">
        <f t="shared" si="2"/>
        <v>61500</v>
      </c>
      <c r="S140" s="298">
        <v>0</v>
      </c>
      <c r="T140" s="298">
        <v>30000</v>
      </c>
      <c r="U140" s="298">
        <f>(30000*5%)+T140</f>
        <v>31500</v>
      </c>
      <c r="V140" s="298">
        <v>0</v>
      </c>
      <c r="W140" s="591"/>
    </row>
    <row r="141" spans="1:23" ht="38.25">
      <c r="A141" s="722"/>
      <c r="B141" s="602"/>
      <c r="C141" s="723"/>
      <c r="D141" s="723"/>
      <c r="E141" s="602"/>
      <c r="F141" s="602"/>
      <c r="G141" s="602"/>
      <c r="H141" s="602"/>
      <c r="I141" s="718"/>
      <c r="J141" s="103" t="s">
        <v>1782</v>
      </c>
      <c r="K141" s="103" t="s">
        <v>1783</v>
      </c>
      <c r="L141" s="103" t="s">
        <v>189</v>
      </c>
      <c r="M141" s="92">
        <v>200</v>
      </c>
      <c r="N141" s="92">
        <v>0</v>
      </c>
      <c r="O141" s="92">
        <v>100</v>
      </c>
      <c r="P141" s="92">
        <v>200</v>
      </c>
      <c r="Q141" s="92">
        <v>300</v>
      </c>
      <c r="R141" s="297">
        <f t="shared" si="2"/>
        <v>945750</v>
      </c>
      <c r="S141" s="298">
        <v>0</v>
      </c>
      <c r="T141" s="298">
        <v>300000</v>
      </c>
      <c r="U141" s="298">
        <f>(T141*5%)+T141</f>
        <v>315000</v>
      </c>
      <c r="V141" s="298">
        <f>(U141*5%)+U141</f>
        <v>330750</v>
      </c>
      <c r="W141" s="591"/>
    </row>
    <row r="142" spans="1:23" ht="63.75">
      <c r="A142" s="722"/>
      <c r="B142" s="602"/>
      <c r="C142" s="723"/>
      <c r="D142" s="723"/>
      <c r="E142" s="602"/>
      <c r="F142" s="602"/>
      <c r="G142" s="602"/>
      <c r="H142" s="602"/>
      <c r="I142" s="718"/>
      <c r="J142" s="103" t="s">
        <v>1784</v>
      </c>
      <c r="K142" s="103" t="s">
        <v>1785</v>
      </c>
      <c r="L142" s="103" t="s">
        <v>189</v>
      </c>
      <c r="M142" s="92">
        <v>0</v>
      </c>
      <c r="N142" s="92">
        <v>1</v>
      </c>
      <c r="O142" s="92">
        <v>2</v>
      </c>
      <c r="P142" s="92">
        <v>3</v>
      </c>
      <c r="Q142" s="92">
        <v>4</v>
      </c>
      <c r="R142" s="297">
        <f t="shared" si="2"/>
        <v>86000</v>
      </c>
      <c r="S142" s="298">
        <v>20000</v>
      </c>
      <c r="T142" s="298">
        <f>(20000*5%)+S142</f>
        <v>21000</v>
      </c>
      <c r="U142" s="298">
        <f>(20000*5%)+T142</f>
        <v>22000</v>
      </c>
      <c r="V142" s="298">
        <f>(20000*5%)+U142</f>
        <v>23000</v>
      </c>
      <c r="W142" s="591"/>
    </row>
    <row r="143" spans="1:23" ht="63" customHeight="1">
      <c r="A143" s="592" t="s">
        <v>423</v>
      </c>
      <c r="B143" s="650">
        <v>2</v>
      </c>
      <c r="C143" s="14" t="s">
        <v>1786</v>
      </c>
      <c r="D143" s="14" t="s">
        <v>1787</v>
      </c>
      <c r="E143" s="90">
        <v>0</v>
      </c>
      <c r="F143" s="90">
        <v>0</v>
      </c>
      <c r="G143" s="90">
        <v>300</v>
      </c>
      <c r="H143" s="90">
        <v>900</v>
      </c>
      <c r="I143" s="90">
        <v>2000</v>
      </c>
      <c r="J143" s="14" t="s">
        <v>1786</v>
      </c>
      <c r="K143" s="14" t="s">
        <v>1787</v>
      </c>
      <c r="L143" s="14" t="s">
        <v>189</v>
      </c>
      <c r="M143" s="90">
        <v>0</v>
      </c>
      <c r="N143" s="90">
        <v>0</v>
      </c>
      <c r="O143" s="90">
        <v>300</v>
      </c>
      <c r="P143" s="90">
        <v>900</v>
      </c>
      <c r="Q143" s="90">
        <v>2000</v>
      </c>
      <c r="R143" s="297">
        <f t="shared" si="2"/>
        <v>100000</v>
      </c>
      <c r="S143" s="362">
        <v>0</v>
      </c>
      <c r="T143" s="362">
        <v>100000</v>
      </c>
      <c r="U143" s="362">
        <v>0</v>
      </c>
      <c r="V143" s="362">
        <v>0</v>
      </c>
      <c r="W143" s="90" t="s">
        <v>2297</v>
      </c>
    </row>
    <row r="144" spans="1:23" ht="30.75" customHeight="1">
      <c r="A144" s="592"/>
      <c r="B144" s="650"/>
      <c r="C144" s="14" t="s">
        <v>1788</v>
      </c>
      <c r="D144" s="14" t="s">
        <v>1789</v>
      </c>
      <c r="E144" s="90">
        <v>0</v>
      </c>
      <c r="F144" s="90">
        <v>376</v>
      </c>
      <c r="G144" s="90">
        <v>476</v>
      </c>
      <c r="H144" s="90">
        <v>576</v>
      </c>
      <c r="I144" s="90">
        <v>600</v>
      </c>
      <c r="J144" s="14" t="s">
        <v>1788</v>
      </c>
      <c r="K144" s="14" t="s">
        <v>424</v>
      </c>
      <c r="L144" s="14" t="s">
        <v>189</v>
      </c>
      <c r="M144" s="90">
        <v>0</v>
      </c>
      <c r="N144" s="90">
        <v>376</v>
      </c>
      <c r="O144" s="90">
        <v>476</v>
      </c>
      <c r="P144" s="90">
        <v>576</v>
      </c>
      <c r="Q144" s="90">
        <v>600</v>
      </c>
      <c r="R144" s="297">
        <f t="shared" si="2"/>
        <v>122000</v>
      </c>
      <c r="S144" s="90">
        <v>0</v>
      </c>
      <c r="T144" s="362">
        <v>61000</v>
      </c>
      <c r="U144" s="362">
        <f>+T144</f>
        <v>61000</v>
      </c>
      <c r="V144" s="362">
        <v>0</v>
      </c>
      <c r="W144" s="90" t="s">
        <v>1056</v>
      </c>
    </row>
    <row r="145" spans="1:25" ht="102">
      <c r="A145" s="592"/>
      <c r="B145" s="650"/>
      <c r="C145" s="14" t="s">
        <v>1790</v>
      </c>
      <c r="D145" s="14" t="s">
        <v>1791</v>
      </c>
      <c r="E145" s="90">
        <v>0</v>
      </c>
      <c r="F145" s="90">
        <v>0</v>
      </c>
      <c r="G145" s="90">
        <v>1</v>
      </c>
      <c r="H145" s="90">
        <v>1</v>
      </c>
      <c r="I145" s="90">
        <v>1</v>
      </c>
      <c r="J145" s="14" t="s">
        <v>1790</v>
      </c>
      <c r="K145" s="14" t="s">
        <v>1791</v>
      </c>
      <c r="L145" s="14" t="s">
        <v>189</v>
      </c>
      <c r="M145" s="90">
        <v>0</v>
      </c>
      <c r="N145" s="90">
        <v>0</v>
      </c>
      <c r="O145" s="90">
        <v>1</v>
      </c>
      <c r="P145" s="90">
        <v>1</v>
      </c>
      <c r="Q145" s="90">
        <v>1</v>
      </c>
      <c r="R145" s="297">
        <f t="shared" si="2"/>
        <v>250000</v>
      </c>
      <c r="S145" s="362">
        <v>0</v>
      </c>
      <c r="T145" s="362">
        <v>250000</v>
      </c>
      <c r="U145" s="362">
        <v>0</v>
      </c>
      <c r="V145" s="362">
        <v>0</v>
      </c>
      <c r="W145" s="90" t="s">
        <v>425</v>
      </c>
      <c r="Y145" s="300"/>
    </row>
    <row r="146" spans="1:23" ht="48" customHeight="1">
      <c r="A146" s="592" t="s">
        <v>426</v>
      </c>
      <c r="B146" s="650">
        <v>1.5</v>
      </c>
      <c r="C146" s="14" t="s">
        <v>1792</v>
      </c>
      <c r="D146" s="14" t="s">
        <v>1793</v>
      </c>
      <c r="E146" s="3">
        <v>1</v>
      </c>
      <c r="F146" s="3">
        <v>0</v>
      </c>
      <c r="G146" s="3">
        <v>1</v>
      </c>
      <c r="H146" s="3">
        <v>1</v>
      </c>
      <c r="I146" s="3">
        <v>1</v>
      </c>
      <c r="J146" s="14" t="s">
        <v>1792</v>
      </c>
      <c r="K146" s="14" t="s">
        <v>1793</v>
      </c>
      <c r="L146" s="14" t="s">
        <v>189</v>
      </c>
      <c r="M146" s="3">
        <v>1</v>
      </c>
      <c r="N146" s="3">
        <v>0</v>
      </c>
      <c r="O146" s="3">
        <v>1</v>
      </c>
      <c r="P146" s="3">
        <v>0</v>
      </c>
      <c r="Q146" s="3">
        <v>0</v>
      </c>
      <c r="R146" s="297">
        <f t="shared" si="2"/>
        <v>21000</v>
      </c>
      <c r="S146" s="362">
        <v>0</v>
      </c>
      <c r="T146" s="298">
        <v>21000</v>
      </c>
      <c r="U146" s="298">
        <v>0</v>
      </c>
      <c r="V146" s="298">
        <v>0</v>
      </c>
      <c r="W146" s="549" t="s">
        <v>359</v>
      </c>
    </row>
    <row r="147" spans="1:23" ht="25.5">
      <c r="A147" s="592"/>
      <c r="B147" s="650"/>
      <c r="C147" s="549" t="s">
        <v>1794</v>
      </c>
      <c r="D147" s="14" t="s">
        <v>1795</v>
      </c>
      <c r="E147" s="3" t="s">
        <v>2591</v>
      </c>
      <c r="F147" s="3">
        <v>0</v>
      </c>
      <c r="G147" s="3">
        <v>1</v>
      </c>
      <c r="H147" s="3">
        <v>1</v>
      </c>
      <c r="I147" s="3">
        <v>1</v>
      </c>
      <c r="J147" s="14" t="s">
        <v>1796</v>
      </c>
      <c r="K147" s="14" t="s">
        <v>1651</v>
      </c>
      <c r="L147" s="14" t="s">
        <v>189</v>
      </c>
      <c r="M147" s="3" t="s">
        <v>2603</v>
      </c>
      <c r="N147" s="3">
        <v>0</v>
      </c>
      <c r="O147" s="3">
        <v>1</v>
      </c>
      <c r="P147" s="14">
        <v>1</v>
      </c>
      <c r="Q147" s="3">
        <v>1</v>
      </c>
      <c r="R147" s="297">
        <f t="shared" si="2"/>
        <v>30000</v>
      </c>
      <c r="S147" s="298">
        <v>0</v>
      </c>
      <c r="T147" s="298">
        <v>30000</v>
      </c>
      <c r="U147" s="298">
        <v>0</v>
      </c>
      <c r="V147" s="298">
        <v>0</v>
      </c>
      <c r="W147" s="549"/>
    </row>
    <row r="148" spans="1:23" ht="38.25">
      <c r="A148" s="592"/>
      <c r="B148" s="650"/>
      <c r="C148" s="549"/>
      <c r="D148" s="14" t="s">
        <v>1797</v>
      </c>
      <c r="E148" s="3" t="s">
        <v>2591</v>
      </c>
      <c r="F148" s="3">
        <v>0</v>
      </c>
      <c r="G148" s="3">
        <v>0</v>
      </c>
      <c r="H148" s="3">
        <v>0</v>
      </c>
      <c r="I148" s="3">
        <v>1</v>
      </c>
      <c r="J148" s="14" t="s">
        <v>1798</v>
      </c>
      <c r="K148" s="14" t="s">
        <v>1799</v>
      </c>
      <c r="L148" s="14" t="s">
        <v>189</v>
      </c>
      <c r="M148" s="3" t="s">
        <v>2603</v>
      </c>
      <c r="N148" s="3">
        <v>0</v>
      </c>
      <c r="O148" s="3">
        <v>0</v>
      </c>
      <c r="P148" s="3">
        <v>0</v>
      </c>
      <c r="Q148" s="3">
        <v>1</v>
      </c>
      <c r="R148" s="297">
        <f t="shared" si="2"/>
        <v>50000</v>
      </c>
      <c r="S148" s="298"/>
      <c r="T148" s="298"/>
      <c r="U148" s="298">
        <v>25000</v>
      </c>
      <c r="V148" s="298">
        <v>25000</v>
      </c>
      <c r="W148" s="549"/>
    </row>
    <row r="149" spans="1:23" ht="51">
      <c r="A149" s="592"/>
      <c r="B149" s="650"/>
      <c r="C149" s="549" t="s">
        <v>2867</v>
      </c>
      <c r="D149" s="549" t="s">
        <v>2868</v>
      </c>
      <c r="E149" s="650">
        <v>0</v>
      </c>
      <c r="F149" s="650">
        <v>0</v>
      </c>
      <c r="G149" s="650">
        <v>0</v>
      </c>
      <c r="H149" s="650">
        <v>1</v>
      </c>
      <c r="I149" s="650">
        <v>1</v>
      </c>
      <c r="J149" s="14" t="s">
        <v>2869</v>
      </c>
      <c r="K149" s="14" t="s">
        <v>2870</v>
      </c>
      <c r="L149" s="14" t="s">
        <v>189</v>
      </c>
      <c r="M149" s="3" t="s">
        <v>2603</v>
      </c>
      <c r="N149" s="3">
        <v>0</v>
      </c>
      <c r="O149" s="3">
        <v>0</v>
      </c>
      <c r="P149" s="3">
        <v>1</v>
      </c>
      <c r="Q149" s="3">
        <v>1</v>
      </c>
      <c r="R149" s="297">
        <f t="shared" si="2"/>
        <v>30000</v>
      </c>
      <c r="S149" s="298">
        <v>0</v>
      </c>
      <c r="T149" s="298">
        <v>0</v>
      </c>
      <c r="U149" s="298">
        <v>30000</v>
      </c>
      <c r="V149" s="298">
        <v>0</v>
      </c>
      <c r="W149" s="549"/>
    </row>
    <row r="150" spans="1:23" ht="51">
      <c r="A150" s="592"/>
      <c r="B150" s="650"/>
      <c r="C150" s="549"/>
      <c r="D150" s="549"/>
      <c r="E150" s="650"/>
      <c r="F150" s="650"/>
      <c r="G150" s="650"/>
      <c r="H150" s="650"/>
      <c r="I150" s="650"/>
      <c r="J150" s="14" t="s">
        <v>2871</v>
      </c>
      <c r="K150" s="14" t="s">
        <v>2872</v>
      </c>
      <c r="L150" s="14" t="s">
        <v>189</v>
      </c>
      <c r="M150" s="3" t="s">
        <v>2603</v>
      </c>
      <c r="N150" s="3">
        <v>0</v>
      </c>
      <c r="O150" s="3">
        <v>0</v>
      </c>
      <c r="P150" s="3">
        <v>1</v>
      </c>
      <c r="Q150" s="3">
        <v>1</v>
      </c>
      <c r="R150" s="297">
        <f t="shared" si="2"/>
        <v>20000</v>
      </c>
      <c r="S150" s="298">
        <v>0</v>
      </c>
      <c r="T150" s="298">
        <v>0</v>
      </c>
      <c r="U150" s="298">
        <v>20000</v>
      </c>
      <c r="V150" s="298">
        <v>0</v>
      </c>
      <c r="W150" s="549"/>
    </row>
    <row r="151" spans="1:23" ht="63.75">
      <c r="A151" s="592"/>
      <c r="B151" s="650"/>
      <c r="C151" s="14" t="s">
        <v>2873</v>
      </c>
      <c r="D151" s="14" t="s">
        <v>2874</v>
      </c>
      <c r="E151" s="104">
        <v>0</v>
      </c>
      <c r="F151" s="104">
        <v>12</v>
      </c>
      <c r="G151" s="104">
        <v>24</v>
      </c>
      <c r="H151" s="104">
        <v>36</v>
      </c>
      <c r="I151" s="104">
        <v>48</v>
      </c>
      <c r="J151" s="14" t="s">
        <v>2875</v>
      </c>
      <c r="K151" s="14" t="s">
        <v>2876</v>
      </c>
      <c r="L151" s="14" t="s">
        <v>189</v>
      </c>
      <c r="M151" s="3">
        <v>0</v>
      </c>
      <c r="N151" s="3">
        <v>12</v>
      </c>
      <c r="O151" s="3">
        <v>24</v>
      </c>
      <c r="P151" s="3">
        <v>36</v>
      </c>
      <c r="Q151" s="3">
        <v>48</v>
      </c>
      <c r="R151" s="297">
        <f t="shared" si="2"/>
        <v>44500</v>
      </c>
      <c r="S151" s="298">
        <v>10000</v>
      </c>
      <c r="T151" s="298">
        <v>10750</v>
      </c>
      <c r="U151" s="298">
        <v>11500</v>
      </c>
      <c r="V151" s="298">
        <v>12250</v>
      </c>
      <c r="W151" s="549"/>
    </row>
    <row r="152" spans="1:23" ht="25.5">
      <c r="A152" s="592"/>
      <c r="B152" s="650"/>
      <c r="C152" s="14" t="s">
        <v>2877</v>
      </c>
      <c r="D152" s="14" t="s">
        <v>2878</v>
      </c>
      <c r="E152" s="104">
        <v>0</v>
      </c>
      <c r="F152" s="104">
        <v>12</v>
      </c>
      <c r="G152" s="104">
        <v>24</v>
      </c>
      <c r="H152" s="104">
        <v>36</v>
      </c>
      <c r="I152" s="104">
        <v>48</v>
      </c>
      <c r="J152" s="14" t="s">
        <v>2879</v>
      </c>
      <c r="K152" s="14" t="s">
        <v>2880</v>
      </c>
      <c r="L152" s="14" t="s">
        <v>189</v>
      </c>
      <c r="M152" s="3">
        <v>0</v>
      </c>
      <c r="N152" s="3">
        <v>12</v>
      </c>
      <c r="O152" s="3">
        <v>24</v>
      </c>
      <c r="P152" s="3">
        <v>36</v>
      </c>
      <c r="Q152" s="3">
        <v>48</v>
      </c>
      <c r="R152" s="297">
        <f t="shared" si="2"/>
        <v>57288</v>
      </c>
      <c r="S152" s="298">
        <v>10000</v>
      </c>
      <c r="T152" s="298">
        <v>15000</v>
      </c>
      <c r="U152" s="298">
        <v>15750</v>
      </c>
      <c r="V152" s="298">
        <v>16538</v>
      </c>
      <c r="W152" s="549"/>
    </row>
    <row r="153" spans="1:23" ht="38.25">
      <c r="A153" s="592"/>
      <c r="B153" s="650"/>
      <c r="C153" s="14" t="s">
        <v>2881</v>
      </c>
      <c r="D153" s="14" t="s">
        <v>2882</v>
      </c>
      <c r="E153" s="104">
        <v>0</v>
      </c>
      <c r="F153" s="104">
        <v>0</v>
      </c>
      <c r="G153" s="104">
        <v>0</v>
      </c>
      <c r="H153" s="104">
        <v>100</v>
      </c>
      <c r="I153" s="11">
        <v>1</v>
      </c>
      <c r="J153" s="14" t="s">
        <v>2883</v>
      </c>
      <c r="K153" s="14" t="s">
        <v>2882</v>
      </c>
      <c r="L153" s="14" t="s">
        <v>189</v>
      </c>
      <c r="M153" s="105">
        <v>0.98</v>
      </c>
      <c r="N153" s="3">
        <v>0</v>
      </c>
      <c r="O153" s="3">
        <v>0</v>
      </c>
      <c r="P153" s="3" t="s">
        <v>2884</v>
      </c>
      <c r="Q153" s="3" t="str">
        <f>+P153</f>
        <v>100%ur y 10 %rural</v>
      </c>
      <c r="R153" s="297">
        <f t="shared" si="2"/>
        <v>2413670</v>
      </c>
      <c r="S153" s="298">
        <v>560000</v>
      </c>
      <c r="T153" s="298">
        <v>588000</v>
      </c>
      <c r="U153" s="298">
        <v>617400</v>
      </c>
      <c r="V153" s="298">
        <v>648270</v>
      </c>
      <c r="W153" s="549"/>
    </row>
    <row r="154" spans="1:25" ht="38.25">
      <c r="A154" s="361" t="s">
        <v>427</v>
      </c>
      <c r="B154" s="364">
        <v>1</v>
      </c>
      <c r="C154" s="14" t="s">
        <v>2885</v>
      </c>
      <c r="D154" s="14" t="s">
        <v>2886</v>
      </c>
      <c r="E154" s="14">
        <v>0</v>
      </c>
      <c r="F154" s="14"/>
      <c r="G154" s="14">
        <v>2</v>
      </c>
      <c r="H154" s="14">
        <v>3</v>
      </c>
      <c r="I154" s="3">
        <v>5</v>
      </c>
      <c r="J154" s="14" t="s">
        <v>2885</v>
      </c>
      <c r="K154" s="14" t="s">
        <v>2886</v>
      </c>
      <c r="L154" s="14" t="s">
        <v>189</v>
      </c>
      <c r="M154" s="14"/>
      <c r="N154" s="359">
        <v>2</v>
      </c>
      <c r="O154" s="3">
        <v>3</v>
      </c>
      <c r="P154" s="3">
        <v>4</v>
      </c>
      <c r="Q154" s="3">
        <v>5</v>
      </c>
      <c r="R154" s="297">
        <f t="shared" si="2"/>
        <v>200000</v>
      </c>
      <c r="S154" s="298">
        <v>0</v>
      </c>
      <c r="T154" s="298">
        <v>100000</v>
      </c>
      <c r="U154" s="298">
        <f>+T154</f>
        <v>100000</v>
      </c>
      <c r="V154" s="298">
        <v>0</v>
      </c>
      <c r="W154" s="360" t="s">
        <v>2297</v>
      </c>
      <c r="Y154" s="299"/>
    </row>
    <row r="155" ht="12.75"/>
    <row r="156" spans="18:22" ht="13.5" hidden="1" thickBot="1">
      <c r="R156" s="301">
        <f>SUM(R8:R154)</f>
        <v>217435651</v>
      </c>
      <c r="S156" s="301">
        <f>SUM(S8:S154)</f>
        <v>42744450</v>
      </c>
      <c r="T156" s="301">
        <f>SUM(T8:T154)</f>
        <v>50687850</v>
      </c>
      <c r="U156" s="301">
        <f>SUM(U8:U154)</f>
        <v>69975750</v>
      </c>
      <c r="V156" s="301">
        <f>SUM(V8:V154)</f>
        <v>54027601</v>
      </c>
    </row>
    <row r="157" spans="1:25" ht="15.75">
      <c r="A157" s="599" t="s">
        <v>428</v>
      </c>
      <c r="B157" s="599"/>
      <c r="C157" s="599"/>
      <c r="D157" s="599"/>
      <c r="E157" s="599"/>
      <c r="F157" s="599"/>
      <c r="G157" s="599"/>
      <c r="H157" s="599"/>
      <c r="I157" s="599"/>
      <c r="J157" s="599"/>
      <c r="K157" s="599"/>
      <c r="L157" s="599"/>
      <c r="M157" s="599"/>
      <c r="N157" s="599"/>
      <c r="O157" s="599"/>
      <c r="P157" s="599"/>
      <c r="Q157" s="599"/>
      <c r="R157" s="354">
        <f>SUM(R8:R154)</f>
        <v>217435651</v>
      </c>
      <c r="S157" s="354">
        <f>SUM(S8:S154)</f>
        <v>42744450</v>
      </c>
      <c r="T157" s="354">
        <f>SUM(T8:T154)</f>
        <v>50687850</v>
      </c>
      <c r="U157" s="354">
        <f>SUM(U8:U154)</f>
        <v>69975750</v>
      </c>
      <c r="V157" s="354">
        <f>SUM(V8:V154)</f>
        <v>54027601</v>
      </c>
      <c r="W157" s="366"/>
      <c r="Y157" s="294"/>
    </row>
    <row r="158" ht="12.75"/>
    <row r="159" ht="12.75"/>
    <row r="160" ht="12.75">
      <c r="S160" s="365"/>
    </row>
  </sheetData>
  <sheetProtection selectLockedCells="1" selectUnlockedCells="1"/>
  <mergeCells count="212">
    <mergeCell ref="A77:A80"/>
    <mergeCell ref="B77:B80"/>
    <mergeCell ref="A75:A76"/>
    <mergeCell ref="B75:B76"/>
    <mergeCell ref="C90:C92"/>
    <mergeCell ref="D90:D92"/>
    <mergeCell ref="A81:A83"/>
    <mergeCell ref="B81:B83"/>
    <mergeCell ref="A84:A93"/>
    <mergeCell ref="B84:B93"/>
    <mergeCell ref="A1:W1"/>
    <mergeCell ref="A2:W2"/>
    <mergeCell ref="A3:W3"/>
    <mergeCell ref="A4:W4"/>
    <mergeCell ref="B71:B74"/>
    <mergeCell ref="A63:A66"/>
    <mergeCell ref="B63:B66"/>
    <mergeCell ref="A67:A70"/>
    <mergeCell ref="B67:B70"/>
    <mergeCell ref="A71:A74"/>
    <mergeCell ref="A5:W5"/>
    <mergeCell ref="W6:W7"/>
    <mergeCell ref="A6:A7"/>
    <mergeCell ref="B6:B7"/>
    <mergeCell ref="C6:C7"/>
    <mergeCell ref="D8:D10"/>
    <mergeCell ref="E8:E10"/>
    <mergeCell ref="D6:J6"/>
    <mergeCell ref="K6:Q6"/>
    <mergeCell ref="R6:V6"/>
    <mergeCell ref="H24:H28"/>
    <mergeCell ref="F31:F32"/>
    <mergeCell ref="E20:E23"/>
    <mergeCell ref="A8:A13"/>
    <mergeCell ref="B8:B13"/>
    <mergeCell ref="C8:C10"/>
    <mergeCell ref="A14:A19"/>
    <mergeCell ref="B14:B19"/>
    <mergeCell ref="A20:A23"/>
    <mergeCell ref="B20:B23"/>
    <mergeCell ref="I8:I10"/>
    <mergeCell ref="C20:C23"/>
    <mergeCell ref="D20:D23"/>
    <mergeCell ref="F8:F10"/>
    <mergeCell ref="G8:G10"/>
    <mergeCell ref="H8:H10"/>
    <mergeCell ref="F20:F23"/>
    <mergeCell ref="G20:G23"/>
    <mergeCell ref="H20:H23"/>
    <mergeCell ref="A33:A46"/>
    <mergeCell ref="I20:I23"/>
    <mergeCell ref="A24:A32"/>
    <mergeCell ref="B24:B32"/>
    <mergeCell ref="C24:C28"/>
    <mergeCell ref="D24:D28"/>
    <mergeCell ref="E24:E28"/>
    <mergeCell ref="I24:I28"/>
    <mergeCell ref="B33:B46"/>
    <mergeCell ref="G24:G28"/>
    <mergeCell ref="E39:E41"/>
    <mergeCell ref="W8:W13"/>
    <mergeCell ref="W39:W41"/>
    <mergeCell ref="W42:W45"/>
    <mergeCell ref="C43:C45"/>
    <mergeCell ref="D43:D45"/>
    <mergeCell ref="E31:E32"/>
    <mergeCell ref="I31:I32"/>
    <mergeCell ref="C33:C37"/>
    <mergeCell ref="D33:D37"/>
    <mergeCell ref="I33:I37"/>
    <mergeCell ref="C31:C32"/>
    <mergeCell ref="G31:G32"/>
    <mergeCell ref="H31:H32"/>
    <mergeCell ref="F33:F37"/>
    <mergeCell ref="G33:G37"/>
    <mergeCell ref="H33:H37"/>
    <mergeCell ref="E33:E37"/>
    <mergeCell ref="D31:D32"/>
    <mergeCell ref="A47:A62"/>
    <mergeCell ref="B47:B62"/>
    <mergeCell ref="C47:C50"/>
    <mergeCell ref="D47:D50"/>
    <mergeCell ref="C51:C62"/>
    <mergeCell ref="D51:D62"/>
    <mergeCell ref="C71:C72"/>
    <mergeCell ref="D71:D72"/>
    <mergeCell ref="C85:C89"/>
    <mergeCell ref="D85:D89"/>
    <mergeCell ref="E47:E50"/>
    <mergeCell ref="F39:F41"/>
    <mergeCell ref="F47:F50"/>
    <mergeCell ref="F43:F45"/>
    <mergeCell ref="C39:C41"/>
    <mergeCell ref="D39:D41"/>
    <mergeCell ref="E51:E62"/>
    <mergeCell ref="I51:I62"/>
    <mergeCell ref="E85:E89"/>
    <mergeCell ref="I85:I89"/>
    <mergeCell ref="F71:F72"/>
    <mergeCell ref="G71:G72"/>
    <mergeCell ref="D113:D121"/>
    <mergeCell ref="C122:C125"/>
    <mergeCell ref="D122:D125"/>
    <mergeCell ref="A108:A110"/>
    <mergeCell ref="B108:B110"/>
    <mergeCell ref="A94:A98"/>
    <mergeCell ref="B94:B98"/>
    <mergeCell ref="A99:A104"/>
    <mergeCell ref="B99:B104"/>
    <mergeCell ref="E122:E125"/>
    <mergeCell ref="E131:E132"/>
    <mergeCell ref="E111:E112"/>
    <mergeCell ref="E113:E121"/>
    <mergeCell ref="E127:E128"/>
    <mergeCell ref="A111:A125"/>
    <mergeCell ref="B111:B125"/>
    <mergeCell ref="C111:C112"/>
    <mergeCell ref="D111:D112"/>
    <mergeCell ref="C113:C121"/>
    <mergeCell ref="D131:D132"/>
    <mergeCell ref="D127:D128"/>
    <mergeCell ref="A131:A135"/>
    <mergeCell ref="B131:B135"/>
    <mergeCell ref="A126:A130"/>
    <mergeCell ref="C127:C128"/>
    <mergeCell ref="B126:B130"/>
    <mergeCell ref="C131:C132"/>
    <mergeCell ref="W99:W104"/>
    <mergeCell ref="W94:W98"/>
    <mergeCell ref="W126:W130"/>
    <mergeCell ref="W111:W125"/>
    <mergeCell ref="W108:W110"/>
    <mergeCell ref="A136:A142"/>
    <mergeCell ref="C136:C142"/>
    <mergeCell ref="D136:D142"/>
    <mergeCell ref="E136:E142"/>
    <mergeCell ref="B136:B142"/>
    <mergeCell ref="W131:W135"/>
    <mergeCell ref="I131:I132"/>
    <mergeCell ref="I136:I142"/>
    <mergeCell ref="I111:I112"/>
    <mergeCell ref="I127:I128"/>
    <mergeCell ref="I113:I121"/>
    <mergeCell ref="I122:I125"/>
    <mergeCell ref="W136:W142"/>
    <mergeCell ref="W14:W19"/>
    <mergeCell ref="W20:W23"/>
    <mergeCell ref="W24:W32"/>
    <mergeCell ref="W63:W66"/>
    <mergeCell ref="W47:W62"/>
    <mergeCell ref="W33:W37"/>
    <mergeCell ref="W73:W74"/>
    <mergeCell ref="W77:W78"/>
    <mergeCell ref="W84:W92"/>
    <mergeCell ref="E90:E92"/>
    <mergeCell ref="I90:I92"/>
    <mergeCell ref="F85:F89"/>
    <mergeCell ref="G85:G89"/>
    <mergeCell ref="H85:H89"/>
    <mergeCell ref="F90:F92"/>
    <mergeCell ref="G90:G92"/>
    <mergeCell ref="F24:F28"/>
    <mergeCell ref="AA46:AB46"/>
    <mergeCell ref="E71:E72"/>
    <mergeCell ref="F51:F62"/>
    <mergeCell ref="G51:G62"/>
    <mergeCell ref="H51:H62"/>
    <mergeCell ref="I71:I72"/>
    <mergeCell ref="H39:H41"/>
    <mergeCell ref="I39:I41"/>
    <mergeCell ref="G43:G45"/>
    <mergeCell ref="W146:W153"/>
    <mergeCell ref="C147:C148"/>
    <mergeCell ref="C149:C150"/>
    <mergeCell ref="D149:D150"/>
    <mergeCell ref="E149:E150"/>
    <mergeCell ref="F149:F150"/>
    <mergeCell ref="G149:G150"/>
    <mergeCell ref="H149:H150"/>
    <mergeCell ref="I149:I150"/>
    <mergeCell ref="A157:Q157"/>
    <mergeCell ref="A143:A145"/>
    <mergeCell ref="B143:B145"/>
    <mergeCell ref="A146:A153"/>
    <mergeCell ref="B146:B153"/>
    <mergeCell ref="E43:E45"/>
    <mergeCell ref="I47:I50"/>
    <mergeCell ref="G47:G50"/>
    <mergeCell ref="H47:H50"/>
    <mergeCell ref="H71:H72"/>
    <mergeCell ref="H43:H45"/>
    <mergeCell ref="I43:I45"/>
    <mergeCell ref="G39:G41"/>
    <mergeCell ref="H90:H92"/>
    <mergeCell ref="F111:F112"/>
    <mergeCell ref="G111:G112"/>
    <mergeCell ref="G113:G121"/>
    <mergeCell ref="H113:H121"/>
    <mergeCell ref="H111:H112"/>
    <mergeCell ref="F113:F121"/>
    <mergeCell ref="G122:G125"/>
    <mergeCell ref="G131:G132"/>
    <mergeCell ref="H131:H132"/>
    <mergeCell ref="F131:F132"/>
    <mergeCell ref="F127:F128"/>
    <mergeCell ref="F136:F142"/>
    <mergeCell ref="G136:G142"/>
    <mergeCell ref="H136:H142"/>
    <mergeCell ref="H122:H125"/>
    <mergeCell ref="G127:G128"/>
    <mergeCell ref="H127:H128"/>
    <mergeCell ref="F122:F125"/>
  </mergeCells>
  <printOptions/>
  <pageMargins left="0.75" right="0.75" top="1" bottom="1" header="0.5" footer="0.5"/>
  <pageSetup orientation="portrait"/>
  <legacyDrawing r:id="rId2"/>
</worksheet>
</file>

<file path=xl/worksheets/sheet6.xml><?xml version="1.0" encoding="utf-8"?>
<worksheet xmlns="http://schemas.openxmlformats.org/spreadsheetml/2006/main" xmlns:r="http://schemas.openxmlformats.org/officeDocument/2006/relationships">
  <dimension ref="A1:U123"/>
  <sheetViews>
    <sheetView zoomScalePageLayoutView="0" workbookViewId="0" topLeftCell="G9">
      <pane ySplit="1" topLeftCell="A48" activePane="bottomLeft" state="frozen"/>
      <selection pane="topLeft" activeCell="G9" sqref="G9"/>
      <selection pane="bottomLeft" activeCell="P11" sqref="P11"/>
    </sheetView>
  </sheetViews>
  <sheetFormatPr defaultColWidth="11.00390625" defaultRowHeight="15.75"/>
  <cols>
    <col min="1" max="1" width="33.875" style="0" customWidth="1"/>
    <col min="2" max="2" width="13.875" style="0" customWidth="1"/>
    <col min="3" max="3" width="17.125" style="0" customWidth="1"/>
    <col min="4" max="4" width="32.375" style="0" customWidth="1"/>
    <col min="5" max="5" width="25.625" style="0" customWidth="1"/>
    <col min="6" max="6" width="26.125" style="0" customWidth="1"/>
    <col min="7" max="7" width="15.375" style="0" customWidth="1"/>
    <col min="8" max="8" width="20.875" style="0" customWidth="1"/>
    <col min="9" max="9" width="16.50390625" style="0" customWidth="1"/>
    <col min="10" max="10" width="13.00390625" style="0" customWidth="1"/>
    <col min="11" max="13" width="12.125" style="0" customWidth="1"/>
    <col min="14" max="14" width="13.375" style="0" customWidth="1"/>
    <col min="15" max="15" width="13.125" style="0" customWidth="1"/>
    <col min="16" max="16" width="15.125" style="0" customWidth="1"/>
    <col min="17" max="17" width="15.375" style="0" customWidth="1"/>
    <col min="18" max="18" width="18.125" style="0" customWidth="1"/>
    <col min="19" max="19" width="16.125" style="0" customWidth="1"/>
    <col min="20" max="20" width="20.875" style="0" customWidth="1"/>
  </cols>
  <sheetData>
    <row r="1" spans="1:20" ht="33.75">
      <c r="A1" s="778" t="s">
        <v>1370</v>
      </c>
      <c r="B1" s="778"/>
      <c r="C1" s="778"/>
      <c r="D1" s="778"/>
      <c r="E1" s="778"/>
      <c r="F1" s="778"/>
      <c r="G1" s="778"/>
      <c r="H1" s="778"/>
      <c r="I1" s="778"/>
      <c r="J1" s="778"/>
      <c r="K1" s="778"/>
      <c r="L1" s="778"/>
      <c r="M1" s="778"/>
      <c r="N1" s="778"/>
      <c r="O1" s="778"/>
      <c r="P1" s="778"/>
      <c r="Q1" s="778"/>
      <c r="R1" s="778"/>
      <c r="S1" s="778"/>
      <c r="T1" s="778"/>
    </row>
    <row r="2" spans="1:20" ht="33.75">
      <c r="A2" s="778" t="s">
        <v>1371</v>
      </c>
      <c r="B2" s="778"/>
      <c r="C2" s="778"/>
      <c r="D2" s="778"/>
      <c r="E2" s="778"/>
      <c r="F2" s="778"/>
      <c r="G2" s="778"/>
      <c r="H2" s="778"/>
      <c r="I2" s="778"/>
      <c r="J2" s="778"/>
      <c r="K2" s="778"/>
      <c r="L2" s="778"/>
      <c r="M2" s="778"/>
      <c r="N2" s="778"/>
      <c r="O2" s="778"/>
      <c r="P2" s="778"/>
      <c r="Q2" s="778"/>
      <c r="R2" s="778"/>
      <c r="S2" s="778"/>
      <c r="T2" s="778"/>
    </row>
    <row r="3" spans="1:20" ht="33.75">
      <c r="A3" s="778" t="s">
        <v>2092</v>
      </c>
      <c r="B3" s="778"/>
      <c r="C3" s="778"/>
      <c r="D3" s="778"/>
      <c r="E3" s="778"/>
      <c r="F3" s="778"/>
      <c r="G3" s="778"/>
      <c r="H3" s="778"/>
      <c r="I3" s="778"/>
      <c r="J3" s="778"/>
      <c r="K3" s="778"/>
      <c r="L3" s="778"/>
      <c r="M3" s="778"/>
      <c r="N3" s="778"/>
      <c r="O3" s="778"/>
      <c r="P3" s="778"/>
      <c r="Q3" s="778"/>
      <c r="R3" s="778"/>
      <c r="S3" s="778"/>
      <c r="T3" s="778"/>
    </row>
    <row r="4" spans="1:20" ht="18">
      <c r="A4" s="779" t="s">
        <v>2093</v>
      </c>
      <c r="B4" s="779"/>
      <c r="C4" s="779"/>
      <c r="D4" s="779"/>
      <c r="E4" s="779"/>
      <c r="F4" s="779"/>
      <c r="G4" s="779"/>
      <c r="H4" s="779"/>
      <c r="I4" s="779"/>
      <c r="J4" s="779"/>
      <c r="K4" s="779"/>
      <c r="L4" s="779"/>
      <c r="M4" s="779"/>
      <c r="N4" s="779"/>
      <c r="O4" s="779"/>
      <c r="P4" s="779"/>
      <c r="Q4" s="779"/>
      <c r="R4" s="779"/>
      <c r="S4" s="779"/>
      <c r="T4" s="779"/>
    </row>
    <row r="5" spans="1:20" ht="33.75">
      <c r="A5" s="778" t="s">
        <v>1370</v>
      </c>
      <c r="B5" s="778"/>
      <c r="C5" s="778"/>
      <c r="D5" s="778"/>
      <c r="E5" s="778"/>
      <c r="F5" s="778"/>
      <c r="G5" s="778"/>
      <c r="H5" s="778"/>
      <c r="I5" s="778"/>
      <c r="J5" s="778"/>
      <c r="K5" s="778"/>
      <c r="L5" s="778"/>
      <c r="M5" s="778"/>
      <c r="N5" s="778"/>
      <c r="O5" s="778"/>
      <c r="P5" s="778"/>
      <c r="Q5" s="778"/>
      <c r="R5" s="778"/>
      <c r="S5" s="778"/>
      <c r="T5" s="778"/>
    </row>
    <row r="6" spans="1:20" ht="16.5" customHeight="1">
      <c r="A6" s="779"/>
      <c r="B6" s="779"/>
      <c r="C6" s="779"/>
      <c r="D6" s="779"/>
      <c r="E6" s="779"/>
      <c r="F6" s="779"/>
      <c r="G6" s="779"/>
      <c r="H6" s="779"/>
      <c r="I6" s="779"/>
      <c r="J6" s="779"/>
      <c r="K6" s="779"/>
      <c r="L6" s="779"/>
      <c r="M6" s="779"/>
      <c r="N6" s="779"/>
      <c r="O6" s="779"/>
      <c r="P6" s="779"/>
      <c r="Q6" s="779"/>
      <c r="R6" s="779"/>
      <c r="S6" s="779"/>
      <c r="T6" s="779"/>
    </row>
    <row r="7" spans="1:20" ht="16.5" customHeight="1">
      <c r="A7" s="779"/>
      <c r="B7" s="779"/>
      <c r="C7" s="779"/>
      <c r="D7" s="779"/>
      <c r="E7" s="779"/>
      <c r="F7" s="779"/>
      <c r="G7" s="779"/>
      <c r="H7" s="779"/>
      <c r="I7" s="779"/>
      <c r="J7" s="779"/>
      <c r="K7" s="779"/>
      <c r="L7" s="779"/>
      <c r="M7" s="779"/>
      <c r="N7" s="779"/>
      <c r="O7" s="779"/>
      <c r="P7" s="779"/>
      <c r="Q7" s="779"/>
      <c r="R7" s="779"/>
      <c r="S7" s="779"/>
      <c r="T7" s="779"/>
    </row>
    <row r="8" spans="1:20" ht="15.75">
      <c r="A8" s="776" t="s">
        <v>2094</v>
      </c>
      <c r="B8" s="776" t="s">
        <v>2095</v>
      </c>
      <c r="C8" s="592" t="s">
        <v>2096</v>
      </c>
      <c r="D8" s="592" t="s">
        <v>2097</v>
      </c>
      <c r="E8" s="780" t="s">
        <v>2098</v>
      </c>
      <c r="F8" s="780"/>
      <c r="G8" s="780"/>
      <c r="H8" s="780"/>
      <c r="I8" s="780"/>
      <c r="J8" s="780" t="s">
        <v>2099</v>
      </c>
      <c r="K8" s="780"/>
      <c r="L8" s="780"/>
      <c r="M8" s="780"/>
      <c r="N8" s="780"/>
      <c r="O8" s="780"/>
      <c r="P8" s="780"/>
      <c r="Q8" s="780"/>
      <c r="R8" s="780"/>
      <c r="S8" s="100"/>
      <c r="T8" s="780" t="s">
        <v>2101</v>
      </c>
    </row>
    <row r="9" spans="1:20" ht="72" customHeight="1">
      <c r="A9" s="777"/>
      <c r="B9" s="776"/>
      <c r="C9" s="592"/>
      <c r="D9" s="592"/>
      <c r="E9" s="99" t="s">
        <v>2102</v>
      </c>
      <c r="F9" s="106" t="s">
        <v>2103</v>
      </c>
      <c r="G9" s="99" t="s">
        <v>2104</v>
      </c>
      <c r="H9" s="107" t="s">
        <v>2105</v>
      </c>
      <c r="I9" s="99" t="s">
        <v>2102</v>
      </c>
      <c r="J9" s="106" t="s">
        <v>2106</v>
      </c>
      <c r="K9" s="99" t="s">
        <v>2107</v>
      </c>
      <c r="L9" s="99" t="s">
        <v>2108</v>
      </c>
      <c r="M9" s="99" t="s">
        <v>2109</v>
      </c>
      <c r="N9" s="99" t="s">
        <v>2104</v>
      </c>
      <c r="O9" s="99" t="s">
        <v>2110</v>
      </c>
      <c r="P9" s="99">
        <v>2012</v>
      </c>
      <c r="Q9" s="99">
        <v>2013</v>
      </c>
      <c r="R9" s="99">
        <v>2014</v>
      </c>
      <c r="S9" s="99">
        <v>2015</v>
      </c>
      <c r="T9" s="780"/>
    </row>
    <row r="10" spans="1:20" ht="114.75">
      <c r="A10" s="560" t="s">
        <v>2887</v>
      </c>
      <c r="B10" s="632"/>
      <c r="C10" s="740"/>
      <c r="D10" s="90" t="s">
        <v>2888</v>
      </c>
      <c r="E10" s="90" t="s">
        <v>2237</v>
      </c>
      <c r="F10" s="113">
        <v>3091</v>
      </c>
      <c r="G10" s="3">
        <v>300</v>
      </c>
      <c r="H10" s="132" t="s">
        <v>2238</v>
      </c>
      <c r="I10" s="132" t="s">
        <v>2239</v>
      </c>
      <c r="J10" s="114"/>
      <c r="K10" s="114">
        <v>1</v>
      </c>
      <c r="L10" s="114">
        <v>2</v>
      </c>
      <c r="M10" s="114">
        <v>3</v>
      </c>
      <c r="N10" s="114">
        <v>4</v>
      </c>
      <c r="O10" s="122">
        <v>250.3</v>
      </c>
      <c r="P10" s="115">
        <v>59.4</v>
      </c>
      <c r="Q10" s="115">
        <v>61.5</v>
      </c>
      <c r="R10" s="115">
        <v>63.6</v>
      </c>
      <c r="S10" s="115">
        <v>65.8</v>
      </c>
      <c r="T10" s="130" t="s">
        <v>2240</v>
      </c>
    </row>
    <row r="11" spans="1:20" ht="114.75">
      <c r="A11" s="619"/>
      <c r="B11" s="633"/>
      <c r="C11" s="741"/>
      <c r="D11" s="754" t="s">
        <v>2241</v>
      </c>
      <c r="E11" s="754" t="s">
        <v>2242</v>
      </c>
      <c r="F11" s="781">
        <v>3091</v>
      </c>
      <c r="G11" s="661">
        <f>(F11*0.005)</f>
        <v>15.455</v>
      </c>
      <c r="H11" s="132" t="s">
        <v>2238</v>
      </c>
      <c r="I11" s="132" t="s">
        <v>2239</v>
      </c>
      <c r="J11" s="114"/>
      <c r="K11" s="114">
        <v>1</v>
      </c>
      <c r="L11" s="114">
        <v>2</v>
      </c>
      <c r="M11" s="114">
        <v>3</v>
      </c>
      <c r="N11" s="114">
        <v>4</v>
      </c>
      <c r="O11" s="122">
        <v>251.8</v>
      </c>
      <c r="P11" s="115">
        <v>59.8</v>
      </c>
      <c r="Q11" s="115">
        <v>61.9</v>
      </c>
      <c r="R11" s="115">
        <v>63.9</v>
      </c>
      <c r="S11" s="115">
        <v>66.2</v>
      </c>
      <c r="T11" s="131"/>
    </row>
    <row r="12" spans="1:20" ht="63.75">
      <c r="A12" s="619"/>
      <c r="B12" s="633"/>
      <c r="C12" s="741"/>
      <c r="D12" s="756"/>
      <c r="E12" s="756"/>
      <c r="F12" s="782"/>
      <c r="G12" s="662"/>
      <c r="H12" s="90" t="s">
        <v>2647</v>
      </c>
      <c r="I12" s="90" t="s">
        <v>2648</v>
      </c>
      <c r="J12" s="114"/>
      <c r="K12" s="114">
        <v>11</v>
      </c>
      <c r="L12" s="114">
        <v>22</v>
      </c>
      <c r="M12" s="114">
        <v>33</v>
      </c>
      <c r="N12" s="114">
        <v>44</v>
      </c>
      <c r="O12" s="122">
        <v>1134.5</v>
      </c>
      <c r="P12" s="115">
        <v>269.4</v>
      </c>
      <c r="Q12" s="115">
        <v>278.7</v>
      </c>
      <c r="R12" s="115">
        <v>288.2</v>
      </c>
      <c r="S12" s="115">
        <v>298.2</v>
      </c>
      <c r="T12" s="131"/>
    </row>
    <row r="13" spans="1:20" ht="51">
      <c r="A13" s="619"/>
      <c r="B13" s="633"/>
      <c r="C13" s="741"/>
      <c r="D13" s="754" t="s">
        <v>2649</v>
      </c>
      <c r="E13" s="754" t="s">
        <v>2650</v>
      </c>
      <c r="F13" s="640">
        <v>122</v>
      </c>
      <c r="G13" s="640">
        <v>552</v>
      </c>
      <c r="H13" s="90" t="s">
        <v>2651</v>
      </c>
      <c r="I13" s="90" t="s">
        <v>2652</v>
      </c>
      <c r="J13" s="114"/>
      <c r="K13" s="114">
        <v>2</v>
      </c>
      <c r="L13" s="114">
        <v>6</v>
      </c>
      <c r="M13" s="114">
        <v>12</v>
      </c>
      <c r="N13" s="114">
        <v>16</v>
      </c>
      <c r="O13" s="122">
        <v>671.3</v>
      </c>
      <c r="P13" s="115">
        <v>159.4</v>
      </c>
      <c r="Q13" s="115">
        <v>164.9</v>
      </c>
      <c r="R13" s="115">
        <v>170.6</v>
      </c>
      <c r="S13" s="115">
        <v>176.4</v>
      </c>
      <c r="T13" s="131"/>
    </row>
    <row r="14" spans="1:20" ht="76.5">
      <c r="A14" s="619"/>
      <c r="B14" s="633"/>
      <c r="C14" s="741"/>
      <c r="D14" s="756"/>
      <c r="E14" s="756"/>
      <c r="F14" s="636"/>
      <c r="G14" s="636"/>
      <c r="H14" s="90" t="s">
        <v>2653</v>
      </c>
      <c r="I14" s="124" t="s">
        <v>2654</v>
      </c>
      <c r="J14" s="114"/>
      <c r="K14" s="114">
        <v>1</v>
      </c>
      <c r="L14" s="114">
        <v>2</v>
      </c>
      <c r="M14" s="114">
        <v>3</v>
      </c>
      <c r="N14" s="114">
        <v>4</v>
      </c>
      <c r="O14" s="122">
        <v>882.8</v>
      </c>
      <c r="P14" s="115">
        <v>209.6</v>
      </c>
      <c r="Q14" s="115">
        <v>216.8</v>
      </c>
      <c r="R14" s="115">
        <v>224.3</v>
      </c>
      <c r="S14" s="115">
        <v>232.1</v>
      </c>
      <c r="T14" s="131"/>
    </row>
    <row r="15" spans="1:20" ht="51">
      <c r="A15" s="619"/>
      <c r="B15" s="633"/>
      <c r="C15" s="741"/>
      <c r="D15" s="123" t="s">
        <v>2655</v>
      </c>
      <c r="E15" s="123" t="s">
        <v>2656</v>
      </c>
      <c r="F15" s="118">
        <v>9</v>
      </c>
      <c r="G15" s="118">
        <v>55</v>
      </c>
      <c r="H15" s="124" t="s">
        <v>2657</v>
      </c>
      <c r="I15" s="124" t="s">
        <v>2658</v>
      </c>
      <c r="J15" s="114"/>
      <c r="K15" s="114">
        <v>1</v>
      </c>
      <c r="L15" s="114">
        <v>2</v>
      </c>
      <c r="M15" s="114">
        <v>3</v>
      </c>
      <c r="N15" s="114">
        <v>4</v>
      </c>
      <c r="O15" s="122">
        <v>550.8</v>
      </c>
      <c r="P15" s="115">
        <v>130.8</v>
      </c>
      <c r="Q15" s="115">
        <v>135.3</v>
      </c>
      <c r="R15" s="115">
        <v>140</v>
      </c>
      <c r="S15" s="115">
        <v>144.7</v>
      </c>
      <c r="T15" s="131"/>
    </row>
    <row r="16" spans="1:20" ht="114.75">
      <c r="A16" s="619"/>
      <c r="B16" s="633"/>
      <c r="C16" s="741"/>
      <c r="D16" s="123" t="s">
        <v>1885</v>
      </c>
      <c r="E16" s="123" t="s">
        <v>1884</v>
      </c>
      <c r="F16" s="134"/>
      <c r="G16" s="118">
        <v>1</v>
      </c>
      <c r="H16" s="123" t="s">
        <v>1885</v>
      </c>
      <c r="I16" s="123" t="s">
        <v>1886</v>
      </c>
      <c r="J16" s="118">
        <v>0</v>
      </c>
      <c r="K16" s="118">
        <v>1</v>
      </c>
      <c r="L16" s="118">
        <v>2</v>
      </c>
      <c r="M16" s="118">
        <v>3</v>
      </c>
      <c r="N16" s="118">
        <v>4</v>
      </c>
      <c r="O16" s="135">
        <v>579063684</v>
      </c>
      <c r="P16" s="133">
        <v>44100000</v>
      </c>
      <c r="Q16" s="133">
        <v>44541000</v>
      </c>
      <c r="R16" s="133">
        <v>444986410</v>
      </c>
      <c r="S16" s="133">
        <v>45436274</v>
      </c>
      <c r="T16" s="131"/>
    </row>
    <row r="17" spans="1:20" ht="38.25">
      <c r="A17" s="619"/>
      <c r="B17" s="633"/>
      <c r="C17" s="741"/>
      <c r="D17" s="123" t="s">
        <v>2659</v>
      </c>
      <c r="E17" s="123" t="s">
        <v>2660</v>
      </c>
      <c r="F17" s="114"/>
      <c r="G17" s="114"/>
      <c r="H17" s="93"/>
      <c r="I17" s="93"/>
      <c r="J17" s="114"/>
      <c r="K17" s="114"/>
      <c r="L17" s="114"/>
      <c r="M17" s="114"/>
      <c r="N17" s="114"/>
      <c r="O17" s="122"/>
      <c r="P17" s="115"/>
      <c r="Q17" s="115"/>
      <c r="R17" s="115"/>
      <c r="S17" s="115"/>
      <c r="T17" s="131"/>
    </row>
    <row r="18" spans="1:20" ht="51">
      <c r="A18" s="619"/>
      <c r="B18" s="633"/>
      <c r="C18" s="741"/>
      <c r="D18" s="136" t="s">
        <v>2661</v>
      </c>
      <c r="E18" s="136" t="s">
        <v>2662</v>
      </c>
      <c r="F18" s="114"/>
      <c r="G18" s="93"/>
      <c r="H18" s="93"/>
      <c r="I18" s="114"/>
      <c r="J18" s="114"/>
      <c r="K18" s="114"/>
      <c r="L18" s="114"/>
      <c r="M18" s="114"/>
      <c r="N18" s="114"/>
      <c r="O18" s="122"/>
      <c r="P18" s="115"/>
      <c r="Q18" s="115"/>
      <c r="R18" s="115"/>
      <c r="S18" s="115"/>
      <c r="T18" s="131"/>
    </row>
    <row r="19" spans="1:20" ht="51">
      <c r="A19" s="619"/>
      <c r="B19" s="633"/>
      <c r="C19" s="741"/>
      <c r="D19" s="754" t="s">
        <v>2663</v>
      </c>
      <c r="E19" s="754" t="s">
        <v>2664</v>
      </c>
      <c r="F19" s="640"/>
      <c r="G19" s="640"/>
      <c r="H19" s="90" t="s">
        <v>2665</v>
      </c>
      <c r="I19" s="90" t="s">
        <v>2666</v>
      </c>
      <c r="J19" s="640"/>
      <c r="K19" s="119">
        <v>3</v>
      </c>
      <c r="L19" s="114">
        <v>6</v>
      </c>
      <c r="M19" s="114">
        <v>10</v>
      </c>
      <c r="N19" s="114">
        <v>13</v>
      </c>
      <c r="O19" s="114"/>
      <c r="P19" s="115"/>
      <c r="Q19" s="115"/>
      <c r="R19" s="115"/>
      <c r="S19" s="115"/>
      <c r="T19" s="131"/>
    </row>
    <row r="20" spans="1:20" ht="216.75">
      <c r="A20" s="619"/>
      <c r="B20" s="633"/>
      <c r="C20" s="741"/>
      <c r="D20" s="756"/>
      <c r="E20" s="756"/>
      <c r="F20" s="636"/>
      <c r="G20" s="636"/>
      <c r="H20" s="90" t="s">
        <v>2667</v>
      </c>
      <c r="I20" s="90" t="s">
        <v>2668</v>
      </c>
      <c r="J20" s="636"/>
      <c r="K20" s="114">
        <v>1</v>
      </c>
      <c r="L20" s="114">
        <v>1</v>
      </c>
      <c r="M20" s="114">
        <v>1</v>
      </c>
      <c r="N20" s="114">
        <v>1</v>
      </c>
      <c r="O20" s="114"/>
      <c r="P20" s="115"/>
      <c r="Q20" s="115"/>
      <c r="R20" s="115"/>
      <c r="S20" s="115"/>
      <c r="T20" s="131"/>
    </row>
    <row r="21" spans="1:20" ht="76.5">
      <c r="A21" s="619"/>
      <c r="B21" s="633"/>
      <c r="C21" s="741"/>
      <c r="D21" s="124" t="s">
        <v>2669</v>
      </c>
      <c r="E21" s="125" t="s">
        <v>2670</v>
      </c>
      <c r="F21" s="114"/>
      <c r="G21" s="3">
        <v>1</v>
      </c>
      <c r="H21" s="93" t="s">
        <v>2671</v>
      </c>
      <c r="I21" s="93" t="s">
        <v>2672</v>
      </c>
      <c r="J21" s="114"/>
      <c r="K21" s="114">
        <v>1</v>
      </c>
      <c r="L21" s="114">
        <v>1</v>
      </c>
      <c r="M21" s="114">
        <v>1</v>
      </c>
      <c r="N21" s="114">
        <v>1</v>
      </c>
      <c r="O21" s="122">
        <v>376.5</v>
      </c>
      <c r="P21" s="115">
        <v>89.3</v>
      </c>
      <c r="Q21" s="115">
        <v>92.6</v>
      </c>
      <c r="R21" s="115">
        <v>95.6</v>
      </c>
      <c r="S21" s="115">
        <v>99</v>
      </c>
      <c r="T21" s="131"/>
    </row>
    <row r="22" spans="1:20" ht="102">
      <c r="A22" s="619"/>
      <c r="B22" s="633"/>
      <c r="C22" s="741"/>
      <c r="D22" s="124" t="s">
        <v>2673</v>
      </c>
      <c r="E22" s="125" t="s">
        <v>2674</v>
      </c>
      <c r="F22" s="3">
        <v>6</v>
      </c>
      <c r="G22" s="3">
        <v>43</v>
      </c>
      <c r="H22" s="93" t="s">
        <v>2675</v>
      </c>
      <c r="I22" s="93" t="s">
        <v>2676</v>
      </c>
      <c r="J22" s="114"/>
      <c r="K22" s="114">
        <v>1</v>
      </c>
      <c r="L22" s="114">
        <v>2</v>
      </c>
      <c r="M22" s="114">
        <v>3</v>
      </c>
      <c r="N22" s="114">
        <v>4</v>
      </c>
      <c r="O22" s="122">
        <v>251.8</v>
      </c>
      <c r="P22" s="115">
        <v>59.8</v>
      </c>
      <c r="Q22" s="115">
        <v>61.9</v>
      </c>
      <c r="R22" s="115">
        <v>63.9</v>
      </c>
      <c r="S22" s="115">
        <v>66.2</v>
      </c>
      <c r="T22" s="131"/>
    </row>
    <row r="23" spans="1:20" ht="38.25">
      <c r="A23" s="619"/>
      <c r="B23" s="633"/>
      <c r="C23" s="741"/>
      <c r="D23" s="132" t="s">
        <v>2677</v>
      </c>
      <c r="E23" s="132" t="s">
        <v>1849</v>
      </c>
      <c r="F23" s="114"/>
      <c r="G23" s="93"/>
      <c r="H23" s="93"/>
      <c r="I23" s="114"/>
      <c r="J23" s="114"/>
      <c r="K23" s="114"/>
      <c r="L23" s="114"/>
      <c r="M23" s="114"/>
      <c r="N23" s="114"/>
      <c r="O23" s="114"/>
      <c r="P23" s="120"/>
      <c r="Q23" s="120"/>
      <c r="R23" s="120"/>
      <c r="S23" s="120"/>
      <c r="T23" s="131"/>
    </row>
    <row r="24" spans="1:20" ht="38.25">
      <c r="A24" s="619"/>
      <c r="B24" s="633"/>
      <c r="C24" s="741"/>
      <c r="D24" s="132" t="s">
        <v>1850</v>
      </c>
      <c r="E24" s="132" t="s">
        <v>1851</v>
      </c>
      <c r="F24" s="114">
        <v>1542</v>
      </c>
      <c r="G24" s="93">
        <v>2200</v>
      </c>
      <c r="H24" s="90" t="s">
        <v>1850</v>
      </c>
      <c r="I24" s="90" t="s">
        <v>1851</v>
      </c>
      <c r="J24" s="114">
        <v>1542</v>
      </c>
      <c r="K24" s="114">
        <v>550</v>
      </c>
      <c r="L24" s="114">
        <v>1100</v>
      </c>
      <c r="M24" s="114">
        <v>1650</v>
      </c>
      <c r="N24" s="114">
        <v>2200</v>
      </c>
      <c r="O24" s="114">
        <v>4400000</v>
      </c>
      <c r="P24" s="120">
        <v>1100000</v>
      </c>
      <c r="Q24" s="120">
        <v>1100000</v>
      </c>
      <c r="R24" s="120">
        <v>1100000</v>
      </c>
      <c r="S24" s="120">
        <v>1100000</v>
      </c>
      <c r="T24" s="113" t="s">
        <v>1887</v>
      </c>
    </row>
    <row r="25" spans="1:20" ht="127.5">
      <c r="A25" s="619"/>
      <c r="B25" s="633"/>
      <c r="C25" s="741"/>
      <c r="D25" s="90" t="s">
        <v>1852</v>
      </c>
      <c r="E25" s="90" t="s">
        <v>1853</v>
      </c>
      <c r="F25" s="114"/>
      <c r="G25" s="114"/>
      <c r="H25" s="93" t="s">
        <v>2690</v>
      </c>
      <c r="I25" s="93" t="s">
        <v>2691</v>
      </c>
      <c r="J25" s="114">
        <v>0</v>
      </c>
      <c r="K25" s="114">
        <v>1</v>
      </c>
      <c r="L25" s="114">
        <v>2</v>
      </c>
      <c r="M25" s="114">
        <v>3</v>
      </c>
      <c r="N25" s="114">
        <v>4</v>
      </c>
      <c r="O25" s="114"/>
      <c r="P25" s="120"/>
      <c r="Q25" s="120"/>
      <c r="R25" s="120"/>
      <c r="S25" s="120"/>
      <c r="T25" s="131"/>
    </row>
    <row r="26" spans="1:20" ht="51">
      <c r="A26" s="619"/>
      <c r="B26" s="633"/>
      <c r="C26" s="741"/>
      <c r="D26" s="132" t="s">
        <v>2692</v>
      </c>
      <c r="E26" s="132" t="s">
        <v>2693</v>
      </c>
      <c r="F26" s="114"/>
      <c r="G26" s="114"/>
      <c r="H26" s="90" t="s">
        <v>2694</v>
      </c>
      <c r="I26" s="90" t="s">
        <v>2695</v>
      </c>
      <c r="J26" s="114"/>
      <c r="K26" s="114"/>
      <c r="L26" s="114"/>
      <c r="M26" s="114"/>
      <c r="N26" s="114"/>
      <c r="O26" s="114"/>
      <c r="P26" s="120"/>
      <c r="Q26" s="120"/>
      <c r="R26" s="120"/>
      <c r="S26" s="120"/>
      <c r="T26" s="131"/>
    </row>
    <row r="27" spans="1:20" ht="15.75">
      <c r="A27" s="619"/>
      <c r="B27" s="633"/>
      <c r="C27" s="741"/>
      <c r="D27" s="783" t="s">
        <v>2696</v>
      </c>
      <c r="E27" s="783" t="s">
        <v>2697</v>
      </c>
      <c r="F27" s="114"/>
      <c r="G27" s="114"/>
      <c r="H27" s="612" t="s">
        <v>2698</v>
      </c>
      <c r="I27" s="612"/>
      <c r="J27" s="114"/>
      <c r="K27" s="114"/>
      <c r="L27" s="114"/>
      <c r="M27" s="114"/>
      <c r="N27" s="114"/>
      <c r="O27" s="114"/>
      <c r="P27" s="114"/>
      <c r="Q27" s="120"/>
      <c r="R27" s="120"/>
      <c r="S27" s="120"/>
      <c r="T27" s="120"/>
    </row>
    <row r="28" spans="1:20" ht="15.75">
      <c r="A28" s="619"/>
      <c r="B28" s="633"/>
      <c r="C28" s="741"/>
      <c r="D28" s="784"/>
      <c r="E28" s="784"/>
      <c r="F28" s="114"/>
      <c r="G28" s="114"/>
      <c r="H28" s="612"/>
      <c r="I28" s="612"/>
      <c r="J28" s="114"/>
      <c r="K28" s="114"/>
      <c r="L28" s="114"/>
      <c r="M28" s="114"/>
      <c r="N28" s="114"/>
      <c r="O28" s="114"/>
      <c r="P28" s="114"/>
      <c r="Q28" s="120"/>
      <c r="R28" s="120"/>
      <c r="S28" s="120"/>
      <c r="T28" s="120"/>
    </row>
    <row r="29" spans="1:20" ht="51">
      <c r="A29" s="604"/>
      <c r="B29" s="634"/>
      <c r="C29" s="742"/>
      <c r="D29" s="132" t="s">
        <v>2699</v>
      </c>
      <c r="E29" s="132" t="s">
        <v>2700</v>
      </c>
      <c r="F29" s="114"/>
      <c r="G29" s="114"/>
      <c r="H29" s="90" t="s">
        <v>2701</v>
      </c>
      <c r="I29" s="93"/>
      <c r="J29" s="114"/>
      <c r="K29" s="114"/>
      <c r="L29" s="114"/>
      <c r="M29" s="114"/>
      <c r="N29" s="114"/>
      <c r="O29" s="114"/>
      <c r="P29" s="119"/>
      <c r="Q29" s="121"/>
      <c r="R29" s="121"/>
      <c r="S29" s="121"/>
      <c r="T29" s="121"/>
    </row>
    <row r="30" spans="1:20" ht="89.25">
      <c r="A30" s="560" t="s">
        <v>1888</v>
      </c>
      <c r="B30" s="632"/>
      <c r="C30" s="740"/>
      <c r="D30" s="754" t="s">
        <v>1889</v>
      </c>
      <c r="E30" s="754" t="s">
        <v>1890</v>
      </c>
      <c r="F30" s="754" t="s">
        <v>1891</v>
      </c>
      <c r="G30" s="754">
        <v>300</v>
      </c>
      <c r="H30" s="14" t="s">
        <v>1892</v>
      </c>
      <c r="I30" s="14" t="s">
        <v>1893</v>
      </c>
      <c r="J30" s="3">
        <v>0</v>
      </c>
      <c r="K30" s="3">
        <v>1</v>
      </c>
      <c r="L30" s="3">
        <v>2</v>
      </c>
      <c r="M30" s="3">
        <v>3</v>
      </c>
      <c r="N30" s="3">
        <v>4</v>
      </c>
      <c r="O30" s="3">
        <f>P30+Q30+R30+S30</f>
        <v>0</v>
      </c>
      <c r="P30" s="137">
        <v>0</v>
      </c>
      <c r="Q30" s="137">
        <v>0</v>
      </c>
      <c r="R30" s="137">
        <v>0</v>
      </c>
      <c r="S30" s="137">
        <v>0</v>
      </c>
      <c r="T30" s="762" t="s">
        <v>1948</v>
      </c>
    </row>
    <row r="31" spans="1:20" ht="63.75">
      <c r="A31" s="619"/>
      <c r="B31" s="633"/>
      <c r="C31" s="741"/>
      <c r="D31" s="755"/>
      <c r="E31" s="755"/>
      <c r="F31" s="755"/>
      <c r="G31" s="755"/>
      <c r="H31" s="14" t="s">
        <v>1894</v>
      </c>
      <c r="I31" s="14" t="s">
        <v>1895</v>
      </c>
      <c r="J31" s="3">
        <v>0</v>
      </c>
      <c r="K31" s="3">
        <v>75</v>
      </c>
      <c r="L31" s="3">
        <v>150</v>
      </c>
      <c r="M31" s="3">
        <v>225</v>
      </c>
      <c r="N31" s="3">
        <v>300</v>
      </c>
      <c r="O31" s="3">
        <f>P31+Q31+R31+S31</f>
        <v>260000</v>
      </c>
      <c r="P31" s="137">
        <v>50000</v>
      </c>
      <c r="Q31" s="137">
        <v>60000</v>
      </c>
      <c r="R31" s="137">
        <v>70000</v>
      </c>
      <c r="S31" s="137">
        <v>80000</v>
      </c>
      <c r="T31" s="762"/>
    </row>
    <row r="32" spans="1:20" ht="102">
      <c r="A32" s="619"/>
      <c r="B32" s="633"/>
      <c r="C32" s="741"/>
      <c r="D32" s="755"/>
      <c r="E32" s="755"/>
      <c r="F32" s="755"/>
      <c r="G32" s="755"/>
      <c r="H32" s="14" t="s">
        <v>1896</v>
      </c>
      <c r="I32" s="14" t="s">
        <v>1897</v>
      </c>
      <c r="J32" s="3">
        <v>0</v>
      </c>
      <c r="K32" s="3">
        <v>4</v>
      </c>
      <c r="L32" s="3">
        <v>10</v>
      </c>
      <c r="M32" s="3">
        <v>15</v>
      </c>
      <c r="N32" s="3">
        <v>20</v>
      </c>
      <c r="O32" s="3">
        <f>P32+Q32+R32+S32</f>
        <v>150000</v>
      </c>
      <c r="P32" s="137">
        <v>30000</v>
      </c>
      <c r="Q32" s="137">
        <v>35000</v>
      </c>
      <c r="R32" s="137">
        <v>40000</v>
      </c>
      <c r="S32" s="137">
        <v>45000</v>
      </c>
      <c r="T32" s="762"/>
    </row>
    <row r="33" spans="1:20" ht="76.5">
      <c r="A33" s="619"/>
      <c r="B33" s="633"/>
      <c r="C33" s="741"/>
      <c r="D33" s="756"/>
      <c r="E33" s="756"/>
      <c r="F33" s="756"/>
      <c r="G33" s="756"/>
      <c r="H33" s="14" t="s">
        <v>1898</v>
      </c>
      <c r="I33" s="14" t="s">
        <v>1899</v>
      </c>
      <c r="J33" s="3">
        <v>0</v>
      </c>
      <c r="K33" s="3">
        <v>15</v>
      </c>
      <c r="L33" s="3">
        <v>35</v>
      </c>
      <c r="M33" s="3">
        <v>70</v>
      </c>
      <c r="N33" s="3">
        <v>100</v>
      </c>
      <c r="O33" s="3">
        <f>P33+Q33+R33+S33</f>
        <v>67000</v>
      </c>
      <c r="P33" s="137">
        <v>10000</v>
      </c>
      <c r="Q33" s="137">
        <v>12000</v>
      </c>
      <c r="R33" s="137">
        <v>20000</v>
      </c>
      <c r="S33" s="137">
        <v>25000</v>
      </c>
      <c r="T33" s="762"/>
    </row>
    <row r="34" spans="1:20" ht="63.75">
      <c r="A34" s="619"/>
      <c r="B34" s="633"/>
      <c r="C34" s="741"/>
      <c r="D34" s="90" t="s">
        <v>1900</v>
      </c>
      <c r="E34" s="90" t="s">
        <v>1901</v>
      </c>
      <c r="F34" s="90" t="s">
        <v>1891</v>
      </c>
      <c r="G34" s="90">
        <v>100</v>
      </c>
      <c r="H34" s="14" t="s">
        <v>1902</v>
      </c>
      <c r="I34" s="14" t="s">
        <v>1903</v>
      </c>
      <c r="J34" s="3">
        <v>1</v>
      </c>
      <c r="K34" s="3">
        <v>1</v>
      </c>
      <c r="L34" s="3">
        <v>2</v>
      </c>
      <c r="M34" s="3">
        <v>3</v>
      </c>
      <c r="N34" s="3">
        <v>4</v>
      </c>
      <c r="O34" s="3">
        <f aca="true" t="shared" si="0" ref="O34:O47">P34+Q34+R34+S34</f>
        <v>53000</v>
      </c>
      <c r="P34" s="137">
        <v>10000</v>
      </c>
      <c r="Q34" s="137">
        <v>12000</v>
      </c>
      <c r="R34" s="137">
        <v>15000</v>
      </c>
      <c r="S34" s="137">
        <v>16000</v>
      </c>
      <c r="T34" s="762"/>
    </row>
    <row r="35" spans="1:20" ht="89.25">
      <c r="A35" s="619"/>
      <c r="B35" s="633"/>
      <c r="C35" s="741"/>
      <c r="D35" s="754" t="s">
        <v>1904</v>
      </c>
      <c r="E35" s="754" t="s">
        <v>1905</v>
      </c>
      <c r="F35" s="754" t="s">
        <v>1891</v>
      </c>
      <c r="G35" s="754">
        <v>100</v>
      </c>
      <c r="H35" s="14" t="s">
        <v>1906</v>
      </c>
      <c r="I35" s="14" t="s">
        <v>1907</v>
      </c>
      <c r="J35" s="3">
        <v>0</v>
      </c>
      <c r="K35" s="3">
        <v>1</v>
      </c>
      <c r="L35" s="3">
        <v>2</v>
      </c>
      <c r="M35" s="3">
        <v>3</v>
      </c>
      <c r="N35" s="3">
        <v>4</v>
      </c>
      <c r="O35" s="3">
        <f t="shared" si="0"/>
        <v>93000</v>
      </c>
      <c r="P35" s="137">
        <v>20000</v>
      </c>
      <c r="Q35" s="137">
        <v>22000</v>
      </c>
      <c r="R35" s="137">
        <v>25000</v>
      </c>
      <c r="S35" s="137">
        <v>26000</v>
      </c>
      <c r="T35" s="762"/>
    </row>
    <row r="36" spans="1:20" ht="63.75">
      <c r="A36" s="619"/>
      <c r="B36" s="633"/>
      <c r="C36" s="741"/>
      <c r="D36" s="756"/>
      <c r="E36" s="756"/>
      <c r="F36" s="756"/>
      <c r="G36" s="756"/>
      <c r="H36" s="14" t="s">
        <v>1908</v>
      </c>
      <c r="I36" s="14" t="s">
        <v>1909</v>
      </c>
      <c r="J36" s="3">
        <v>0</v>
      </c>
      <c r="K36" s="3">
        <v>1</v>
      </c>
      <c r="L36" s="3">
        <v>2</v>
      </c>
      <c r="M36" s="3">
        <v>3</v>
      </c>
      <c r="N36" s="3">
        <v>4</v>
      </c>
      <c r="O36" s="3">
        <f t="shared" si="0"/>
        <v>110000</v>
      </c>
      <c r="P36" s="137">
        <v>20000</v>
      </c>
      <c r="Q36" s="137">
        <v>25000</v>
      </c>
      <c r="R36" s="137">
        <v>30000</v>
      </c>
      <c r="S36" s="137">
        <v>35000</v>
      </c>
      <c r="T36" s="762"/>
    </row>
    <row r="37" spans="1:20" ht="76.5">
      <c r="A37" s="619"/>
      <c r="B37" s="633"/>
      <c r="C37" s="741"/>
      <c r="D37" s="754" t="s">
        <v>1910</v>
      </c>
      <c r="E37" s="754" t="s">
        <v>1911</v>
      </c>
      <c r="F37" s="754">
        <v>0</v>
      </c>
      <c r="G37" s="754">
        <v>1</v>
      </c>
      <c r="H37" s="14" t="s">
        <v>1912</v>
      </c>
      <c r="I37" s="14" t="s">
        <v>1893</v>
      </c>
      <c r="J37" s="3">
        <v>0</v>
      </c>
      <c r="K37" s="3">
        <v>1</v>
      </c>
      <c r="L37" s="3">
        <v>1</v>
      </c>
      <c r="M37" s="3">
        <v>2</v>
      </c>
      <c r="N37" s="3">
        <v>2</v>
      </c>
      <c r="O37" s="3">
        <f t="shared" si="0"/>
        <v>0</v>
      </c>
      <c r="P37" s="137">
        <v>0</v>
      </c>
      <c r="Q37" s="137">
        <v>0</v>
      </c>
      <c r="R37" s="137">
        <v>0</v>
      </c>
      <c r="S37" s="137">
        <v>0</v>
      </c>
      <c r="T37" s="762"/>
    </row>
    <row r="38" spans="1:20" ht="63.75">
      <c r="A38" s="619"/>
      <c r="B38" s="633"/>
      <c r="C38" s="741"/>
      <c r="D38" s="755"/>
      <c r="E38" s="755"/>
      <c r="F38" s="755"/>
      <c r="G38" s="755"/>
      <c r="H38" s="14" t="s">
        <v>1913</v>
      </c>
      <c r="I38" s="14" t="s">
        <v>1914</v>
      </c>
      <c r="J38" s="3">
        <v>0</v>
      </c>
      <c r="K38" s="3">
        <v>1</v>
      </c>
      <c r="L38" s="3">
        <v>3</v>
      </c>
      <c r="M38" s="3">
        <v>5</v>
      </c>
      <c r="N38" s="3">
        <v>6</v>
      </c>
      <c r="O38" s="3">
        <f t="shared" si="0"/>
        <v>50000</v>
      </c>
      <c r="P38" s="137">
        <v>10000</v>
      </c>
      <c r="Q38" s="137">
        <v>12000</v>
      </c>
      <c r="R38" s="137">
        <v>15000</v>
      </c>
      <c r="S38" s="137">
        <v>13000</v>
      </c>
      <c r="T38" s="762"/>
    </row>
    <row r="39" spans="1:20" ht="102">
      <c r="A39" s="619"/>
      <c r="B39" s="633"/>
      <c r="C39" s="741"/>
      <c r="D39" s="756"/>
      <c r="E39" s="756"/>
      <c r="F39" s="756"/>
      <c r="G39" s="756"/>
      <c r="H39" s="14" t="s">
        <v>1915</v>
      </c>
      <c r="I39" s="14" t="s">
        <v>1916</v>
      </c>
      <c r="J39" s="3">
        <v>0</v>
      </c>
      <c r="K39" s="3">
        <v>2</v>
      </c>
      <c r="L39" s="3">
        <v>8</v>
      </c>
      <c r="M39" s="3">
        <v>15</v>
      </c>
      <c r="N39" s="3">
        <v>20</v>
      </c>
      <c r="O39" s="3">
        <f t="shared" si="0"/>
        <v>0</v>
      </c>
      <c r="P39" s="137">
        <v>0</v>
      </c>
      <c r="Q39" s="137">
        <v>0</v>
      </c>
      <c r="R39" s="137">
        <v>0</v>
      </c>
      <c r="S39" s="137">
        <v>0</v>
      </c>
      <c r="T39" s="762"/>
    </row>
    <row r="40" spans="1:20" ht="76.5">
      <c r="A40" s="619"/>
      <c r="B40" s="633"/>
      <c r="C40" s="741"/>
      <c r="D40" s="754" t="s">
        <v>1917</v>
      </c>
      <c r="E40" s="754" t="s">
        <v>1918</v>
      </c>
      <c r="F40" s="754">
        <v>0</v>
      </c>
      <c r="G40" s="754">
        <v>1</v>
      </c>
      <c r="H40" s="14" t="s">
        <v>1919</v>
      </c>
      <c r="I40" s="14" t="s">
        <v>1920</v>
      </c>
      <c r="J40" s="3">
        <v>0</v>
      </c>
      <c r="K40" s="3">
        <v>1</v>
      </c>
      <c r="L40" s="3">
        <v>2</v>
      </c>
      <c r="M40" s="3">
        <v>3</v>
      </c>
      <c r="N40" s="3">
        <v>4</v>
      </c>
      <c r="O40" s="3">
        <f t="shared" si="0"/>
        <v>110000</v>
      </c>
      <c r="P40" s="137">
        <v>20000</v>
      </c>
      <c r="Q40" s="137">
        <v>25000</v>
      </c>
      <c r="R40" s="137">
        <v>30000</v>
      </c>
      <c r="S40" s="137">
        <v>35000</v>
      </c>
      <c r="T40" s="762"/>
    </row>
    <row r="41" spans="1:20" ht="76.5">
      <c r="A41" s="619"/>
      <c r="B41" s="633"/>
      <c r="C41" s="741"/>
      <c r="D41" s="756"/>
      <c r="E41" s="756"/>
      <c r="F41" s="756"/>
      <c r="G41" s="756"/>
      <c r="H41" s="14" t="s">
        <v>1921</v>
      </c>
      <c r="I41" s="14" t="s">
        <v>1922</v>
      </c>
      <c r="J41" s="3">
        <v>0</v>
      </c>
      <c r="K41" s="3">
        <v>5</v>
      </c>
      <c r="L41" s="3">
        <v>20</v>
      </c>
      <c r="M41" s="3">
        <v>30</v>
      </c>
      <c r="N41" s="3">
        <v>40</v>
      </c>
      <c r="O41" s="3">
        <f t="shared" si="0"/>
        <v>0</v>
      </c>
      <c r="P41" s="137">
        <v>0</v>
      </c>
      <c r="Q41" s="137">
        <v>0</v>
      </c>
      <c r="R41" s="137">
        <v>0</v>
      </c>
      <c r="S41" s="137">
        <v>0</v>
      </c>
      <c r="T41" s="762"/>
    </row>
    <row r="42" spans="1:20" ht="63.75">
      <c r="A42" s="619"/>
      <c r="B42" s="633"/>
      <c r="C42" s="741"/>
      <c r="D42" s="754" t="s">
        <v>1923</v>
      </c>
      <c r="E42" s="754" t="s">
        <v>1924</v>
      </c>
      <c r="F42" s="754">
        <v>0</v>
      </c>
      <c r="G42" s="754">
        <v>1</v>
      </c>
      <c r="H42" s="14" t="s">
        <v>1925</v>
      </c>
      <c r="I42" s="14" t="s">
        <v>1895</v>
      </c>
      <c r="J42" s="3">
        <v>0</v>
      </c>
      <c r="K42" s="3">
        <v>25</v>
      </c>
      <c r="L42" s="3">
        <v>50</v>
      </c>
      <c r="M42" s="3">
        <v>75</v>
      </c>
      <c r="N42" s="3">
        <v>100</v>
      </c>
      <c r="O42" s="3">
        <f t="shared" si="0"/>
        <v>90000</v>
      </c>
      <c r="P42" s="137">
        <v>15000</v>
      </c>
      <c r="Q42" s="137">
        <v>20000</v>
      </c>
      <c r="R42" s="137">
        <v>25000</v>
      </c>
      <c r="S42" s="137">
        <v>30000</v>
      </c>
      <c r="T42" s="762"/>
    </row>
    <row r="43" spans="1:20" ht="76.5">
      <c r="A43" s="619"/>
      <c r="B43" s="633"/>
      <c r="C43" s="741"/>
      <c r="D43" s="756"/>
      <c r="E43" s="756"/>
      <c r="F43" s="756"/>
      <c r="G43" s="756"/>
      <c r="H43" s="14" t="s">
        <v>1926</v>
      </c>
      <c r="I43" s="14" t="s">
        <v>1927</v>
      </c>
      <c r="J43" s="3">
        <v>0</v>
      </c>
      <c r="K43" s="3">
        <v>2</v>
      </c>
      <c r="L43" s="3">
        <v>4</v>
      </c>
      <c r="M43" s="3">
        <v>6</v>
      </c>
      <c r="N43" s="3">
        <v>8</v>
      </c>
      <c r="O43" s="3">
        <f t="shared" si="0"/>
        <v>97000</v>
      </c>
      <c r="P43" s="137">
        <v>20000</v>
      </c>
      <c r="Q43" s="137">
        <v>22000</v>
      </c>
      <c r="R43" s="137">
        <v>25000</v>
      </c>
      <c r="S43" s="137">
        <v>30000</v>
      </c>
      <c r="T43" s="762"/>
    </row>
    <row r="44" spans="1:20" ht="38.25">
      <c r="A44" s="619"/>
      <c r="B44" s="633"/>
      <c r="C44" s="741"/>
      <c r="D44" s="754" t="s">
        <v>1928</v>
      </c>
      <c r="E44" s="754" t="s">
        <v>1929</v>
      </c>
      <c r="F44" s="754">
        <v>0</v>
      </c>
      <c r="G44" s="754">
        <v>2</v>
      </c>
      <c r="H44" s="14" t="s">
        <v>1930</v>
      </c>
      <c r="I44" s="14" t="s">
        <v>1931</v>
      </c>
      <c r="J44" s="3">
        <v>0</v>
      </c>
      <c r="K44" s="3">
        <v>1</v>
      </c>
      <c r="L44" s="3">
        <v>1</v>
      </c>
      <c r="M44" s="3">
        <v>1</v>
      </c>
      <c r="N44" s="3">
        <v>1</v>
      </c>
      <c r="O44" s="3">
        <f t="shared" si="0"/>
        <v>0</v>
      </c>
      <c r="P44" s="137">
        <v>0</v>
      </c>
      <c r="Q44" s="137">
        <v>0</v>
      </c>
      <c r="R44" s="137">
        <v>0</v>
      </c>
      <c r="S44" s="137">
        <v>0</v>
      </c>
      <c r="T44" s="762"/>
    </row>
    <row r="45" spans="1:20" ht="76.5">
      <c r="A45" s="619"/>
      <c r="B45" s="633"/>
      <c r="C45" s="741"/>
      <c r="D45" s="755"/>
      <c r="E45" s="755"/>
      <c r="F45" s="755"/>
      <c r="G45" s="755"/>
      <c r="H45" s="14" t="s">
        <v>1932</v>
      </c>
      <c r="I45" s="14" t="s">
        <v>1933</v>
      </c>
      <c r="J45" s="3">
        <v>0</v>
      </c>
      <c r="K45" s="3">
        <v>1</v>
      </c>
      <c r="L45" s="3">
        <v>1</v>
      </c>
      <c r="M45" s="3">
        <v>1</v>
      </c>
      <c r="N45" s="3">
        <v>1</v>
      </c>
      <c r="O45" s="3">
        <f t="shared" si="0"/>
        <v>0</v>
      </c>
      <c r="P45" s="137">
        <v>0</v>
      </c>
      <c r="Q45" s="137">
        <v>0</v>
      </c>
      <c r="R45" s="137">
        <v>0</v>
      </c>
      <c r="S45" s="137">
        <v>0</v>
      </c>
      <c r="T45" s="762"/>
    </row>
    <row r="46" spans="1:20" ht="89.25">
      <c r="A46" s="619"/>
      <c r="B46" s="633"/>
      <c r="C46" s="741"/>
      <c r="D46" s="756"/>
      <c r="E46" s="756"/>
      <c r="F46" s="756"/>
      <c r="G46" s="756"/>
      <c r="H46" s="14" t="s">
        <v>1942</v>
      </c>
      <c r="I46" s="14" t="s">
        <v>1943</v>
      </c>
      <c r="J46" s="3">
        <v>0</v>
      </c>
      <c r="K46" s="3">
        <v>1</v>
      </c>
      <c r="L46" s="3">
        <v>1</v>
      </c>
      <c r="M46" s="3">
        <v>1</v>
      </c>
      <c r="N46" s="3">
        <v>1</v>
      </c>
      <c r="O46" s="3">
        <f t="shared" si="0"/>
        <v>110000</v>
      </c>
      <c r="P46" s="137">
        <v>20000</v>
      </c>
      <c r="Q46" s="137">
        <v>25000</v>
      </c>
      <c r="R46" s="137">
        <v>30000</v>
      </c>
      <c r="S46" s="137">
        <v>35000</v>
      </c>
      <c r="T46" s="762"/>
    </row>
    <row r="47" spans="1:20" ht="63.75">
      <c r="A47" s="604"/>
      <c r="B47" s="634"/>
      <c r="C47" s="742"/>
      <c r="D47" s="123" t="s">
        <v>1944</v>
      </c>
      <c r="E47" s="123" t="s">
        <v>1945</v>
      </c>
      <c r="F47" s="90">
        <v>1</v>
      </c>
      <c r="G47" s="123">
        <v>2</v>
      </c>
      <c r="H47" s="123" t="s">
        <v>1946</v>
      </c>
      <c r="I47" s="123" t="s">
        <v>1947</v>
      </c>
      <c r="J47" s="3">
        <v>1</v>
      </c>
      <c r="K47" s="3">
        <v>0</v>
      </c>
      <c r="L47" s="3">
        <v>1</v>
      </c>
      <c r="M47" s="3">
        <v>2</v>
      </c>
      <c r="N47" s="3">
        <v>2</v>
      </c>
      <c r="O47" s="3">
        <f t="shared" si="0"/>
        <v>70000</v>
      </c>
      <c r="P47" s="137">
        <v>15000</v>
      </c>
      <c r="Q47" s="137">
        <v>15000</v>
      </c>
      <c r="R47" s="137">
        <v>20000</v>
      </c>
      <c r="S47" s="137">
        <v>20000</v>
      </c>
      <c r="T47" s="762"/>
    </row>
    <row r="48" spans="1:20" ht="48" customHeight="1">
      <c r="A48" s="560" t="s">
        <v>1949</v>
      </c>
      <c r="B48" s="642"/>
      <c r="C48" s="771"/>
      <c r="D48" s="144" t="s">
        <v>1961</v>
      </c>
      <c r="E48" s="144" t="s">
        <v>1950</v>
      </c>
      <c r="F48" s="140">
        <v>102</v>
      </c>
      <c r="G48" s="143">
        <v>288</v>
      </c>
      <c r="H48" s="144" t="s">
        <v>1959</v>
      </c>
      <c r="I48" s="144" t="s">
        <v>1960</v>
      </c>
      <c r="J48" s="141">
        <v>102</v>
      </c>
      <c r="K48" s="142">
        <v>40</v>
      </c>
      <c r="L48" s="142">
        <v>120</v>
      </c>
      <c r="M48" s="142">
        <v>200</v>
      </c>
      <c r="N48" s="142">
        <v>280</v>
      </c>
      <c r="O48" s="143">
        <v>1000000</v>
      </c>
      <c r="P48" s="143">
        <v>130000</v>
      </c>
      <c r="Q48" s="143">
        <v>290000</v>
      </c>
      <c r="R48" s="143">
        <v>290000</v>
      </c>
      <c r="S48" s="143">
        <v>280000</v>
      </c>
      <c r="T48" s="148" t="s">
        <v>1887</v>
      </c>
    </row>
    <row r="49" spans="1:20" ht="38.25">
      <c r="A49" s="619"/>
      <c r="B49" s="643"/>
      <c r="C49" s="741"/>
      <c r="D49" s="125" t="s">
        <v>1951</v>
      </c>
      <c r="E49" s="124" t="s">
        <v>1952</v>
      </c>
      <c r="F49" s="129"/>
      <c r="G49" s="90"/>
      <c r="H49" s="90" t="s">
        <v>1962</v>
      </c>
      <c r="I49" s="142" t="s">
        <v>1967</v>
      </c>
      <c r="J49" s="142">
        <v>0</v>
      </c>
      <c r="K49" s="142">
        <v>1</v>
      </c>
      <c r="L49" s="142">
        <v>2</v>
      </c>
      <c r="M49" s="142">
        <v>4</v>
      </c>
      <c r="N49" s="142">
        <v>5</v>
      </c>
      <c r="O49" s="145"/>
      <c r="P49" s="145"/>
      <c r="Q49" s="145"/>
      <c r="R49" s="145"/>
      <c r="S49" s="139"/>
      <c r="T49" s="139"/>
    </row>
    <row r="50" spans="1:20" ht="89.25">
      <c r="A50" s="619"/>
      <c r="B50" s="643"/>
      <c r="C50" s="741"/>
      <c r="D50" s="132" t="s">
        <v>1953</v>
      </c>
      <c r="E50" s="132" t="s">
        <v>1954</v>
      </c>
      <c r="F50" s="132" t="s">
        <v>1963</v>
      </c>
      <c r="G50" s="132" t="s">
        <v>1964</v>
      </c>
      <c r="H50" s="132" t="s">
        <v>1965</v>
      </c>
      <c r="I50" s="146" t="s">
        <v>1966</v>
      </c>
      <c r="J50" s="142">
        <v>0</v>
      </c>
      <c r="K50" s="142">
        <v>0</v>
      </c>
      <c r="L50" s="142">
        <v>10</v>
      </c>
      <c r="M50" s="142">
        <v>20</v>
      </c>
      <c r="N50" s="142">
        <v>30</v>
      </c>
      <c r="O50" s="145"/>
      <c r="P50" s="145"/>
      <c r="Q50" s="145"/>
      <c r="R50" s="145"/>
      <c r="S50" s="139"/>
      <c r="T50" s="148" t="s">
        <v>1977</v>
      </c>
    </row>
    <row r="51" spans="1:20" ht="63.75">
      <c r="A51" s="619"/>
      <c r="B51" s="643"/>
      <c r="C51" s="741"/>
      <c r="D51" s="132" t="s">
        <v>1955</v>
      </c>
      <c r="E51" s="132" t="s">
        <v>1956</v>
      </c>
      <c r="F51" s="139"/>
      <c r="G51" s="139"/>
      <c r="H51" s="139"/>
      <c r="I51" s="139"/>
      <c r="J51" s="139"/>
      <c r="K51" s="139"/>
      <c r="L51" s="139"/>
      <c r="M51" s="139"/>
      <c r="N51" s="139"/>
      <c r="O51" s="139"/>
      <c r="P51" s="139"/>
      <c r="Q51" s="139"/>
      <c r="R51" s="139"/>
      <c r="S51" s="139"/>
      <c r="T51" s="139"/>
    </row>
    <row r="52" spans="1:20" ht="38.25">
      <c r="A52" s="604"/>
      <c r="B52" s="644"/>
      <c r="C52" s="742"/>
      <c r="D52" s="132" t="s">
        <v>1957</v>
      </c>
      <c r="E52" s="132" t="s">
        <v>1958</v>
      </c>
      <c r="F52" s="139"/>
      <c r="G52" s="139"/>
      <c r="H52" s="139"/>
      <c r="I52" s="139"/>
      <c r="J52" s="139"/>
      <c r="K52" s="139"/>
      <c r="L52" s="139"/>
      <c r="M52" s="139"/>
      <c r="N52" s="139"/>
      <c r="O52" s="139"/>
      <c r="P52" s="139"/>
      <c r="Q52" s="139"/>
      <c r="R52" s="139"/>
      <c r="S52" s="139"/>
      <c r="T52" s="139"/>
    </row>
    <row r="53" spans="1:20" ht="51">
      <c r="A53" s="549" t="s">
        <v>1968</v>
      </c>
      <c r="B53" s="631"/>
      <c r="C53" s="775"/>
      <c r="D53" s="612" t="s">
        <v>1969</v>
      </c>
      <c r="E53" s="612" t="s">
        <v>1970</v>
      </c>
      <c r="F53" s="596">
        <v>0</v>
      </c>
      <c r="G53" s="596">
        <v>1</v>
      </c>
      <c r="H53" s="14" t="s">
        <v>1971</v>
      </c>
      <c r="I53" s="14" t="s">
        <v>1972</v>
      </c>
      <c r="J53" s="3">
        <v>0</v>
      </c>
      <c r="K53" s="3">
        <v>0</v>
      </c>
      <c r="L53" s="3">
        <v>1</v>
      </c>
      <c r="M53" s="3">
        <v>1</v>
      </c>
      <c r="N53" s="3">
        <v>1</v>
      </c>
      <c r="O53" s="3">
        <f>P53+Q53+R53+S53</f>
        <v>30000</v>
      </c>
      <c r="P53" s="137">
        <v>0</v>
      </c>
      <c r="Q53" s="137">
        <v>15000</v>
      </c>
      <c r="R53" s="137">
        <v>15000</v>
      </c>
      <c r="S53" s="137">
        <v>0</v>
      </c>
      <c r="T53" s="147"/>
    </row>
    <row r="54" spans="1:20" ht="38.25">
      <c r="A54" s="549"/>
      <c r="B54" s="631"/>
      <c r="C54" s="775"/>
      <c r="D54" s="612"/>
      <c r="E54" s="612"/>
      <c r="F54" s="596"/>
      <c r="G54" s="596"/>
      <c r="H54" s="14" t="s">
        <v>1973</v>
      </c>
      <c r="I54" s="14" t="s">
        <v>1974</v>
      </c>
      <c r="J54" s="3">
        <v>0</v>
      </c>
      <c r="K54" s="3">
        <v>1</v>
      </c>
      <c r="L54" s="3">
        <v>2</v>
      </c>
      <c r="M54" s="3">
        <v>3</v>
      </c>
      <c r="N54" s="3">
        <v>4</v>
      </c>
      <c r="O54" s="3">
        <f>P54+Q54+R54+S54</f>
        <v>0</v>
      </c>
      <c r="P54" s="137">
        <v>0</v>
      </c>
      <c r="Q54" s="137">
        <v>0</v>
      </c>
      <c r="R54" s="137">
        <v>0</v>
      </c>
      <c r="S54" s="137">
        <v>0</v>
      </c>
      <c r="T54" s="147"/>
    </row>
    <row r="55" spans="1:20" ht="63.75">
      <c r="A55" s="549"/>
      <c r="B55" s="631"/>
      <c r="C55" s="775"/>
      <c r="D55" s="612"/>
      <c r="E55" s="612"/>
      <c r="F55" s="596"/>
      <c r="G55" s="596"/>
      <c r="H55" s="90" t="s">
        <v>1975</v>
      </c>
      <c r="I55" s="90" t="s">
        <v>1976</v>
      </c>
      <c r="J55" s="3">
        <v>0</v>
      </c>
      <c r="K55" s="3">
        <v>10</v>
      </c>
      <c r="L55" s="3">
        <v>40</v>
      </c>
      <c r="M55" s="3">
        <v>70</v>
      </c>
      <c r="N55" s="3">
        <v>100</v>
      </c>
      <c r="O55" s="3">
        <f>P55+Q55+R55+S55</f>
        <v>0</v>
      </c>
      <c r="P55" s="137">
        <v>0</v>
      </c>
      <c r="Q55" s="137">
        <v>0</v>
      </c>
      <c r="R55" s="137">
        <v>0</v>
      </c>
      <c r="S55" s="137">
        <v>0</v>
      </c>
      <c r="T55" s="147"/>
    </row>
    <row r="56" spans="1:20" ht="25.5">
      <c r="A56" s="549"/>
      <c r="B56" s="631"/>
      <c r="C56" s="775"/>
      <c r="D56" s="132" t="s">
        <v>1978</v>
      </c>
      <c r="E56" s="132" t="s">
        <v>1979</v>
      </c>
      <c r="F56" s="139" t="s">
        <v>2001</v>
      </c>
      <c r="G56" s="139"/>
      <c r="H56" s="139"/>
      <c r="I56" s="139"/>
      <c r="J56" s="139"/>
      <c r="K56" s="139"/>
      <c r="L56" s="139"/>
      <c r="M56" s="139"/>
      <c r="N56" s="139"/>
      <c r="O56" s="139"/>
      <c r="P56" s="139"/>
      <c r="Q56" s="139"/>
      <c r="R56" s="139"/>
      <c r="S56" s="139"/>
      <c r="T56" s="139"/>
    </row>
    <row r="57" spans="1:20" ht="25.5">
      <c r="A57" s="151" t="s">
        <v>1980</v>
      </c>
      <c r="B57" s="127"/>
      <c r="C57" s="6"/>
      <c r="D57" s="90" t="s">
        <v>1981</v>
      </c>
      <c r="E57" s="90" t="s">
        <v>1982</v>
      </c>
      <c r="F57" s="139" t="s">
        <v>2002</v>
      </c>
      <c r="G57" s="139"/>
      <c r="H57" s="139"/>
      <c r="I57" s="139"/>
      <c r="J57" s="139"/>
      <c r="K57" s="139"/>
      <c r="L57" s="139"/>
      <c r="M57" s="139"/>
      <c r="N57" s="139"/>
      <c r="O57" s="139"/>
      <c r="P57" s="139"/>
      <c r="Q57" s="139"/>
      <c r="R57" s="139"/>
      <c r="S57" s="139"/>
      <c r="T57" s="139"/>
    </row>
    <row r="58" spans="1:20" ht="25.5">
      <c r="A58" s="151" t="s">
        <v>1983</v>
      </c>
      <c r="B58" s="127"/>
      <c r="C58" s="149"/>
      <c r="D58" s="90" t="s">
        <v>1984</v>
      </c>
      <c r="E58" s="90" t="s">
        <v>1985</v>
      </c>
      <c r="F58" s="139" t="s">
        <v>2002</v>
      </c>
      <c r="G58" s="139"/>
      <c r="H58" s="139"/>
      <c r="I58" s="139"/>
      <c r="J58" s="139"/>
      <c r="K58" s="139"/>
      <c r="L58" s="139"/>
      <c r="M58" s="139"/>
      <c r="N58" s="139"/>
      <c r="O58" s="139"/>
      <c r="P58" s="139"/>
      <c r="Q58" s="139"/>
      <c r="R58" s="139"/>
      <c r="S58" s="139"/>
      <c r="T58" s="139"/>
    </row>
    <row r="59" spans="1:20" ht="25.5">
      <c r="A59" s="151" t="s">
        <v>1986</v>
      </c>
      <c r="B59" s="150"/>
      <c r="C59" s="6"/>
      <c r="D59" s="90" t="s">
        <v>1987</v>
      </c>
      <c r="E59" s="90" t="s">
        <v>1988</v>
      </c>
      <c r="F59" s="139" t="s">
        <v>2002</v>
      </c>
      <c r="G59" s="139"/>
      <c r="H59" s="139"/>
      <c r="I59" s="139"/>
      <c r="J59" s="139"/>
      <c r="K59" s="139"/>
      <c r="L59" s="139"/>
      <c r="M59" s="139"/>
      <c r="N59" s="139"/>
      <c r="O59" s="139"/>
      <c r="P59" s="139"/>
      <c r="Q59" s="139"/>
      <c r="R59" s="139"/>
      <c r="S59" s="139"/>
      <c r="T59" s="139"/>
    </row>
    <row r="60" spans="1:20" ht="38.25">
      <c r="A60" s="151" t="s">
        <v>1989</v>
      </c>
      <c r="B60" s="150"/>
      <c r="C60" s="6"/>
      <c r="D60" s="90" t="s">
        <v>1990</v>
      </c>
      <c r="E60" s="90" t="s">
        <v>1991</v>
      </c>
      <c r="F60" s="139" t="s">
        <v>2002</v>
      </c>
      <c r="G60" s="139"/>
      <c r="H60" s="139"/>
      <c r="I60" s="139"/>
      <c r="J60" s="139"/>
      <c r="K60" s="139"/>
      <c r="L60" s="139"/>
      <c r="M60" s="139"/>
      <c r="N60" s="139"/>
      <c r="O60" s="139"/>
      <c r="P60" s="139"/>
      <c r="Q60" s="139"/>
      <c r="R60" s="139"/>
      <c r="S60" s="139"/>
      <c r="T60" s="139"/>
    </row>
    <row r="61" spans="1:20" ht="51">
      <c r="A61" s="151" t="s">
        <v>1992</v>
      </c>
      <c r="B61" s="150"/>
      <c r="C61" s="6"/>
      <c r="D61" s="90" t="s">
        <v>1993</v>
      </c>
      <c r="E61" s="90" t="s">
        <v>1994</v>
      </c>
      <c r="F61" s="139" t="s">
        <v>2002</v>
      </c>
      <c r="G61" s="139"/>
      <c r="H61" s="139"/>
      <c r="I61" s="139"/>
      <c r="J61" s="139"/>
      <c r="K61" s="139"/>
      <c r="L61" s="139"/>
      <c r="M61" s="139"/>
      <c r="N61" s="139"/>
      <c r="O61" s="139"/>
      <c r="P61" s="139"/>
      <c r="Q61" s="139"/>
      <c r="R61" s="139"/>
      <c r="S61" s="139"/>
      <c r="T61" s="139"/>
    </row>
    <row r="62" spans="1:20" ht="37.5" customHeight="1">
      <c r="A62" s="151" t="s">
        <v>1995</v>
      </c>
      <c r="B62" s="150"/>
      <c r="C62" s="6"/>
      <c r="D62" s="90" t="s">
        <v>1996</v>
      </c>
      <c r="E62" s="90" t="s">
        <v>1997</v>
      </c>
      <c r="F62" s="139" t="s">
        <v>2002</v>
      </c>
      <c r="G62" s="139"/>
      <c r="H62" s="139"/>
      <c r="I62" s="139"/>
      <c r="J62" s="139"/>
      <c r="K62" s="139"/>
      <c r="L62" s="139"/>
      <c r="M62" s="139"/>
      <c r="N62" s="139"/>
      <c r="O62" s="139"/>
      <c r="P62" s="139"/>
      <c r="Q62" s="139"/>
      <c r="R62" s="139"/>
      <c r="S62" s="139"/>
      <c r="T62" s="139"/>
    </row>
    <row r="63" spans="1:20" ht="25.5">
      <c r="A63" s="151" t="s">
        <v>1998</v>
      </c>
      <c r="B63" s="150"/>
      <c r="C63" s="6"/>
      <c r="D63" s="90" t="s">
        <v>1999</v>
      </c>
      <c r="E63" s="90" t="s">
        <v>2000</v>
      </c>
      <c r="F63" s="139" t="s">
        <v>2002</v>
      </c>
      <c r="G63" s="139"/>
      <c r="H63" s="139"/>
      <c r="I63" s="139"/>
      <c r="J63" s="139"/>
      <c r="K63" s="139"/>
      <c r="L63" s="139"/>
      <c r="M63" s="139"/>
      <c r="N63" s="139"/>
      <c r="O63" s="139"/>
      <c r="P63" s="139"/>
      <c r="Q63" s="139"/>
      <c r="R63" s="139"/>
      <c r="S63" s="139"/>
      <c r="T63" s="139"/>
    </row>
    <row r="64" spans="1:20" ht="51">
      <c r="A64" s="560" t="s">
        <v>2003</v>
      </c>
      <c r="B64" s="642"/>
      <c r="C64" s="772"/>
      <c r="D64" s="132" t="s">
        <v>2004</v>
      </c>
      <c r="E64" s="132" t="s">
        <v>2005</v>
      </c>
      <c r="F64" s="159">
        <v>0</v>
      </c>
      <c r="G64" s="159">
        <v>1</v>
      </c>
      <c r="H64" s="136" t="s">
        <v>2004</v>
      </c>
      <c r="I64" s="136" t="s">
        <v>2005</v>
      </c>
      <c r="J64" s="157"/>
      <c r="K64" s="157"/>
      <c r="L64" s="157"/>
      <c r="M64" s="157"/>
      <c r="N64" s="139"/>
      <c r="O64" s="139"/>
      <c r="P64" s="139"/>
      <c r="Q64" s="139"/>
      <c r="R64" s="139"/>
      <c r="S64" s="139"/>
      <c r="T64" s="139"/>
    </row>
    <row r="65" spans="1:20" ht="51">
      <c r="A65" s="619"/>
      <c r="B65" s="643"/>
      <c r="C65" s="773"/>
      <c r="D65" s="754" t="s">
        <v>2006</v>
      </c>
      <c r="E65" s="754" t="s">
        <v>2007</v>
      </c>
      <c r="F65" s="159">
        <v>0</v>
      </c>
      <c r="G65" s="159">
        <v>1</v>
      </c>
      <c r="H65" s="144" t="s">
        <v>3126</v>
      </c>
      <c r="I65" s="144" t="s">
        <v>3127</v>
      </c>
      <c r="J65" s="154">
        <v>0</v>
      </c>
      <c r="K65" s="154">
        <v>1</v>
      </c>
      <c r="L65" s="154">
        <v>1</v>
      </c>
      <c r="M65" s="154">
        <v>1</v>
      </c>
      <c r="N65" s="154">
        <v>1</v>
      </c>
      <c r="O65" s="155">
        <v>200000</v>
      </c>
      <c r="P65" s="155">
        <v>200000</v>
      </c>
      <c r="Q65" s="155">
        <v>0</v>
      </c>
      <c r="R65" s="155">
        <v>0</v>
      </c>
      <c r="S65" s="155">
        <v>0</v>
      </c>
      <c r="T65" s="763" t="s">
        <v>1887</v>
      </c>
    </row>
    <row r="66" spans="1:20" ht="51">
      <c r="A66" s="619"/>
      <c r="B66" s="643"/>
      <c r="C66" s="773"/>
      <c r="D66" s="755"/>
      <c r="E66" s="755"/>
      <c r="F66" s="159">
        <v>0</v>
      </c>
      <c r="G66" s="159">
        <v>1</v>
      </c>
      <c r="H66" s="144" t="s">
        <v>2035</v>
      </c>
      <c r="I66" s="144" t="s">
        <v>2036</v>
      </c>
      <c r="J66" s="154">
        <v>0</v>
      </c>
      <c r="K66" s="154">
        <v>0</v>
      </c>
      <c r="L66" s="154">
        <v>1</v>
      </c>
      <c r="M66" s="154">
        <v>1</v>
      </c>
      <c r="N66" s="154">
        <v>1</v>
      </c>
      <c r="O66" s="155">
        <v>600000</v>
      </c>
      <c r="P66" s="155">
        <v>0</v>
      </c>
      <c r="Q66" s="155">
        <v>600000</v>
      </c>
      <c r="R66" s="155">
        <v>0</v>
      </c>
      <c r="S66" s="155">
        <v>0</v>
      </c>
      <c r="T66" s="764"/>
    </row>
    <row r="67" spans="1:20" ht="76.5">
      <c r="A67" s="619"/>
      <c r="B67" s="643"/>
      <c r="C67" s="773"/>
      <c r="D67" s="755"/>
      <c r="E67" s="755"/>
      <c r="F67" s="159">
        <v>0</v>
      </c>
      <c r="G67" s="159">
        <v>1</v>
      </c>
      <c r="H67" s="144" t="s">
        <v>2037</v>
      </c>
      <c r="I67" s="144" t="s">
        <v>2038</v>
      </c>
      <c r="J67" s="154">
        <v>0</v>
      </c>
      <c r="K67" s="154">
        <v>0</v>
      </c>
      <c r="L67" s="154">
        <v>1</v>
      </c>
      <c r="M67" s="154">
        <v>1</v>
      </c>
      <c r="N67" s="154">
        <v>1</v>
      </c>
      <c r="O67" s="155">
        <v>600000</v>
      </c>
      <c r="P67" s="155">
        <v>0</v>
      </c>
      <c r="Q67" s="155">
        <v>600000</v>
      </c>
      <c r="R67" s="155">
        <v>0</v>
      </c>
      <c r="S67" s="155">
        <v>0</v>
      </c>
      <c r="T67" s="764"/>
    </row>
    <row r="68" spans="1:20" ht="63.75">
      <c r="A68" s="619"/>
      <c r="B68" s="643"/>
      <c r="C68" s="773"/>
      <c r="D68" s="756"/>
      <c r="E68" s="756"/>
      <c r="F68" s="160">
        <v>0</v>
      </c>
      <c r="G68" s="160">
        <v>1</v>
      </c>
      <c r="H68" s="161" t="s">
        <v>2039</v>
      </c>
      <c r="I68" s="161" t="s">
        <v>2040</v>
      </c>
      <c r="J68" s="162">
        <v>0</v>
      </c>
      <c r="K68" s="162">
        <v>0</v>
      </c>
      <c r="L68" s="162">
        <v>0</v>
      </c>
      <c r="M68" s="162">
        <v>1</v>
      </c>
      <c r="N68" s="162">
        <v>1</v>
      </c>
      <c r="O68" s="156">
        <v>2000000</v>
      </c>
      <c r="P68" s="156">
        <v>0</v>
      </c>
      <c r="Q68" s="156">
        <v>0</v>
      </c>
      <c r="R68" s="156">
        <v>2000000</v>
      </c>
      <c r="S68" s="156">
        <v>0</v>
      </c>
      <c r="T68" s="764"/>
    </row>
    <row r="69" spans="1:20" ht="38.25">
      <c r="A69" s="619"/>
      <c r="B69" s="643"/>
      <c r="C69" s="773"/>
      <c r="D69" s="90" t="s">
        <v>2008</v>
      </c>
      <c r="E69" s="90" t="s">
        <v>2009</v>
      </c>
      <c r="F69" s="159">
        <v>0</v>
      </c>
      <c r="G69" s="159">
        <v>8</v>
      </c>
      <c r="H69" s="144" t="s">
        <v>2041</v>
      </c>
      <c r="I69" s="144" t="s">
        <v>2042</v>
      </c>
      <c r="J69" s="154">
        <v>0</v>
      </c>
      <c r="K69" s="154">
        <v>2</v>
      </c>
      <c r="L69" s="154">
        <v>4</v>
      </c>
      <c r="M69" s="154">
        <v>6</v>
      </c>
      <c r="N69" s="154">
        <v>8</v>
      </c>
      <c r="O69" s="155">
        <v>1200000</v>
      </c>
      <c r="P69" s="155">
        <v>300000</v>
      </c>
      <c r="Q69" s="155">
        <v>300000</v>
      </c>
      <c r="R69" s="155">
        <v>300000</v>
      </c>
      <c r="S69" s="155">
        <v>300000</v>
      </c>
      <c r="T69" s="155" t="s">
        <v>1887</v>
      </c>
    </row>
    <row r="70" spans="1:20" ht="15.75">
      <c r="A70" s="619"/>
      <c r="B70" s="643"/>
      <c r="C70" s="773"/>
      <c r="D70" s="770" t="s">
        <v>2010</v>
      </c>
      <c r="E70" s="132" t="s">
        <v>2011</v>
      </c>
      <c r="F70" s="765">
        <v>0</v>
      </c>
      <c r="G70" s="765">
        <v>1</v>
      </c>
      <c r="H70" s="163"/>
      <c r="I70" s="163"/>
      <c r="J70" s="158"/>
      <c r="K70" s="158"/>
      <c r="L70" s="158"/>
      <c r="M70" s="158"/>
      <c r="N70" s="158"/>
      <c r="O70" s="158"/>
      <c r="P70" s="158"/>
      <c r="Q70" s="158"/>
      <c r="R70" s="158"/>
      <c r="S70" s="158"/>
      <c r="T70" s="158"/>
    </row>
    <row r="71" spans="1:20" ht="15.75">
      <c r="A71" s="619"/>
      <c r="B71" s="643"/>
      <c r="C71" s="773"/>
      <c r="D71" s="770"/>
      <c r="E71" s="132" t="s">
        <v>2012</v>
      </c>
      <c r="F71" s="766"/>
      <c r="G71" s="766"/>
      <c r="H71" s="164"/>
      <c r="I71" s="164"/>
      <c r="J71" s="139"/>
      <c r="K71" s="139"/>
      <c r="L71" s="139"/>
      <c r="M71" s="139"/>
      <c r="N71" s="139"/>
      <c r="O71" s="139"/>
      <c r="P71" s="139"/>
      <c r="Q71" s="139"/>
      <c r="R71" s="139"/>
      <c r="S71" s="139"/>
      <c r="T71" s="139"/>
    </row>
    <row r="72" spans="1:20" ht="15.75">
      <c r="A72" s="619"/>
      <c r="B72" s="643"/>
      <c r="C72" s="773"/>
      <c r="D72" s="770"/>
      <c r="E72" s="132" t="s">
        <v>2013</v>
      </c>
      <c r="F72" s="767"/>
      <c r="G72" s="767"/>
      <c r="H72" s="164"/>
      <c r="I72" s="164"/>
      <c r="J72" s="139"/>
      <c r="K72" s="139"/>
      <c r="L72" s="139"/>
      <c r="M72" s="139"/>
      <c r="N72" s="139"/>
      <c r="O72" s="139"/>
      <c r="P72" s="139"/>
      <c r="Q72" s="139"/>
      <c r="R72" s="139"/>
      <c r="S72" s="139"/>
      <c r="T72" s="139"/>
    </row>
    <row r="73" spans="1:20" ht="55.5" customHeight="1">
      <c r="A73" s="619"/>
      <c r="B73" s="643"/>
      <c r="C73" s="773"/>
      <c r="D73" s="549" t="s">
        <v>2014</v>
      </c>
      <c r="E73" s="631" t="s">
        <v>2015</v>
      </c>
      <c r="F73" s="626">
        <v>100</v>
      </c>
      <c r="G73" s="768">
        <v>1000</v>
      </c>
      <c r="H73" s="14" t="s">
        <v>2043</v>
      </c>
      <c r="I73" s="90" t="s">
        <v>3001</v>
      </c>
      <c r="J73" s="137">
        <v>0</v>
      </c>
      <c r="K73" s="78">
        <v>4</v>
      </c>
      <c r="L73" s="78">
        <v>8</v>
      </c>
      <c r="M73" s="78">
        <v>12</v>
      </c>
      <c r="N73" s="78">
        <v>16</v>
      </c>
      <c r="O73" s="167">
        <v>15000</v>
      </c>
      <c r="P73" s="167">
        <v>5000</v>
      </c>
      <c r="Q73" s="167">
        <v>2000</v>
      </c>
      <c r="R73" s="167">
        <v>4000</v>
      </c>
      <c r="S73" s="167">
        <v>4000</v>
      </c>
      <c r="T73" s="757" t="s">
        <v>2044</v>
      </c>
    </row>
    <row r="74" spans="1:20" ht="51">
      <c r="A74" s="619"/>
      <c r="B74" s="643"/>
      <c r="C74" s="773"/>
      <c r="D74" s="549"/>
      <c r="E74" s="631"/>
      <c r="F74" s="626"/>
      <c r="G74" s="768"/>
      <c r="H74" s="14" t="s">
        <v>2045</v>
      </c>
      <c r="I74" s="14" t="s">
        <v>2046</v>
      </c>
      <c r="J74" s="78">
        <v>0</v>
      </c>
      <c r="K74" s="78">
        <v>2</v>
      </c>
      <c r="L74" s="78">
        <v>4</v>
      </c>
      <c r="M74" s="78">
        <v>5</v>
      </c>
      <c r="N74" s="78">
        <v>6</v>
      </c>
      <c r="O74" s="167">
        <v>30000</v>
      </c>
      <c r="P74" s="167">
        <v>20000</v>
      </c>
      <c r="Q74" s="167">
        <v>3000</v>
      </c>
      <c r="R74" s="167">
        <v>3000</v>
      </c>
      <c r="S74" s="167">
        <v>4000</v>
      </c>
      <c r="T74" s="758"/>
    </row>
    <row r="75" spans="1:20" ht="38.25">
      <c r="A75" s="619"/>
      <c r="B75" s="643"/>
      <c r="C75" s="773"/>
      <c r="D75" s="549"/>
      <c r="E75" s="631"/>
      <c r="F75" s="626"/>
      <c r="G75" s="768"/>
      <c r="H75" s="14" t="s">
        <v>2047</v>
      </c>
      <c r="I75" s="14" t="s">
        <v>2048</v>
      </c>
      <c r="J75" s="169">
        <v>0</v>
      </c>
      <c r="K75" s="78">
        <v>3</v>
      </c>
      <c r="L75" s="78">
        <v>6</v>
      </c>
      <c r="M75" s="78">
        <v>9</v>
      </c>
      <c r="N75" s="78">
        <v>12</v>
      </c>
      <c r="O75" s="173">
        <v>0</v>
      </c>
      <c r="P75" s="167">
        <v>0</v>
      </c>
      <c r="Q75" s="167">
        <v>0</v>
      </c>
      <c r="R75" s="167">
        <v>0</v>
      </c>
      <c r="S75" s="167">
        <v>0</v>
      </c>
      <c r="T75" s="769"/>
    </row>
    <row r="76" spans="1:20" ht="24" customHeight="1">
      <c r="A76" s="619"/>
      <c r="B76" s="643"/>
      <c r="C76" s="773"/>
      <c r="D76" s="752" t="s">
        <v>2016</v>
      </c>
      <c r="E76" s="752" t="s">
        <v>2017</v>
      </c>
      <c r="F76" s="687">
        <v>0</v>
      </c>
      <c r="G76" s="687">
        <v>1</v>
      </c>
      <c r="H76" s="90" t="s">
        <v>2049</v>
      </c>
      <c r="I76" s="90" t="s">
        <v>2050</v>
      </c>
      <c r="J76" s="81">
        <v>0</v>
      </c>
      <c r="K76" s="78">
        <v>0</v>
      </c>
      <c r="L76" s="78">
        <v>0</v>
      </c>
      <c r="M76" s="78">
        <v>1</v>
      </c>
      <c r="N76" s="78">
        <v>2</v>
      </c>
      <c r="O76" s="167">
        <v>36000</v>
      </c>
      <c r="P76" s="167">
        <v>25000</v>
      </c>
      <c r="Q76" s="167">
        <v>27000</v>
      </c>
      <c r="R76" s="167">
        <v>32000</v>
      </c>
      <c r="S76" s="167">
        <v>36000</v>
      </c>
      <c r="T76" s="762" t="s">
        <v>2044</v>
      </c>
    </row>
    <row r="77" spans="1:20" ht="51">
      <c r="A77" s="619"/>
      <c r="B77" s="643"/>
      <c r="C77" s="773"/>
      <c r="D77" s="752"/>
      <c r="E77" s="752"/>
      <c r="F77" s="688"/>
      <c r="G77" s="688"/>
      <c r="H77" s="90" t="s">
        <v>2051</v>
      </c>
      <c r="I77" s="90" t="s">
        <v>2052</v>
      </c>
      <c r="J77" s="171">
        <v>0</v>
      </c>
      <c r="K77" s="172">
        <v>0</v>
      </c>
      <c r="L77" s="172">
        <v>0</v>
      </c>
      <c r="M77" s="172">
        <v>0</v>
      </c>
      <c r="N77" s="78">
        <v>1</v>
      </c>
      <c r="O77" s="167">
        <v>30000</v>
      </c>
      <c r="P77" s="167">
        <v>20000</v>
      </c>
      <c r="Q77" s="167">
        <v>2000</v>
      </c>
      <c r="R77" s="167">
        <v>2000</v>
      </c>
      <c r="S77" s="167">
        <v>6000</v>
      </c>
      <c r="T77" s="762"/>
    </row>
    <row r="78" spans="1:20" ht="51">
      <c r="A78" s="619"/>
      <c r="B78" s="643"/>
      <c r="C78" s="773"/>
      <c r="D78" s="752"/>
      <c r="E78" s="752"/>
      <c r="F78" s="688"/>
      <c r="G78" s="688"/>
      <c r="H78" s="90" t="s">
        <v>2053</v>
      </c>
      <c r="I78" s="90" t="s">
        <v>2054</v>
      </c>
      <c r="J78" s="81">
        <v>0</v>
      </c>
      <c r="K78" s="78">
        <v>1</v>
      </c>
      <c r="L78" s="78">
        <v>3</v>
      </c>
      <c r="M78" s="78">
        <v>5</v>
      </c>
      <c r="N78" s="78">
        <v>6</v>
      </c>
      <c r="O78" s="167">
        <v>19000</v>
      </c>
      <c r="P78" s="167">
        <v>10000</v>
      </c>
      <c r="Q78" s="167">
        <v>2000</v>
      </c>
      <c r="R78" s="167">
        <v>2000</v>
      </c>
      <c r="S78" s="167">
        <v>5000</v>
      </c>
      <c r="T78" s="762"/>
    </row>
    <row r="79" spans="1:20" ht="38.25">
      <c r="A79" s="619"/>
      <c r="B79" s="643"/>
      <c r="C79" s="773"/>
      <c r="D79" s="752"/>
      <c r="E79" s="752"/>
      <c r="F79" s="689"/>
      <c r="G79" s="689"/>
      <c r="H79" s="90" t="s">
        <v>2055</v>
      </c>
      <c r="I79" s="90" t="s">
        <v>2056</v>
      </c>
      <c r="J79" s="137">
        <v>0</v>
      </c>
      <c r="K79" s="137">
        <v>0</v>
      </c>
      <c r="L79" s="137">
        <v>0</v>
      </c>
      <c r="M79" s="137">
        <v>0</v>
      </c>
      <c r="N79" s="78">
        <v>1</v>
      </c>
      <c r="O79" s="137">
        <v>0</v>
      </c>
      <c r="P79" s="137">
        <v>0</v>
      </c>
      <c r="Q79" s="137">
        <v>0</v>
      </c>
      <c r="R79" s="137">
        <v>0</v>
      </c>
      <c r="S79" s="137">
        <v>0</v>
      </c>
      <c r="T79" s="762"/>
    </row>
    <row r="80" spans="1:20" ht="76.5">
      <c r="A80" s="619"/>
      <c r="B80" s="643"/>
      <c r="C80" s="773"/>
      <c r="D80" s="631" t="s">
        <v>2018</v>
      </c>
      <c r="E80" s="631" t="s">
        <v>2019</v>
      </c>
      <c r="F80" s="627">
        <v>126</v>
      </c>
      <c r="G80" s="687">
        <v>300</v>
      </c>
      <c r="H80" s="90" t="s">
        <v>2057</v>
      </c>
      <c r="I80" s="110" t="s">
        <v>2058</v>
      </c>
      <c r="J80" s="78">
        <v>0</v>
      </c>
      <c r="K80" s="78">
        <v>1</v>
      </c>
      <c r="L80" s="78">
        <v>2</v>
      </c>
      <c r="M80" s="78">
        <v>3</v>
      </c>
      <c r="N80" s="78">
        <v>4</v>
      </c>
      <c r="O80" s="167">
        <v>40000</v>
      </c>
      <c r="P80" s="167">
        <v>30000</v>
      </c>
      <c r="Q80" s="167">
        <v>3000</v>
      </c>
      <c r="R80" s="167">
        <v>3000</v>
      </c>
      <c r="S80" s="167">
        <v>4000</v>
      </c>
      <c r="T80" s="762" t="s">
        <v>2044</v>
      </c>
    </row>
    <row r="81" spans="1:20" ht="114.75">
      <c r="A81" s="619"/>
      <c r="B81" s="643"/>
      <c r="C81" s="773"/>
      <c r="D81" s="631"/>
      <c r="E81" s="631"/>
      <c r="F81" s="728"/>
      <c r="G81" s="688"/>
      <c r="H81" s="90" t="s">
        <v>2059</v>
      </c>
      <c r="I81" s="110" t="s">
        <v>2060</v>
      </c>
      <c r="J81" s="81">
        <v>0</v>
      </c>
      <c r="K81" s="78">
        <v>0</v>
      </c>
      <c r="L81" s="78">
        <v>1</v>
      </c>
      <c r="M81" s="78">
        <v>1</v>
      </c>
      <c r="N81" s="78">
        <v>2</v>
      </c>
      <c r="O81" s="167">
        <v>40000</v>
      </c>
      <c r="P81" s="167">
        <v>30000</v>
      </c>
      <c r="Q81" s="167">
        <v>2000</v>
      </c>
      <c r="R81" s="167">
        <v>3000</v>
      </c>
      <c r="S81" s="167">
        <v>5000</v>
      </c>
      <c r="T81" s="762"/>
    </row>
    <row r="82" spans="1:20" ht="51">
      <c r="A82" s="619"/>
      <c r="B82" s="643"/>
      <c r="C82" s="773"/>
      <c r="D82" s="631"/>
      <c r="E82" s="631"/>
      <c r="F82" s="728"/>
      <c r="G82" s="688"/>
      <c r="H82" s="90" t="s">
        <v>2061</v>
      </c>
      <c r="I82" s="110" t="s">
        <v>2062</v>
      </c>
      <c r="J82" s="81">
        <v>0</v>
      </c>
      <c r="K82" s="78">
        <v>0</v>
      </c>
      <c r="L82" s="78">
        <v>0</v>
      </c>
      <c r="M82" s="78">
        <v>0</v>
      </c>
      <c r="N82" s="78">
        <v>1</v>
      </c>
      <c r="O82" s="167">
        <v>33000</v>
      </c>
      <c r="P82" s="167">
        <v>25000</v>
      </c>
      <c r="Q82" s="167">
        <v>1000</v>
      </c>
      <c r="R82" s="167">
        <v>3000</v>
      </c>
      <c r="S82" s="167">
        <v>4000</v>
      </c>
      <c r="T82" s="762"/>
    </row>
    <row r="83" spans="1:20" ht="102">
      <c r="A83" s="619"/>
      <c r="B83" s="643"/>
      <c r="C83" s="773"/>
      <c r="D83" s="631"/>
      <c r="E83" s="631"/>
      <c r="F83" s="729"/>
      <c r="G83" s="689"/>
      <c r="H83" s="90" t="s">
        <v>2063</v>
      </c>
      <c r="I83" s="14" t="s">
        <v>2064</v>
      </c>
      <c r="J83" s="81">
        <v>0</v>
      </c>
      <c r="K83" s="78">
        <v>10</v>
      </c>
      <c r="L83" s="78">
        <v>40</v>
      </c>
      <c r="M83" s="78">
        <v>70</v>
      </c>
      <c r="N83" s="78">
        <v>100</v>
      </c>
      <c r="O83" s="167">
        <v>38000</v>
      </c>
      <c r="P83" s="167">
        <v>30000</v>
      </c>
      <c r="Q83" s="167">
        <v>2000</v>
      </c>
      <c r="R83" s="167">
        <v>4000</v>
      </c>
      <c r="S83" s="167">
        <v>2000</v>
      </c>
      <c r="T83" s="762"/>
    </row>
    <row r="84" spans="1:20" ht="48" customHeight="1">
      <c r="A84" s="619"/>
      <c r="B84" s="643"/>
      <c r="C84" s="773"/>
      <c r="D84" s="631" t="s">
        <v>2020</v>
      </c>
      <c r="E84" s="631" t="s">
        <v>3117</v>
      </c>
      <c r="F84" s="627">
        <v>0</v>
      </c>
      <c r="G84" s="627">
        <v>15000</v>
      </c>
      <c r="H84" s="110" t="s">
        <v>2065</v>
      </c>
      <c r="I84" s="110" t="s">
        <v>2066</v>
      </c>
      <c r="J84" s="137">
        <v>0</v>
      </c>
      <c r="K84" s="137">
        <v>3750</v>
      </c>
      <c r="L84" s="137">
        <v>7500</v>
      </c>
      <c r="M84" s="137">
        <v>11250</v>
      </c>
      <c r="N84" s="137">
        <v>15000</v>
      </c>
      <c r="O84" s="167">
        <v>39000</v>
      </c>
      <c r="P84" s="167">
        <v>30000</v>
      </c>
      <c r="Q84" s="167">
        <v>2000</v>
      </c>
      <c r="R84" s="167">
        <v>4000</v>
      </c>
      <c r="S84" s="167">
        <v>3000</v>
      </c>
      <c r="T84" s="757" t="s">
        <v>2044</v>
      </c>
    </row>
    <row r="85" spans="1:20" ht="89.25">
      <c r="A85" s="619"/>
      <c r="B85" s="643"/>
      <c r="C85" s="773"/>
      <c r="D85" s="631"/>
      <c r="E85" s="631"/>
      <c r="F85" s="728"/>
      <c r="G85" s="728"/>
      <c r="H85" s="110" t="s">
        <v>2067</v>
      </c>
      <c r="I85" s="110" t="s">
        <v>2068</v>
      </c>
      <c r="J85" s="169">
        <v>0</v>
      </c>
      <c r="K85" s="78">
        <v>1</v>
      </c>
      <c r="L85" s="78">
        <v>3</v>
      </c>
      <c r="M85" s="78">
        <v>5</v>
      </c>
      <c r="N85" s="78">
        <v>6</v>
      </c>
      <c r="O85" s="167">
        <v>35000</v>
      </c>
      <c r="P85" s="167">
        <v>25000</v>
      </c>
      <c r="Q85" s="167">
        <v>3000</v>
      </c>
      <c r="R85" s="167">
        <v>5000</v>
      </c>
      <c r="S85" s="167">
        <v>2000</v>
      </c>
      <c r="T85" s="758"/>
    </row>
    <row r="86" spans="1:20" ht="51">
      <c r="A86" s="619"/>
      <c r="B86" s="643"/>
      <c r="C86" s="773"/>
      <c r="D86" s="631"/>
      <c r="E86" s="631"/>
      <c r="F86" s="729"/>
      <c r="G86" s="729"/>
      <c r="H86" s="14" t="s">
        <v>2069</v>
      </c>
      <c r="I86" s="14" t="s">
        <v>2070</v>
      </c>
      <c r="J86" s="169">
        <v>0</v>
      </c>
      <c r="K86" s="78">
        <v>1</v>
      </c>
      <c r="L86" s="78">
        <v>3</v>
      </c>
      <c r="M86" s="78">
        <v>5</v>
      </c>
      <c r="N86" s="78">
        <v>6</v>
      </c>
      <c r="O86" s="167">
        <v>57000</v>
      </c>
      <c r="P86" s="167">
        <v>50000</v>
      </c>
      <c r="Q86" s="167">
        <v>3000</v>
      </c>
      <c r="R86" s="167">
        <v>2000</v>
      </c>
      <c r="S86" s="167">
        <v>2000</v>
      </c>
      <c r="T86" s="758"/>
    </row>
    <row r="87" spans="1:20" ht="63.75">
      <c r="A87" s="619"/>
      <c r="B87" s="643"/>
      <c r="C87" s="773"/>
      <c r="D87" s="631" t="s">
        <v>3118</v>
      </c>
      <c r="E87" s="631" t="s">
        <v>3119</v>
      </c>
      <c r="F87" s="759">
        <v>0</v>
      </c>
      <c r="G87" s="759">
        <v>2</v>
      </c>
      <c r="H87" s="110" t="s">
        <v>2071</v>
      </c>
      <c r="I87" s="110" t="s">
        <v>2072</v>
      </c>
      <c r="J87" s="169">
        <v>0</v>
      </c>
      <c r="K87" s="78">
        <v>0</v>
      </c>
      <c r="L87" s="78">
        <v>0</v>
      </c>
      <c r="M87" s="78">
        <v>1</v>
      </c>
      <c r="N87" s="137">
        <v>2</v>
      </c>
      <c r="O87" s="167"/>
      <c r="P87" s="167">
        <v>55</v>
      </c>
      <c r="Q87" s="167">
        <v>58</v>
      </c>
      <c r="R87" s="167">
        <v>61</v>
      </c>
      <c r="S87" s="167">
        <v>64</v>
      </c>
      <c r="T87" s="757" t="s">
        <v>2044</v>
      </c>
    </row>
    <row r="88" spans="1:20" ht="38.25">
      <c r="A88" s="619"/>
      <c r="B88" s="643"/>
      <c r="C88" s="773"/>
      <c r="D88" s="631"/>
      <c r="E88" s="631"/>
      <c r="F88" s="760"/>
      <c r="G88" s="760"/>
      <c r="H88" s="110" t="s">
        <v>2073</v>
      </c>
      <c r="I88" s="110" t="s">
        <v>2074</v>
      </c>
      <c r="J88" s="169"/>
      <c r="K88" s="78"/>
      <c r="L88" s="78"/>
      <c r="M88" s="78"/>
      <c r="N88" s="137">
        <v>1</v>
      </c>
      <c r="O88" s="167"/>
      <c r="P88" s="167">
        <v>15</v>
      </c>
      <c r="Q88" s="167">
        <v>18</v>
      </c>
      <c r="R88" s="167">
        <v>15</v>
      </c>
      <c r="S88" s="167">
        <v>17</v>
      </c>
      <c r="T88" s="758"/>
    </row>
    <row r="89" spans="1:20" ht="51">
      <c r="A89" s="619"/>
      <c r="B89" s="643"/>
      <c r="C89" s="773"/>
      <c r="D89" s="90" t="s">
        <v>3120</v>
      </c>
      <c r="E89" s="90" t="s">
        <v>3121</v>
      </c>
      <c r="F89" s="148">
        <v>0</v>
      </c>
      <c r="G89" s="148">
        <v>4</v>
      </c>
      <c r="H89" s="90" t="s">
        <v>3120</v>
      </c>
      <c r="I89" s="90" t="s">
        <v>3121</v>
      </c>
      <c r="J89" s="139"/>
      <c r="K89" s="137">
        <v>1</v>
      </c>
      <c r="L89" s="137">
        <v>2</v>
      </c>
      <c r="M89" s="137">
        <v>3</v>
      </c>
      <c r="N89" s="137">
        <v>4</v>
      </c>
      <c r="O89" s="167"/>
      <c r="P89" s="167">
        <v>35</v>
      </c>
      <c r="Q89" s="167">
        <v>38</v>
      </c>
      <c r="R89" s="167">
        <v>41</v>
      </c>
      <c r="S89" s="167">
        <v>42</v>
      </c>
      <c r="T89" s="758"/>
    </row>
    <row r="90" spans="1:20" ht="76.5">
      <c r="A90" s="619"/>
      <c r="B90" s="643"/>
      <c r="C90" s="773"/>
      <c r="D90" s="631" t="s">
        <v>3122</v>
      </c>
      <c r="E90" s="631" t="s">
        <v>3123</v>
      </c>
      <c r="F90" s="743">
        <v>0</v>
      </c>
      <c r="G90" s="743">
        <v>21000</v>
      </c>
      <c r="H90" s="110" t="s">
        <v>2075</v>
      </c>
      <c r="I90" s="110" t="s">
        <v>2076</v>
      </c>
      <c r="J90" s="169">
        <v>0</v>
      </c>
      <c r="K90" s="78">
        <v>5000</v>
      </c>
      <c r="L90" s="78">
        <v>10000</v>
      </c>
      <c r="M90" s="78">
        <v>15000</v>
      </c>
      <c r="N90" s="78">
        <v>20000</v>
      </c>
      <c r="O90" s="167"/>
      <c r="P90" s="167">
        <v>25</v>
      </c>
      <c r="Q90" s="167">
        <v>30</v>
      </c>
      <c r="R90" s="167">
        <v>34</v>
      </c>
      <c r="S90" s="167">
        <v>35</v>
      </c>
      <c r="T90" s="737" t="s">
        <v>2044</v>
      </c>
    </row>
    <row r="91" spans="1:20" ht="25.5">
      <c r="A91" s="619"/>
      <c r="B91" s="643"/>
      <c r="C91" s="773"/>
      <c r="D91" s="631"/>
      <c r="E91" s="631"/>
      <c r="F91" s="744"/>
      <c r="G91" s="744"/>
      <c r="H91" s="110" t="s">
        <v>2077</v>
      </c>
      <c r="I91" s="110" t="s">
        <v>1123</v>
      </c>
      <c r="J91" s="169">
        <v>0</v>
      </c>
      <c r="K91" s="78">
        <v>1</v>
      </c>
      <c r="L91" s="78">
        <v>2</v>
      </c>
      <c r="M91" s="78">
        <v>3</v>
      </c>
      <c r="N91" s="78">
        <v>4</v>
      </c>
      <c r="O91" s="167"/>
      <c r="P91" s="167">
        <v>30</v>
      </c>
      <c r="Q91" s="167">
        <v>33</v>
      </c>
      <c r="R91" s="167">
        <v>35</v>
      </c>
      <c r="S91" s="167">
        <v>37</v>
      </c>
      <c r="T91" s="738"/>
    </row>
    <row r="92" spans="1:20" ht="102">
      <c r="A92" s="619"/>
      <c r="B92" s="643"/>
      <c r="C92" s="773"/>
      <c r="D92" s="631"/>
      <c r="E92" s="631"/>
      <c r="F92" s="744"/>
      <c r="G92" s="744"/>
      <c r="H92" s="110" t="s">
        <v>1124</v>
      </c>
      <c r="I92" s="110" t="s">
        <v>2064</v>
      </c>
      <c r="J92" s="169">
        <v>0</v>
      </c>
      <c r="K92" s="78">
        <v>50</v>
      </c>
      <c r="L92" s="78">
        <v>100</v>
      </c>
      <c r="M92" s="78">
        <v>150</v>
      </c>
      <c r="N92" s="78">
        <v>200</v>
      </c>
      <c r="O92" s="167"/>
      <c r="P92" s="167">
        <v>10</v>
      </c>
      <c r="Q92" s="167">
        <v>12</v>
      </c>
      <c r="R92" s="167">
        <v>15</v>
      </c>
      <c r="S92" s="167">
        <v>18</v>
      </c>
      <c r="T92" s="738"/>
    </row>
    <row r="93" spans="1:20" ht="51">
      <c r="A93" s="619"/>
      <c r="B93" s="643"/>
      <c r="C93" s="773"/>
      <c r="D93" s="631"/>
      <c r="E93" s="631"/>
      <c r="F93" s="745"/>
      <c r="G93" s="745"/>
      <c r="H93" s="110" t="s">
        <v>1125</v>
      </c>
      <c r="I93" s="110" t="s">
        <v>1126</v>
      </c>
      <c r="J93" s="78">
        <v>0</v>
      </c>
      <c r="K93" s="78">
        <v>3</v>
      </c>
      <c r="L93" s="78">
        <v>6</v>
      </c>
      <c r="M93" s="78">
        <v>9</v>
      </c>
      <c r="N93" s="78">
        <v>12</v>
      </c>
      <c r="O93" s="167"/>
      <c r="P93" s="167">
        <v>30</v>
      </c>
      <c r="Q93" s="167">
        <v>34</v>
      </c>
      <c r="R93" s="167">
        <v>37</v>
      </c>
      <c r="S93" s="167">
        <v>40</v>
      </c>
      <c r="T93" s="738"/>
    </row>
    <row r="94" spans="1:20" ht="63.75">
      <c r="A94" s="604"/>
      <c r="B94" s="644"/>
      <c r="C94" s="774"/>
      <c r="D94" s="112" t="s">
        <v>3124</v>
      </c>
      <c r="E94" s="112" t="s">
        <v>3125</v>
      </c>
      <c r="F94" s="174">
        <v>0</v>
      </c>
      <c r="G94" s="174">
        <v>1</v>
      </c>
      <c r="H94" s="112" t="s">
        <v>3124</v>
      </c>
      <c r="I94" s="112" t="s">
        <v>3125</v>
      </c>
      <c r="J94" s="174"/>
      <c r="K94" s="174"/>
      <c r="L94" s="174">
        <v>1</v>
      </c>
      <c r="M94" s="174">
        <v>1</v>
      </c>
      <c r="N94" s="174">
        <v>1</v>
      </c>
      <c r="O94" s="175"/>
      <c r="P94" s="175"/>
      <c r="Q94" s="175"/>
      <c r="R94" s="175"/>
      <c r="S94" s="175"/>
      <c r="T94" s="739"/>
    </row>
    <row r="95" spans="1:21" ht="76.5">
      <c r="A95" s="549" t="s">
        <v>1127</v>
      </c>
      <c r="B95" s="642"/>
      <c r="C95" s="740"/>
      <c r="D95" s="560" t="s">
        <v>1128</v>
      </c>
      <c r="E95" s="642" t="s">
        <v>1129</v>
      </c>
      <c r="F95" s="749">
        <v>0</v>
      </c>
      <c r="G95" s="749">
        <v>1</v>
      </c>
      <c r="H95" s="90" t="s">
        <v>1130</v>
      </c>
      <c r="I95" s="90" t="s">
        <v>1131</v>
      </c>
      <c r="J95" s="169">
        <v>0</v>
      </c>
      <c r="K95" s="169"/>
      <c r="L95" s="169">
        <v>1</v>
      </c>
      <c r="M95" s="169">
        <v>1</v>
      </c>
      <c r="N95" s="169"/>
      <c r="O95" s="180"/>
      <c r="P95" s="167"/>
      <c r="Q95" s="167"/>
      <c r="R95" s="167"/>
      <c r="S95" s="167"/>
      <c r="T95" s="137"/>
      <c r="U95" s="176"/>
    </row>
    <row r="96" spans="1:21" ht="63.75">
      <c r="A96" s="549"/>
      <c r="B96" s="643"/>
      <c r="C96" s="741"/>
      <c r="D96" s="619"/>
      <c r="E96" s="643"/>
      <c r="F96" s="750"/>
      <c r="G96" s="750"/>
      <c r="H96" s="123" t="s">
        <v>1128</v>
      </c>
      <c r="I96" s="123" t="s">
        <v>1129</v>
      </c>
      <c r="J96" s="111">
        <v>0</v>
      </c>
      <c r="K96" s="111">
        <v>1</v>
      </c>
      <c r="L96" s="179">
        <v>1</v>
      </c>
      <c r="M96" s="111">
        <v>1</v>
      </c>
      <c r="N96" s="111">
        <v>1</v>
      </c>
      <c r="O96" s="181"/>
      <c r="P96" s="182"/>
      <c r="Q96" s="182"/>
      <c r="R96" s="182"/>
      <c r="S96" s="182"/>
      <c r="T96" s="133"/>
      <c r="U96" s="177"/>
    </row>
    <row r="97" spans="1:21" ht="51">
      <c r="A97" s="549"/>
      <c r="B97" s="643"/>
      <c r="C97" s="741"/>
      <c r="D97" s="560" t="s">
        <v>1132</v>
      </c>
      <c r="E97" s="642" t="s">
        <v>1133</v>
      </c>
      <c r="F97" s="749"/>
      <c r="G97" s="746"/>
      <c r="H97" s="144" t="s">
        <v>1134</v>
      </c>
      <c r="I97" s="144" t="s">
        <v>1135</v>
      </c>
      <c r="J97" s="159">
        <v>0</v>
      </c>
      <c r="K97" s="159">
        <v>0</v>
      </c>
      <c r="L97" s="159">
        <v>1</v>
      </c>
      <c r="M97" s="159">
        <v>1</v>
      </c>
      <c r="N97" s="159">
        <v>1</v>
      </c>
      <c r="O97" s="155">
        <v>2000000</v>
      </c>
      <c r="P97" s="155">
        <v>500000</v>
      </c>
      <c r="Q97" s="155">
        <v>1000000</v>
      </c>
      <c r="R97" s="155">
        <v>1500000</v>
      </c>
      <c r="S97" s="155">
        <v>2000000</v>
      </c>
      <c r="T97" s="761" t="s">
        <v>1142</v>
      </c>
      <c r="U97" s="177"/>
    </row>
    <row r="98" spans="1:21" ht="51">
      <c r="A98" s="549"/>
      <c r="B98" s="643"/>
      <c r="C98" s="741"/>
      <c r="D98" s="619"/>
      <c r="E98" s="643"/>
      <c r="F98" s="750"/>
      <c r="G98" s="747"/>
      <c r="H98" s="144" t="s">
        <v>1136</v>
      </c>
      <c r="I98" s="144" t="s">
        <v>1135</v>
      </c>
      <c r="J98" s="159">
        <v>0</v>
      </c>
      <c r="K98" s="159">
        <v>1</v>
      </c>
      <c r="L98" s="159">
        <v>1</v>
      </c>
      <c r="M98" s="159">
        <v>1</v>
      </c>
      <c r="N98" s="159">
        <v>1</v>
      </c>
      <c r="O98" s="155">
        <v>800000</v>
      </c>
      <c r="P98" s="155">
        <v>200000</v>
      </c>
      <c r="Q98" s="155">
        <v>400000</v>
      </c>
      <c r="R98" s="155">
        <v>600000</v>
      </c>
      <c r="S98" s="155">
        <v>800000</v>
      </c>
      <c r="T98" s="761"/>
      <c r="U98" s="177"/>
    </row>
    <row r="99" spans="1:21" ht="38.25">
      <c r="A99" s="549"/>
      <c r="B99" s="643"/>
      <c r="C99" s="741"/>
      <c r="D99" s="619"/>
      <c r="E99" s="643"/>
      <c r="F99" s="750"/>
      <c r="G99" s="747"/>
      <c r="H99" s="144" t="s">
        <v>1143</v>
      </c>
      <c r="I99" s="144" t="s">
        <v>1137</v>
      </c>
      <c r="J99" s="159">
        <v>0</v>
      </c>
      <c r="K99" s="159">
        <v>1</v>
      </c>
      <c r="L99" s="159">
        <v>1</v>
      </c>
      <c r="M99" s="159">
        <v>1</v>
      </c>
      <c r="N99" s="159">
        <v>1</v>
      </c>
      <c r="O99" s="155">
        <v>2400000</v>
      </c>
      <c r="P99" s="155">
        <v>600000</v>
      </c>
      <c r="Q99" s="155">
        <v>1200000</v>
      </c>
      <c r="R99" s="155">
        <v>1800000</v>
      </c>
      <c r="S99" s="155">
        <v>2400000</v>
      </c>
      <c r="T99" s="761"/>
      <c r="U99" s="177"/>
    </row>
    <row r="100" spans="1:21" ht="38.25">
      <c r="A100" s="549"/>
      <c r="B100" s="643"/>
      <c r="C100" s="741"/>
      <c r="D100" s="619"/>
      <c r="E100" s="643"/>
      <c r="F100" s="750"/>
      <c r="G100" s="747"/>
      <c r="H100" s="144" t="s">
        <v>1138</v>
      </c>
      <c r="I100" s="144" t="s">
        <v>1139</v>
      </c>
      <c r="J100" s="159">
        <v>0</v>
      </c>
      <c r="K100" s="159">
        <v>1</v>
      </c>
      <c r="L100" s="159">
        <v>2</v>
      </c>
      <c r="M100" s="159">
        <v>3</v>
      </c>
      <c r="N100" s="159">
        <v>4</v>
      </c>
      <c r="O100" s="155">
        <v>1200000</v>
      </c>
      <c r="P100" s="155">
        <v>300000</v>
      </c>
      <c r="Q100" s="155">
        <v>600000</v>
      </c>
      <c r="R100" s="155">
        <v>900000</v>
      </c>
      <c r="S100" s="155">
        <v>1200000</v>
      </c>
      <c r="T100" s="761"/>
      <c r="U100" s="177"/>
    </row>
    <row r="101" spans="1:21" ht="38.25">
      <c r="A101" s="549"/>
      <c r="B101" s="644"/>
      <c r="C101" s="742"/>
      <c r="D101" s="604"/>
      <c r="E101" s="644"/>
      <c r="F101" s="751"/>
      <c r="G101" s="748"/>
      <c r="H101" s="144" t="s">
        <v>1140</v>
      </c>
      <c r="I101" s="144" t="s">
        <v>1141</v>
      </c>
      <c r="J101" s="159">
        <v>0</v>
      </c>
      <c r="K101" s="159">
        <v>0</v>
      </c>
      <c r="L101" s="159">
        <v>1</v>
      </c>
      <c r="M101" s="159">
        <v>1</v>
      </c>
      <c r="N101" s="159">
        <v>1</v>
      </c>
      <c r="O101" s="155">
        <v>200000</v>
      </c>
      <c r="P101" s="155">
        <v>100000</v>
      </c>
      <c r="Q101" s="155">
        <v>100000</v>
      </c>
      <c r="R101" s="155">
        <v>0</v>
      </c>
      <c r="S101" s="155">
        <v>200000</v>
      </c>
      <c r="T101" s="761"/>
      <c r="U101" s="177"/>
    </row>
    <row r="102" spans="1:20" ht="38.25">
      <c r="A102" s="752" t="s">
        <v>1144</v>
      </c>
      <c r="B102" s="752"/>
      <c r="C102" s="753"/>
      <c r="D102" s="90" t="s">
        <v>1145</v>
      </c>
      <c r="E102" s="90" t="s">
        <v>1146</v>
      </c>
      <c r="F102" s="81">
        <v>0</v>
      </c>
      <c r="G102" s="81">
        <v>1</v>
      </c>
      <c r="H102" s="90" t="s">
        <v>1145</v>
      </c>
      <c r="I102" s="90" t="s">
        <v>1146</v>
      </c>
      <c r="J102" s="81">
        <v>670</v>
      </c>
      <c r="K102" s="81">
        <v>167.5</v>
      </c>
      <c r="L102" s="81">
        <v>335</v>
      </c>
      <c r="M102" s="81">
        <v>503</v>
      </c>
      <c r="N102" s="81">
        <v>670</v>
      </c>
      <c r="O102" s="183">
        <v>0</v>
      </c>
      <c r="P102" s="183">
        <v>0</v>
      </c>
      <c r="Q102" s="183">
        <v>0</v>
      </c>
      <c r="R102" s="183">
        <v>0</v>
      </c>
      <c r="S102" s="183">
        <v>0</v>
      </c>
      <c r="T102" s="14" t="s">
        <v>1147</v>
      </c>
    </row>
    <row r="103" spans="1:20" ht="89.25">
      <c r="A103" s="752"/>
      <c r="B103" s="752"/>
      <c r="C103" s="753"/>
      <c r="D103" s="90" t="s">
        <v>1151</v>
      </c>
      <c r="E103" s="90" t="s">
        <v>1152</v>
      </c>
      <c r="F103" s="81">
        <v>0</v>
      </c>
      <c r="G103" s="81">
        <v>1</v>
      </c>
      <c r="H103" s="90" t="s">
        <v>1151</v>
      </c>
      <c r="I103" s="90" t="s">
        <v>1152</v>
      </c>
      <c r="J103" s="81">
        <v>0</v>
      </c>
      <c r="K103" s="81">
        <v>0</v>
      </c>
      <c r="L103" s="81">
        <v>1</v>
      </c>
      <c r="M103" s="81">
        <v>1</v>
      </c>
      <c r="N103" s="81">
        <v>1</v>
      </c>
      <c r="O103" s="183">
        <v>100000</v>
      </c>
      <c r="P103" s="183">
        <v>0</v>
      </c>
      <c r="Q103" s="183">
        <v>100000</v>
      </c>
      <c r="R103" s="183">
        <v>0</v>
      </c>
      <c r="S103" s="183">
        <v>0</v>
      </c>
      <c r="T103" s="78" t="s">
        <v>1150</v>
      </c>
    </row>
    <row r="104" spans="1:20" ht="38.25">
      <c r="A104" s="752"/>
      <c r="B104" s="752"/>
      <c r="C104" s="753"/>
      <c r="D104" s="90" t="s">
        <v>1148</v>
      </c>
      <c r="E104" s="90" t="s">
        <v>1149</v>
      </c>
      <c r="F104" s="81">
        <v>0</v>
      </c>
      <c r="G104" s="81">
        <v>1</v>
      </c>
      <c r="H104" s="90" t="s">
        <v>1148</v>
      </c>
      <c r="I104" s="90" t="s">
        <v>1149</v>
      </c>
      <c r="J104" s="81">
        <v>0</v>
      </c>
      <c r="K104" s="81">
        <v>0</v>
      </c>
      <c r="L104" s="81">
        <v>1</v>
      </c>
      <c r="M104" s="81">
        <v>1</v>
      </c>
      <c r="N104" s="81">
        <v>1</v>
      </c>
      <c r="O104" s="183">
        <v>0</v>
      </c>
      <c r="P104" s="183">
        <v>0</v>
      </c>
      <c r="Q104" s="183">
        <v>0</v>
      </c>
      <c r="R104" s="183">
        <v>0</v>
      </c>
      <c r="S104" s="183">
        <v>0</v>
      </c>
      <c r="T104" s="78" t="s">
        <v>1150</v>
      </c>
    </row>
    <row r="105" spans="1:20" ht="51">
      <c r="A105" s="632" t="s">
        <v>1153</v>
      </c>
      <c r="B105" s="632"/>
      <c r="C105" s="687"/>
      <c r="D105" s="90" t="s">
        <v>170</v>
      </c>
      <c r="E105" s="112" t="s">
        <v>1154</v>
      </c>
      <c r="F105" s="81">
        <v>16</v>
      </c>
      <c r="G105" s="81">
        <v>30</v>
      </c>
      <c r="H105" s="110" t="s">
        <v>1155</v>
      </c>
      <c r="I105" s="138" t="s">
        <v>1156</v>
      </c>
      <c r="J105" s="81">
        <v>16</v>
      </c>
      <c r="K105" s="81">
        <v>7</v>
      </c>
      <c r="L105" s="81">
        <v>14</v>
      </c>
      <c r="M105" s="81">
        <v>22</v>
      </c>
      <c r="N105" s="81">
        <v>30</v>
      </c>
      <c r="O105" s="183">
        <v>50000</v>
      </c>
      <c r="P105" s="183">
        <v>10000</v>
      </c>
      <c r="Q105" s="183">
        <v>10000</v>
      </c>
      <c r="R105" s="183">
        <v>15000</v>
      </c>
      <c r="S105" s="183">
        <v>15000</v>
      </c>
      <c r="T105" s="78" t="s">
        <v>1150</v>
      </c>
    </row>
    <row r="106" spans="1:20" ht="51">
      <c r="A106" s="634"/>
      <c r="B106" s="634"/>
      <c r="C106" s="689"/>
      <c r="D106" s="90" t="s">
        <v>167</v>
      </c>
      <c r="E106" s="81" t="s">
        <v>168</v>
      </c>
      <c r="F106" s="81">
        <v>0</v>
      </c>
      <c r="G106" s="81">
        <v>1</v>
      </c>
      <c r="H106" s="14" t="s">
        <v>169</v>
      </c>
      <c r="I106" s="112" t="s">
        <v>168</v>
      </c>
      <c r="J106" s="81">
        <v>0</v>
      </c>
      <c r="K106" s="81">
        <v>0</v>
      </c>
      <c r="L106" s="81">
        <v>1</v>
      </c>
      <c r="M106" s="81">
        <v>1</v>
      </c>
      <c r="N106" s="81">
        <v>1</v>
      </c>
      <c r="O106" s="183">
        <v>450000</v>
      </c>
      <c r="P106" s="183">
        <v>0</v>
      </c>
      <c r="Q106" s="183">
        <v>50000</v>
      </c>
      <c r="R106" s="183">
        <v>200000</v>
      </c>
      <c r="S106" s="183">
        <v>200000</v>
      </c>
      <c r="T106" s="78" t="s">
        <v>1150</v>
      </c>
    </row>
    <row r="107" spans="1:20" ht="76.5">
      <c r="A107" s="632" t="s">
        <v>171</v>
      </c>
      <c r="B107" s="632"/>
      <c r="C107" s="687"/>
      <c r="D107" s="90" t="s">
        <v>175</v>
      </c>
      <c r="E107" s="90" t="s">
        <v>172</v>
      </c>
      <c r="F107" s="81">
        <v>0</v>
      </c>
      <c r="G107" s="184">
        <v>70</v>
      </c>
      <c r="H107" s="14" t="s">
        <v>173</v>
      </c>
      <c r="I107" s="90" t="s">
        <v>172</v>
      </c>
      <c r="J107" s="81">
        <v>0</v>
      </c>
      <c r="K107" s="81">
        <v>10</v>
      </c>
      <c r="L107" s="81">
        <v>30</v>
      </c>
      <c r="M107" s="81">
        <v>50</v>
      </c>
      <c r="N107" s="81">
        <v>70</v>
      </c>
      <c r="O107" s="183">
        <v>350000</v>
      </c>
      <c r="P107" s="183">
        <v>50000</v>
      </c>
      <c r="Q107" s="183">
        <v>100000</v>
      </c>
      <c r="R107" s="183">
        <v>100000</v>
      </c>
      <c r="S107" s="183">
        <v>100000</v>
      </c>
      <c r="T107" s="78" t="s">
        <v>1150</v>
      </c>
    </row>
    <row r="108" spans="1:20" ht="76.5">
      <c r="A108" s="634"/>
      <c r="B108" s="634"/>
      <c r="C108" s="689"/>
      <c r="D108" s="90" t="s">
        <v>174</v>
      </c>
      <c r="E108" s="185" t="s">
        <v>1651</v>
      </c>
      <c r="F108" s="81">
        <v>0</v>
      </c>
      <c r="G108" s="81">
        <v>1</v>
      </c>
      <c r="H108" s="90" t="s">
        <v>174</v>
      </c>
      <c r="I108" s="185" t="s">
        <v>1651</v>
      </c>
      <c r="J108" s="81">
        <v>0</v>
      </c>
      <c r="K108" s="81">
        <v>0</v>
      </c>
      <c r="L108" s="81">
        <v>1</v>
      </c>
      <c r="M108" s="81">
        <v>1</v>
      </c>
      <c r="N108" s="81">
        <v>1</v>
      </c>
      <c r="O108" s="183">
        <v>50000</v>
      </c>
      <c r="P108" s="183">
        <v>0</v>
      </c>
      <c r="Q108" s="183">
        <v>50000</v>
      </c>
      <c r="R108" s="183">
        <v>0</v>
      </c>
      <c r="S108" s="183">
        <v>0</v>
      </c>
      <c r="T108" s="78" t="s">
        <v>1150</v>
      </c>
    </row>
    <row r="109" spans="1:20" ht="51">
      <c r="A109" s="632" t="s">
        <v>176</v>
      </c>
      <c r="B109" s="632"/>
      <c r="C109" s="734"/>
      <c r="D109" s="90" t="s">
        <v>1181</v>
      </c>
      <c r="E109" s="90" t="s">
        <v>234</v>
      </c>
      <c r="F109" s="81">
        <v>3000</v>
      </c>
      <c r="G109" s="81">
        <v>1500</v>
      </c>
      <c r="H109" s="612" t="s">
        <v>235</v>
      </c>
      <c r="I109" s="612" t="s">
        <v>1369</v>
      </c>
      <c r="J109" s="81">
        <v>3000</v>
      </c>
      <c r="K109" s="81">
        <v>375</v>
      </c>
      <c r="L109" s="81">
        <v>750</v>
      </c>
      <c r="M109" s="81">
        <v>1125</v>
      </c>
      <c r="N109" s="81">
        <v>1500</v>
      </c>
      <c r="O109" s="183">
        <v>700000</v>
      </c>
      <c r="P109" s="183">
        <v>200000</v>
      </c>
      <c r="Q109" s="183">
        <v>150000</v>
      </c>
      <c r="R109" s="183">
        <v>150000</v>
      </c>
      <c r="S109" s="183">
        <v>200000</v>
      </c>
      <c r="T109" s="78" t="s">
        <v>1150</v>
      </c>
    </row>
    <row r="110" spans="1:20" ht="51">
      <c r="A110" s="633"/>
      <c r="B110" s="633"/>
      <c r="C110" s="735"/>
      <c r="D110" s="90" t="s">
        <v>190</v>
      </c>
      <c r="E110" s="90" t="s">
        <v>191</v>
      </c>
      <c r="F110" s="81">
        <v>3000</v>
      </c>
      <c r="G110" s="81">
        <v>1500</v>
      </c>
      <c r="H110" s="612"/>
      <c r="I110" s="612"/>
      <c r="J110" s="81">
        <v>3000</v>
      </c>
      <c r="K110" s="81">
        <v>375</v>
      </c>
      <c r="L110" s="81">
        <v>750</v>
      </c>
      <c r="M110" s="81">
        <v>1125</v>
      </c>
      <c r="N110" s="81">
        <v>1500</v>
      </c>
      <c r="O110" s="183">
        <v>400000</v>
      </c>
      <c r="P110" s="183">
        <v>100000</v>
      </c>
      <c r="Q110" s="183">
        <v>100000</v>
      </c>
      <c r="R110" s="183">
        <v>100000</v>
      </c>
      <c r="S110" s="183">
        <v>100000</v>
      </c>
      <c r="T110" s="78" t="s">
        <v>1150</v>
      </c>
    </row>
    <row r="111" spans="1:20" ht="76.5">
      <c r="A111" s="634"/>
      <c r="B111" s="634"/>
      <c r="C111" s="736"/>
      <c r="D111" s="90" t="s">
        <v>1178</v>
      </c>
      <c r="E111" s="90" t="s">
        <v>191</v>
      </c>
      <c r="F111" s="81">
        <v>300</v>
      </c>
      <c r="G111" s="184">
        <v>900</v>
      </c>
      <c r="H111" s="90" t="s">
        <v>1179</v>
      </c>
      <c r="I111" s="90" t="s">
        <v>1180</v>
      </c>
      <c r="J111" s="81">
        <v>300</v>
      </c>
      <c r="K111" s="81">
        <v>150</v>
      </c>
      <c r="L111" s="81">
        <v>400</v>
      </c>
      <c r="M111" s="81">
        <v>650</v>
      </c>
      <c r="N111" s="81">
        <v>900</v>
      </c>
      <c r="O111" s="183">
        <v>100000</v>
      </c>
      <c r="P111" s="183">
        <v>0</v>
      </c>
      <c r="Q111" s="183">
        <v>0</v>
      </c>
      <c r="R111" s="183">
        <v>50000</v>
      </c>
      <c r="S111" s="183">
        <v>50000</v>
      </c>
      <c r="T111" s="78" t="s">
        <v>1150</v>
      </c>
    </row>
    <row r="112" spans="1:20" ht="51">
      <c r="A112" s="186" t="s">
        <v>1182</v>
      </c>
      <c r="B112" s="112"/>
      <c r="C112" s="81"/>
      <c r="D112" s="90" t="s">
        <v>1183</v>
      </c>
      <c r="E112" s="90" t="s">
        <v>1184</v>
      </c>
      <c r="F112" s="81">
        <v>120</v>
      </c>
      <c r="G112" s="184">
        <v>400</v>
      </c>
      <c r="H112" s="90" t="s">
        <v>1185</v>
      </c>
      <c r="I112" s="90" t="s">
        <v>1186</v>
      </c>
      <c r="J112" s="81">
        <v>120</v>
      </c>
      <c r="K112" s="81">
        <v>100</v>
      </c>
      <c r="L112" s="81">
        <v>200</v>
      </c>
      <c r="M112" s="81">
        <v>300</v>
      </c>
      <c r="N112" s="81">
        <v>400</v>
      </c>
      <c r="O112" s="183">
        <v>500000</v>
      </c>
      <c r="P112" s="183">
        <v>100000</v>
      </c>
      <c r="Q112" s="183">
        <v>100000</v>
      </c>
      <c r="R112" s="183">
        <v>150000</v>
      </c>
      <c r="S112" s="183">
        <v>150000</v>
      </c>
      <c r="T112" s="78" t="s">
        <v>1150</v>
      </c>
    </row>
    <row r="113" spans="1:20" ht="114.75">
      <c r="A113" s="186" t="s">
        <v>1187</v>
      </c>
      <c r="B113" s="112"/>
      <c r="C113" s="81"/>
      <c r="D113" s="90" t="s">
        <v>1188</v>
      </c>
      <c r="E113" s="90" t="s">
        <v>1189</v>
      </c>
      <c r="F113" s="81">
        <v>4</v>
      </c>
      <c r="G113" s="81">
        <v>10</v>
      </c>
      <c r="H113" s="14" t="s">
        <v>1190</v>
      </c>
      <c r="I113" s="90" t="s">
        <v>1191</v>
      </c>
      <c r="J113" s="81">
        <v>4</v>
      </c>
      <c r="K113" s="81">
        <v>2</v>
      </c>
      <c r="L113" s="81">
        <v>5</v>
      </c>
      <c r="M113" s="81">
        <v>8</v>
      </c>
      <c r="N113" s="81">
        <v>10</v>
      </c>
      <c r="O113" s="183">
        <v>200000</v>
      </c>
      <c r="P113" s="183">
        <v>50000</v>
      </c>
      <c r="Q113" s="183">
        <v>50000</v>
      </c>
      <c r="R113" s="183">
        <v>50000</v>
      </c>
      <c r="S113" s="183">
        <v>50000</v>
      </c>
      <c r="T113" s="78" t="s">
        <v>1150</v>
      </c>
    </row>
    <row r="114" spans="1:20" ht="71.25">
      <c r="A114" s="151" t="s">
        <v>1233</v>
      </c>
      <c r="B114" s="190"/>
      <c r="C114" s="187"/>
      <c r="D114" s="165" t="s">
        <v>1234</v>
      </c>
      <c r="E114" s="165" t="s">
        <v>1235</v>
      </c>
      <c r="F114" s="187">
        <v>100</v>
      </c>
      <c r="G114" s="187">
        <v>40</v>
      </c>
      <c r="H114" s="165" t="s">
        <v>1236</v>
      </c>
      <c r="I114" s="165" t="s">
        <v>1237</v>
      </c>
      <c r="J114" s="187">
        <v>100</v>
      </c>
      <c r="K114" s="187">
        <v>10</v>
      </c>
      <c r="L114" s="187">
        <v>20</v>
      </c>
      <c r="M114" s="187">
        <v>30</v>
      </c>
      <c r="N114" s="187">
        <v>40</v>
      </c>
      <c r="O114" s="188">
        <v>200000</v>
      </c>
      <c r="P114" s="188">
        <v>50000</v>
      </c>
      <c r="Q114" s="188">
        <v>50000</v>
      </c>
      <c r="R114" s="188">
        <v>50000</v>
      </c>
      <c r="S114" s="188">
        <v>50000</v>
      </c>
      <c r="T114" s="78" t="s">
        <v>1150</v>
      </c>
    </row>
    <row r="115" spans="1:20" ht="51">
      <c r="A115" s="151" t="s">
        <v>1196</v>
      </c>
      <c r="B115" s="14"/>
      <c r="C115" s="78"/>
      <c r="D115" s="14" t="s">
        <v>1197</v>
      </c>
      <c r="E115" s="14" t="s">
        <v>1198</v>
      </c>
      <c r="F115" s="78">
        <v>20</v>
      </c>
      <c r="G115" s="78">
        <v>70</v>
      </c>
      <c r="H115" s="14" t="s">
        <v>1199</v>
      </c>
      <c r="I115" s="14" t="s">
        <v>1200</v>
      </c>
      <c r="J115" s="78">
        <v>20</v>
      </c>
      <c r="K115" s="78">
        <v>10</v>
      </c>
      <c r="L115" s="78">
        <v>30</v>
      </c>
      <c r="M115" s="78">
        <v>50</v>
      </c>
      <c r="N115" s="78">
        <v>70</v>
      </c>
      <c r="O115" s="137">
        <v>500000</v>
      </c>
      <c r="P115" s="137">
        <v>100000</v>
      </c>
      <c r="Q115" s="137">
        <v>100000</v>
      </c>
      <c r="R115" s="137">
        <v>150000</v>
      </c>
      <c r="S115" s="137">
        <v>150000</v>
      </c>
      <c r="T115" s="78" t="s">
        <v>1150</v>
      </c>
    </row>
    <row r="116" spans="1:20" ht="63.75">
      <c r="A116" s="560" t="s">
        <v>1201</v>
      </c>
      <c r="B116" s="560"/>
      <c r="C116" s="627"/>
      <c r="D116" s="14" t="s">
        <v>1202</v>
      </c>
      <c r="E116" s="14" t="s">
        <v>1203</v>
      </c>
      <c r="F116" s="78">
        <v>4</v>
      </c>
      <c r="G116" s="78">
        <v>10</v>
      </c>
      <c r="H116" s="14" t="s">
        <v>1204</v>
      </c>
      <c r="I116" s="14" t="s">
        <v>1205</v>
      </c>
      <c r="J116" s="78">
        <v>4</v>
      </c>
      <c r="K116" s="78">
        <v>2</v>
      </c>
      <c r="L116" s="78">
        <v>4</v>
      </c>
      <c r="M116" s="78">
        <v>7</v>
      </c>
      <c r="N116" s="78">
        <v>10</v>
      </c>
      <c r="O116" s="137">
        <v>100000</v>
      </c>
      <c r="P116" s="137">
        <v>10000</v>
      </c>
      <c r="Q116" s="137">
        <v>30000</v>
      </c>
      <c r="R116" s="137">
        <v>30000</v>
      </c>
      <c r="S116" s="137">
        <v>30000</v>
      </c>
      <c r="T116" s="78" t="s">
        <v>1150</v>
      </c>
    </row>
    <row r="117" spans="1:20" ht="89.25">
      <c r="A117" s="619"/>
      <c r="B117" s="619"/>
      <c r="C117" s="728"/>
      <c r="D117" s="14" t="s">
        <v>1206</v>
      </c>
      <c r="E117" s="14" t="s">
        <v>1207</v>
      </c>
      <c r="F117" s="78">
        <v>0</v>
      </c>
      <c r="G117" s="78">
        <v>10</v>
      </c>
      <c r="H117" s="14" t="s">
        <v>1208</v>
      </c>
      <c r="I117" s="14" t="s">
        <v>1209</v>
      </c>
      <c r="J117" s="78">
        <v>0</v>
      </c>
      <c r="K117" s="78">
        <v>2</v>
      </c>
      <c r="L117" s="78">
        <v>4</v>
      </c>
      <c r="M117" s="78">
        <v>7</v>
      </c>
      <c r="N117" s="78">
        <v>10</v>
      </c>
      <c r="O117" s="137">
        <v>100000</v>
      </c>
      <c r="P117" s="137">
        <v>10000</v>
      </c>
      <c r="Q117" s="137">
        <v>30000</v>
      </c>
      <c r="R117" s="137">
        <v>30000</v>
      </c>
      <c r="S117" s="137">
        <v>30000</v>
      </c>
      <c r="T117" s="78" t="s">
        <v>1150</v>
      </c>
    </row>
    <row r="118" spans="1:20" ht="38.25">
      <c r="A118" s="604"/>
      <c r="B118" s="604"/>
      <c r="C118" s="729"/>
      <c r="D118" s="126" t="s">
        <v>225</v>
      </c>
      <c r="E118" s="126" t="s">
        <v>226</v>
      </c>
      <c r="F118" s="78">
        <v>5</v>
      </c>
      <c r="G118" s="78">
        <v>10</v>
      </c>
      <c r="H118" s="126" t="s">
        <v>227</v>
      </c>
      <c r="I118" s="126" t="s">
        <v>226</v>
      </c>
      <c r="J118" s="78">
        <v>5</v>
      </c>
      <c r="K118" s="78">
        <v>2</v>
      </c>
      <c r="L118" s="78">
        <v>4</v>
      </c>
      <c r="M118" s="78">
        <v>7</v>
      </c>
      <c r="N118" s="78">
        <v>10</v>
      </c>
      <c r="O118" s="137">
        <v>100000</v>
      </c>
      <c r="P118" s="137">
        <v>10000</v>
      </c>
      <c r="Q118" s="137">
        <v>30000</v>
      </c>
      <c r="R118" s="137">
        <v>30000</v>
      </c>
      <c r="S118" s="137">
        <v>30000</v>
      </c>
      <c r="T118" s="78" t="s">
        <v>1150</v>
      </c>
    </row>
    <row r="119" spans="1:20" ht="28.5">
      <c r="A119" s="730" t="s">
        <v>228</v>
      </c>
      <c r="B119" s="730"/>
      <c r="C119" s="732"/>
      <c r="D119" s="690" t="s">
        <v>229</v>
      </c>
      <c r="E119" s="189" t="s">
        <v>230</v>
      </c>
      <c r="F119" s="187">
        <v>0</v>
      </c>
      <c r="G119" s="187">
        <v>1</v>
      </c>
      <c r="H119" s="189" t="s">
        <v>229</v>
      </c>
      <c r="I119" s="189" t="s">
        <v>229</v>
      </c>
      <c r="J119" s="187">
        <v>0</v>
      </c>
      <c r="K119" s="187">
        <v>0</v>
      </c>
      <c r="L119" s="187">
        <v>1</v>
      </c>
      <c r="M119" s="187">
        <v>1</v>
      </c>
      <c r="N119" s="187">
        <v>1</v>
      </c>
      <c r="O119" s="188">
        <v>400000</v>
      </c>
      <c r="P119" s="188">
        <v>100000</v>
      </c>
      <c r="Q119" s="188">
        <v>100000</v>
      </c>
      <c r="R119" s="188">
        <v>100000</v>
      </c>
      <c r="S119" s="188">
        <v>100000</v>
      </c>
      <c r="T119" s="78" t="s">
        <v>1150</v>
      </c>
    </row>
    <row r="120" spans="1:20" ht="42.75">
      <c r="A120" s="731"/>
      <c r="B120" s="731"/>
      <c r="C120" s="733"/>
      <c r="D120" s="692"/>
      <c r="E120" s="189" t="s">
        <v>231</v>
      </c>
      <c r="F120" s="187">
        <v>0</v>
      </c>
      <c r="G120" s="187">
        <v>1</v>
      </c>
      <c r="H120" s="189" t="s">
        <v>232</v>
      </c>
      <c r="I120" s="189" t="s">
        <v>232</v>
      </c>
      <c r="J120" s="187">
        <v>0</v>
      </c>
      <c r="K120" s="187">
        <v>0</v>
      </c>
      <c r="L120" s="187">
        <v>0</v>
      </c>
      <c r="M120" s="187">
        <v>0</v>
      </c>
      <c r="N120" s="187">
        <v>1</v>
      </c>
      <c r="O120" s="188">
        <v>223000</v>
      </c>
      <c r="P120" s="188">
        <v>18000</v>
      </c>
      <c r="Q120" s="188">
        <v>5000</v>
      </c>
      <c r="R120" s="188">
        <v>100000</v>
      </c>
      <c r="S120" s="188">
        <v>100000</v>
      </c>
      <c r="T120" s="78" t="s">
        <v>1150</v>
      </c>
    </row>
    <row r="121" spans="1:20" ht="57">
      <c r="A121" s="151" t="s">
        <v>1225</v>
      </c>
      <c r="B121" s="190"/>
      <c r="C121" s="187"/>
      <c r="D121" s="165" t="s">
        <v>1226</v>
      </c>
      <c r="E121" s="165" t="s">
        <v>1227</v>
      </c>
      <c r="F121" s="187">
        <v>670</v>
      </c>
      <c r="G121" s="187">
        <v>670</v>
      </c>
      <c r="H121" s="165" t="s">
        <v>1228</v>
      </c>
      <c r="I121" s="165" t="s">
        <v>1227</v>
      </c>
      <c r="J121" s="187">
        <v>0</v>
      </c>
      <c r="K121" s="187">
        <v>0</v>
      </c>
      <c r="L121" s="187">
        <v>0</v>
      </c>
      <c r="M121" s="187">
        <v>0</v>
      </c>
      <c r="N121" s="187">
        <v>1</v>
      </c>
      <c r="O121" s="188">
        <v>4251000</v>
      </c>
      <c r="P121" s="188">
        <v>1110000</v>
      </c>
      <c r="Q121" s="188">
        <v>800000</v>
      </c>
      <c r="R121" s="188">
        <v>1025000</v>
      </c>
      <c r="S121" s="188">
        <v>1316000</v>
      </c>
      <c r="T121" s="78" t="s">
        <v>1150</v>
      </c>
    </row>
    <row r="122" spans="1:20" ht="42.75">
      <c r="A122" s="78" t="s">
        <v>1229</v>
      </c>
      <c r="B122" s="187"/>
      <c r="C122" s="187"/>
      <c r="D122" s="165" t="s">
        <v>1230</v>
      </c>
      <c r="E122" s="165" t="s">
        <v>1231</v>
      </c>
      <c r="F122" s="187">
        <v>0</v>
      </c>
      <c r="G122" s="188">
        <v>10000</v>
      </c>
      <c r="H122" s="165" t="s">
        <v>1230</v>
      </c>
      <c r="I122" s="165" t="s">
        <v>1231</v>
      </c>
      <c r="J122" s="187">
        <v>0</v>
      </c>
      <c r="K122" s="187">
        <v>0</v>
      </c>
      <c r="L122" s="187">
        <v>3000</v>
      </c>
      <c r="M122" s="187">
        <v>7000</v>
      </c>
      <c r="N122" s="188">
        <v>10000</v>
      </c>
      <c r="O122" s="188">
        <v>0</v>
      </c>
      <c r="P122" s="188">
        <v>0</v>
      </c>
      <c r="Q122" s="188">
        <v>0</v>
      </c>
      <c r="R122" s="188">
        <v>0</v>
      </c>
      <c r="S122" s="188">
        <v>0</v>
      </c>
      <c r="T122" s="14" t="s">
        <v>1232</v>
      </c>
    </row>
    <row r="123" spans="1:20" ht="38.25">
      <c r="A123" s="151" t="s">
        <v>1192</v>
      </c>
      <c r="B123" s="14"/>
      <c r="C123" s="78"/>
      <c r="D123" s="14" t="s">
        <v>1193</v>
      </c>
      <c r="E123" s="14" t="s">
        <v>1194</v>
      </c>
      <c r="F123" s="78">
        <v>0</v>
      </c>
      <c r="G123" s="78">
        <v>1</v>
      </c>
      <c r="H123" s="14" t="s">
        <v>1193</v>
      </c>
      <c r="I123" s="14" t="s">
        <v>1195</v>
      </c>
      <c r="J123" s="78">
        <v>0</v>
      </c>
      <c r="K123" s="78">
        <v>0</v>
      </c>
      <c r="L123" s="78">
        <v>1</v>
      </c>
      <c r="M123" s="78">
        <v>1</v>
      </c>
      <c r="N123" s="78">
        <v>1</v>
      </c>
      <c r="O123" s="137">
        <v>200000</v>
      </c>
      <c r="P123" s="137">
        <v>0</v>
      </c>
      <c r="Q123" s="137">
        <v>50000</v>
      </c>
      <c r="R123" s="137">
        <v>100000</v>
      </c>
      <c r="S123" s="137">
        <v>50000</v>
      </c>
      <c r="T123" s="78" t="s">
        <v>1150</v>
      </c>
    </row>
  </sheetData>
  <sheetProtection/>
  <mergeCells count="143">
    <mergeCell ref="G53:G55"/>
    <mergeCell ref="D44:D46"/>
    <mergeCell ref="B30:B47"/>
    <mergeCell ref="C30:C47"/>
    <mergeCell ref="D40:D41"/>
    <mergeCell ref="D53:D55"/>
    <mergeCell ref="E53:E55"/>
    <mergeCell ref="F53:F55"/>
    <mergeCell ref="D27:D28"/>
    <mergeCell ref="D37:D39"/>
    <mergeCell ref="D42:D43"/>
    <mergeCell ref="G37:G39"/>
    <mergeCell ref="F40:F41"/>
    <mergeCell ref="G42:G43"/>
    <mergeCell ref="J19:J20"/>
    <mergeCell ref="E19:E20"/>
    <mergeCell ref="H27:H28"/>
    <mergeCell ref="I27:I28"/>
    <mergeCell ref="G19:G20"/>
    <mergeCell ref="E27:E28"/>
    <mergeCell ref="T30:T47"/>
    <mergeCell ref="E42:E43"/>
    <mergeCell ref="G44:G46"/>
    <mergeCell ref="G35:G36"/>
    <mergeCell ref="E40:E41"/>
    <mergeCell ref="E44:E46"/>
    <mergeCell ref="F44:F46"/>
    <mergeCell ref="E37:E39"/>
    <mergeCell ref="F37:F39"/>
    <mergeCell ref="F42:F43"/>
    <mergeCell ref="G13:G14"/>
    <mergeCell ref="F11:F12"/>
    <mergeCell ref="G11:G12"/>
    <mergeCell ref="B10:B29"/>
    <mergeCell ref="C10:C29"/>
    <mergeCell ref="E13:E14"/>
    <mergeCell ref="F13:F14"/>
    <mergeCell ref="F19:F20"/>
    <mergeCell ref="D19:D20"/>
    <mergeCell ref="D13:D14"/>
    <mergeCell ref="J8:R8"/>
    <mergeCell ref="T8:T9"/>
    <mergeCell ref="A30:A47"/>
    <mergeCell ref="D30:D33"/>
    <mergeCell ref="E30:E33"/>
    <mergeCell ref="F30:F33"/>
    <mergeCell ref="G30:G33"/>
    <mergeCell ref="D35:D36"/>
    <mergeCell ref="E35:E36"/>
    <mergeCell ref="F35:F36"/>
    <mergeCell ref="E11:E12"/>
    <mergeCell ref="G40:G41"/>
    <mergeCell ref="A1:T1"/>
    <mergeCell ref="A2:T2"/>
    <mergeCell ref="A3:T3"/>
    <mergeCell ref="A4:T4"/>
    <mergeCell ref="A6:T7"/>
    <mergeCell ref="A5:T5"/>
    <mergeCell ref="D8:D9"/>
    <mergeCell ref="E8:I8"/>
    <mergeCell ref="D65:D68"/>
    <mergeCell ref="D80:D83"/>
    <mergeCell ref="D84:D86"/>
    <mergeCell ref="A8:A9"/>
    <mergeCell ref="B8:B9"/>
    <mergeCell ref="C8:C9"/>
    <mergeCell ref="A64:A94"/>
    <mergeCell ref="A10:A29"/>
    <mergeCell ref="D11:D12"/>
    <mergeCell ref="A53:A56"/>
    <mergeCell ref="A48:A52"/>
    <mergeCell ref="B48:B52"/>
    <mergeCell ref="C48:C52"/>
    <mergeCell ref="C64:C94"/>
    <mergeCell ref="B53:B56"/>
    <mergeCell ref="C53:C56"/>
    <mergeCell ref="D70:D72"/>
    <mergeCell ref="D73:D75"/>
    <mergeCell ref="D87:D88"/>
    <mergeCell ref="E73:E75"/>
    <mergeCell ref="D76:D79"/>
    <mergeCell ref="E87:E88"/>
    <mergeCell ref="T65:T68"/>
    <mergeCell ref="F70:F72"/>
    <mergeCell ref="G70:G72"/>
    <mergeCell ref="F73:F75"/>
    <mergeCell ref="G73:G75"/>
    <mergeCell ref="T73:T75"/>
    <mergeCell ref="T97:T101"/>
    <mergeCell ref="T76:T79"/>
    <mergeCell ref="F80:F83"/>
    <mergeCell ref="G80:G83"/>
    <mergeCell ref="T80:T83"/>
    <mergeCell ref="F76:F79"/>
    <mergeCell ref="G76:G79"/>
    <mergeCell ref="T84:T86"/>
    <mergeCell ref="F87:F88"/>
    <mergeCell ref="G87:G88"/>
    <mergeCell ref="T87:T89"/>
    <mergeCell ref="F84:F86"/>
    <mergeCell ref="G84:G86"/>
    <mergeCell ref="D90:D93"/>
    <mergeCell ref="E90:E93"/>
    <mergeCell ref="B64:B94"/>
    <mergeCell ref="E95:E96"/>
    <mergeCell ref="F95:F96"/>
    <mergeCell ref="E80:E83"/>
    <mergeCell ref="E65:E68"/>
    <mergeCell ref="F90:F93"/>
    <mergeCell ref="E84:E86"/>
    <mergeCell ref="E76:E79"/>
    <mergeCell ref="D97:D101"/>
    <mergeCell ref="G97:G101"/>
    <mergeCell ref="G95:G96"/>
    <mergeCell ref="A105:A106"/>
    <mergeCell ref="B105:B106"/>
    <mergeCell ref="F97:F101"/>
    <mergeCell ref="A102:A104"/>
    <mergeCell ref="B102:B104"/>
    <mergeCell ref="C102:C104"/>
    <mergeCell ref="E97:E101"/>
    <mergeCell ref="D119:D120"/>
    <mergeCell ref="H109:H110"/>
    <mergeCell ref="I109:I110"/>
    <mergeCell ref="C105:C106"/>
    <mergeCell ref="T90:T94"/>
    <mergeCell ref="A95:A101"/>
    <mergeCell ref="B95:B101"/>
    <mergeCell ref="C95:C101"/>
    <mergeCell ref="D95:D96"/>
    <mergeCell ref="G90:G93"/>
    <mergeCell ref="A109:A111"/>
    <mergeCell ref="B109:B111"/>
    <mergeCell ref="C109:C111"/>
    <mergeCell ref="A107:A108"/>
    <mergeCell ref="B107:B108"/>
    <mergeCell ref="C107:C108"/>
    <mergeCell ref="A116:A118"/>
    <mergeCell ref="B116:B118"/>
    <mergeCell ref="C116:C118"/>
    <mergeCell ref="A119:A120"/>
    <mergeCell ref="B119:B120"/>
    <mergeCell ref="C119:C120"/>
  </mergeCells>
  <printOptions/>
  <pageMargins left="0.75" right="0.75" top="1" bottom="1" header="0.5" footer="0.5"/>
  <pageSetup orientation="portrait"/>
  <legacyDrawing r:id="rId2"/>
</worksheet>
</file>

<file path=xl/worksheets/sheet7.xml><?xml version="1.0" encoding="utf-8"?>
<worksheet xmlns="http://schemas.openxmlformats.org/spreadsheetml/2006/main" xmlns:r="http://schemas.openxmlformats.org/officeDocument/2006/relationships">
  <sheetPr>
    <tabColor rgb="FF008000"/>
  </sheetPr>
  <dimension ref="A1:AB125"/>
  <sheetViews>
    <sheetView zoomScale="75" zoomScaleNormal="75" zoomScalePageLayoutView="0" workbookViewId="0" topLeftCell="J63">
      <selection activeCell="Q66" sqref="Q66"/>
    </sheetView>
  </sheetViews>
  <sheetFormatPr defaultColWidth="11.00390625" defaultRowHeight="15.75"/>
  <cols>
    <col min="1" max="1" width="45.00390625" style="0" bestFit="1" customWidth="1"/>
    <col min="2" max="2" width="20.00390625" style="0" bestFit="1" customWidth="1"/>
    <col min="3" max="3" width="43.00390625" style="0" bestFit="1" customWidth="1"/>
    <col min="4" max="4" width="34.125" style="0" bestFit="1" customWidth="1"/>
    <col min="5" max="5" width="34.875" style="0" bestFit="1" customWidth="1"/>
    <col min="6" max="6" width="14.375" style="0" bestFit="1" customWidth="1"/>
    <col min="7" max="8" width="14.875" style="0" bestFit="1" customWidth="1"/>
    <col min="9" max="9" width="17.50390625" style="0" bestFit="1" customWidth="1"/>
    <col min="10" max="10" width="29.50390625" style="0" bestFit="1" customWidth="1"/>
    <col min="11" max="11" width="22.00390625" style="0" bestFit="1" customWidth="1"/>
    <col min="12" max="12" width="27.00390625" style="338" bestFit="1" customWidth="1"/>
    <col min="13" max="13" width="13.50390625" style="0" bestFit="1" customWidth="1"/>
    <col min="14" max="17" width="14.375" style="0" bestFit="1" customWidth="1"/>
    <col min="18" max="18" width="17.625" style="0" bestFit="1" customWidth="1"/>
    <col min="19" max="19" width="15.625" style="0" bestFit="1" customWidth="1"/>
    <col min="20" max="22" width="20.00390625" style="0" bestFit="1" customWidth="1"/>
    <col min="23" max="23" width="43.50390625" style="0" bestFit="1" customWidth="1"/>
  </cols>
  <sheetData>
    <row r="1" spans="1:23" ht="16.5" customHeight="1">
      <c r="A1" s="609" t="s">
        <v>1370</v>
      </c>
      <c r="B1" s="610"/>
      <c r="C1" s="610"/>
      <c r="D1" s="610"/>
      <c r="E1" s="610"/>
      <c r="F1" s="610"/>
      <c r="G1" s="610"/>
      <c r="H1" s="610"/>
      <c r="I1" s="610"/>
      <c r="J1" s="610"/>
      <c r="K1" s="610"/>
      <c r="L1" s="610"/>
      <c r="M1" s="610"/>
      <c r="N1" s="610"/>
      <c r="O1" s="610"/>
      <c r="P1" s="610"/>
      <c r="Q1" s="610"/>
      <c r="R1" s="610"/>
      <c r="S1" s="610"/>
      <c r="T1" s="610"/>
      <c r="U1" s="610"/>
      <c r="V1" s="610"/>
      <c r="W1" s="611"/>
    </row>
    <row r="2" spans="1:23" ht="18">
      <c r="A2" s="609" t="s">
        <v>1371</v>
      </c>
      <c r="B2" s="610"/>
      <c r="C2" s="610"/>
      <c r="D2" s="610"/>
      <c r="E2" s="610"/>
      <c r="F2" s="610"/>
      <c r="G2" s="610"/>
      <c r="H2" s="610"/>
      <c r="I2" s="610"/>
      <c r="J2" s="610"/>
      <c r="K2" s="610"/>
      <c r="L2" s="610"/>
      <c r="M2" s="610"/>
      <c r="N2" s="610"/>
      <c r="O2" s="610"/>
      <c r="P2" s="610"/>
      <c r="Q2" s="610"/>
      <c r="R2" s="610"/>
      <c r="S2" s="610"/>
      <c r="T2" s="610"/>
      <c r="U2" s="610"/>
      <c r="V2" s="610"/>
      <c r="W2" s="611"/>
    </row>
    <row r="3" spans="1:23" ht="16.5" customHeight="1">
      <c r="A3" s="609" t="s">
        <v>1157</v>
      </c>
      <c r="B3" s="610"/>
      <c r="C3" s="610"/>
      <c r="D3" s="610"/>
      <c r="E3" s="610"/>
      <c r="F3" s="610"/>
      <c r="G3" s="610"/>
      <c r="H3" s="610"/>
      <c r="I3" s="610"/>
      <c r="J3" s="610"/>
      <c r="K3" s="610"/>
      <c r="L3" s="610"/>
      <c r="M3" s="610"/>
      <c r="N3" s="610"/>
      <c r="O3" s="610"/>
      <c r="P3" s="610"/>
      <c r="Q3" s="610"/>
      <c r="R3" s="610"/>
      <c r="S3" s="610"/>
      <c r="T3" s="610"/>
      <c r="U3" s="610"/>
      <c r="V3" s="610"/>
      <c r="W3" s="611"/>
    </row>
    <row r="4" spans="1:23" ht="16.5" customHeight="1">
      <c r="A4" s="609" t="s">
        <v>2093</v>
      </c>
      <c r="B4" s="610"/>
      <c r="C4" s="610"/>
      <c r="D4" s="610"/>
      <c r="E4" s="610"/>
      <c r="F4" s="610"/>
      <c r="G4" s="610"/>
      <c r="H4" s="610"/>
      <c r="I4" s="610"/>
      <c r="J4" s="610"/>
      <c r="K4" s="610"/>
      <c r="L4" s="610"/>
      <c r="M4" s="610"/>
      <c r="N4" s="610"/>
      <c r="O4" s="610"/>
      <c r="P4" s="610"/>
      <c r="Q4" s="610"/>
      <c r="R4" s="610"/>
      <c r="S4" s="610"/>
      <c r="T4" s="610"/>
      <c r="U4" s="610"/>
      <c r="V4" s="610"/>
      <c r="W4" s="611"/>
    </row>
    <row r="5" spans="1:23" ht="18">
      <c r="A5" s="605"/>
      <c r="B5" s="606"/>
      <c r="C5" s="606"/>
      <c r="D5" s="606"/>
      <c r="E5" s="606"/>
      <c r="F5" s="606"/>
      <c r="G5" s="606"/>
      <c r="H5" s="606"/>
      <c r="I5" s="606"/>
      <c r="J5" s="606"/>
      <c r="K5" s="606"/>
      <c r="L5" s="606"/>
      <c r="M5" s="606"/>
      <c r="N5" s="606"/>
      <c r="O5" s="606"/>
      <c r="P5" s="606"/>
      <c r="Q5" s="606"/>
      <c r="R5" s="606"/>
      <c r="S5" s="606"/>
      <c r="T5" s="606"/>
      <c r="U5" s="606"/>
      <c r="V5" s="606"/>
      <c r="W5" s="607"/>
    </row>
    <row r="6" spans="1:23" ht="15" customHeight="1">
      <c r="A6" s="608" t="s">
        <v>2094</v>
      </c>
      <c r="B6" s="608" t="s">
        <v>188</v>
      </c>
      <c r="C6" s="608" t="s">
        <v>2097</v>
      </c>
      <c r="D6" s="608" t="s">
        <v>2098</v>
      </c>
      <c r="E6" s="608"/>
      <c r="F6" s="608"/>
      <c r="G6" s="608"/>
      <c r="H6" s="608"/>
      <c r="I6" s="608"/>
      <c r="J6" s="608"/>
      <c r="K6" s="608" t="s">
        <v>2099</v>
      </c>
      <c r="L6" s="608"/>
      <c r="M6" s="608"/>
      <c r="N6" s="608"/>
      <c r="O6" s="608"/>
      <c r="P6" s="608"/>
      <c r="Q6" s="608"/>
      <c r="R6" s="608" t="s">
        <v>2100</v>
      </c>
      <c r="S6" s="608"/>
      <c r="T6" s="608"/>
      <c r="U6" s="608"/>
      <c r="V6" s="608"/>
      <c r="W6" s="608" t="s">
        <v>2101</v>
      </c>
    </row>
    <row r="7" spans="1:23" ht="72">
      <c r="A7" s="727"/>
      <c r="B7" s="608"/>
      <c r="C7" s="608"/>
      <c r="D7" s="344" t="s">
        <v>2102</v>
      </c>
      <c r="E7" s="352" t="s">
        <v>2103</v>
      </c>
      <c r="F7" s="344" t="s">
        <v>2107</v>
      </c>
      <c r="G7" s="344" t="s">
        <v>2108</v>
      </c>
      <c r="H7" s="344" t="s">
        <v>2109</v>
      </c>
      <c r="I7" s="344" t="s">
        <v>2104</v>
      </c>
      <c r="J7" s="353" t="s">
        <v>2105</v>
      </c>
      <c r="K7" s="344" t="s">
        <v>2102</v>
      </c>
      <c r="L7" s="344" t="s">
        <v>20</v>
      </c>
      <c r="M7" s="352" t="s">
        <v>2103</v>
      </c>
      <c r="N7" s="344" t="s">
        <v>2107</v>
      </c>
      <c r="O7" s="344" t="s">
        <v>2108</v>
      </c>
      <c r="P7" s="344" t="s">
        <v>2109</v>
      </c>
      <c r="Q7" s="344" t="s">
        <v>2104</v>
      </c>
      <c r="R7" s="344" t="s">
        <v>2110</v>
      </c>
      <c r="S7" s="344">
        <v>2012</v>
      </c>
      <c r="T7" s="344">
        <v>2013</v>
      </c>
      <c r="U7" s="344">
        <v>2014</v>
      </c>
      <c r="V7" s="344">
        <v>2015</v>
      </c>
      <c r="W7" s="608"/>
    </row>
    <row r="8" spans="1:23" ht="76.5">
      <c r="A8" s="592" t="s">
        <v>429</v>
      </c>
      <c r="B8" s="786">
        <v>14</v>
      </c>
      <c r="C8" s="332" t="s">
        <v>2888</v>
      </c>
      <c r="D8" s="332" t="s">
        <v>2237</v>
      </c>
      <c r="E8" s="370">
        <v>3091</v>
      </c>
      <c r="F8" s="370">
        <v>75</v>
      </c>
      <c r="G8" s="370">
        <f>75+75</f>
        <v>150</v>
      </c>
      <c r="H8" s="370">
        <f>75*3</f>
        <v>225</v>
      </c>
      <c r="I8" s="372">
        <f>75*4</f>
        <v>300</v>
      </c>
      <c r="J8" s="332" t="s">
        <v>2238</v>
      </c>
      <c r="K8" s="332" t="s">
        <v>2239</v>
      </c>
      <c r="L8" s="332" t="s">
        <v>189</v>
      </c>
      <c r="M8" s="372" t="s">
        <v>2978</v>
      </c>
      <c r="N8" s="372">
        <v>1</v>
      </c>
      <c r="O8" s="372">
        <v>2</v>
      </c>
      <c r="P8" s="372">
        <v>3</v>
      </c>
      <c r="Q8" s="372">
        <v>4</v>
      </c>
      <c r="R8" s="374">
        <f>SUM(S8:V8)</f>
        <v>250300</v>
      </c>
      <c r="S8" s="375">
        <v>59400</v>
      </c>
      <c r="T8" s="375">
        <v>61500</v>
      </c>
      <c r="U8" s="375">
        <v>63600</v>
      </c>
      <c r="V8" s="375">
        <v>65800</v>
      </c>
      <c r="W8" s="802" t="s">
        <v>430</v>
      </c>
    </row>
    <row r="9" spans="1:23" ht="141" customHeight="1">
      <c r="A9" s="592"/>
      <c r="B9" s="786"/>
      <c r="C9" s="787" t="s">
        <v>2241</v>
      </c>
      <c r="D9" s="787" t="s">
        <v>2242</v>
      </c>
      <c r="E9" s="802">
        <v>3091</v>
      </c>
      <c r="F9" s="806">
        <v>4</v>
      </c>
      <c r="G9" s="806">
        <v>8</v>
      </c>
      <c r="H9" s="806">
        <v>12</v>
      </c>
      <c r="I9" s="808">
        <f>(E9*0.005)</f>
        <v>15.455</v>
      </c>
      <c r="J9" s="332" t="s">
        <v>2238</v>
      </c>
      <c r="K9" s="332" t="s">
        <v>2239</v>
      </c>
      <c r="L9" s="332" t="s">
        <v>189</v>
      </c>
      <c r="M9" s="372" t="s">
        <v>2978</v>
      </c>
      <c r="N9" s="372">
        <v>1</v>
      </c>
      <c r="O9" s="372">
        <v>2</v>
      </c>
      <c r="P9" s="372">
        <v>3</v>
      </c>
      <c r="Q9" s="372">
        <v>4</v>
      </c>
      <c r="R9" s="374">
        <f aca="true" t="shared" si="0" ref="R9:R72">SUM(S9:V9)</f>
        <v>251800</v>
      </c>
      <c r="S9" s="375">
        <v>59800</v>
      </c>
      <c r="T9" s="375">
        <v>61900</v>
      </c>
      <c r="U9" s="375">
        <v>63900</v>
      </c>
      <c r="V9" s="375">
        <v>66200</v>
      </c>
      <c r="W9" s="802"/>
    </row>
    <row r="10" spans="1:23" ht="51">
      <c r="A10" s="592"/>
      <c r="B10" s="786"/>
      <c r="C10" s="787"/>
      <c r="D10" s="787"/>
      <c r="E10" s="802"/>
      <c r="F10" s="807"/>
      <c r="G10" s="807"/>
      <c r="H10" s="807"/>
      <c r="I10" s="808"/>
      <c r="J10" s="332" t="s">
        <v>2647</v>
      </c>
      <c r="K10" s="332" t="s">
        <v>2648</v>
      </c>
      <c r="L10" s="332" t="s">
        <v>189</v>
      </c>
      <c r="M10" s="372" t="s">
        <v>2978</v>
      </c>
      <c r="N10" s="372">
        <v>11</v>
      </c>
      <c r="O10" s="372">
        <v>22</v>
      </c>
      <c r="P10" s="372">
        <v>33</v>
      </c>
      <c r="Q10" s="372">
        <v>44</v>
      </c>
      <c r="R10" s="374">
        <f t="shared" si="0"/>
        <v>1185319</v>
      </c>
      <c r="S10" s="375">
        <f>269400+50819</f>
        <v>320219</v>
      </c>
      <c r="T10" s="375">
        <v>278700</v>
      </c>
      <c r="U10" s="375">
        <v>288200</v>
      </c>
      <c r="V10" s="375">
        <v>298200</v>
      </c>
      <c r="W10" s="802"/>
    </row>
    <row r="11" spans="1:23" ht="38.25">
      <c r="A11" s="592"/>
      <c r="B11" s="786"/>
      <c r="C11" s="787" t="s">
        <v>2649</v>
      </c>
      <c r="D11" s="787" t="s">
        <v>2650</v>
      </c>
      <c r="E11" s="791">
        <v>122</v>
      </c>
      <c r="F11" s="798">
        <v>100</v>
      </c>
      <c r="G11" s="798">
        <v>110</v>
      </c>
      <c r="H11" s="798">
        <v>120</v>
      </c>
      <c r="I11" s="791">
        <v>130</v>
      </c>
      <c r="J11" s="332" t="s">
        <v>2651</v>
      </c>
      <c r="K11" s="332" t="s">
        <v>2652</v>
      </c>
      <c r="L11" s="332" t="s">
        <v>189</v>
      </c>
      <c r="M11" s="372" t="s">
        <v>2978</v>
      </c>
      <c r="N11" s="372">
        <v>2</v>
      </c>
      <c r="O11" s="372">
        <v>6</v>
      </c>
      <c r="P11" s="372">
        <v>12</v>
      </c>
      <c r="Q11" s="372">
        <v>16</v>
      </c>
      <c r="R11" s="374">
        <f t="shared" si="0"/>
        <v>671600</v>
      </c>
      <c r="S11" s="375">
        <v>159400</v>
      </c>
      <c r="T11" s="375">
        <v>164900</v>
      </c>
      <c r="U11" s="375">
        <v>170900</v>
      </c>
      <c r="V11" s="375">
        <v>176400</v>
      </c>
      <c r="W11" s="802"/>
    </row>
    <row r="12" spans="1:23" ht="63.75">
      <c r="A12" s="592"/>
      <c r="B12" s="786"/>
      <c r="C12" s="787"/>
      <c r="D12" s="787"/>
      <c r="E12" s="791"/>
      <c r="F12" s="800"/>
      <c r="G12" s="800"/>
      <c r="H12" s="800"/>
      <c r="I12" s="791"/>
      <c r="J12" s="332" t="s">
        <v>2653</v>
      </c>
      <c r="K12" s="332" t="s">
        <v>2654</v>
      </c>
      <c r="L12" s="332" t="s">
        <v>189</v>
      </c>
      <c r="M12" s="372">
        <v>3</v>
      </c>
      <c r="N12" s="372">
        <v>1</v>
      </c>
      <c r="O12" s="372">
        <v>2</v>
      </c>
      <c r="P12" s="372">
        <v>3</v>
      </c>
      <c r="Q12" s="372">
        <v>4</v>
      </c>
      <c r="R12" s="374">
        <f t="shared" si="0"/>
        <v>882800</v>
      </c>
      <c r="S12" s="375">
        <v>209600</v>
      </c>
      <c r="T12" s="375">
        <v>216800</v>
      </c>
      <c r="U12" s="375">
        <v>224300</v>
      </c>
      <c r="V12" s="375">
        <v>232100</v>
      </c>
      <c r="W12" s="802"/>
    </row>
    <row r="13" spans="1:23" ht="38.25">
      <c r="A13" s="592"/>
      <c r="B13" s="786"/>
      <c r="C13" s="332" t="s">
        <v>2655</v>
      </c>
      <c r="D13" s="332" t="s">
        <v>2656</v>
      </c>
      <c r="E13" s="372">
        <v>9</v>
      </c>
      <c r="F13" s="372">
        <v>3</v>
      </c>
      <c r="G13" s="372">
        <v>5</v>
      </c>
      <c r="H13" s="372">
        <v>7</v>
      </c>
      <c r="I13" s="372">
        <v>10</v>
      </c>
      <c r="J13" s="332" t="s">
        <v>2657</v>
      </c>
      <c r="K13" s="332" t="s">
        <v>2658</v>
      </c>
      <c r="L13" s="332" t="s">
        <v>189</v>
      </c>
      <c r="M13" s="372">
        <v>3</v>
      </c>
      <c r="N13" s="372">
        <v>1</v>
      </c>
      <c r="O13" s="372">
        <v>2</v>
      </c>
      <c r="P13" s="372">
        <v>3</v>
      </c>
      <c r="Q13" s="372">
        <v>4</v>
      </c>
      <c r="R13" s="374">
        <f t="shared" si="0"/>
        <v>550800</v>
      </c>
      <c r="S13" s="375">
        <v>130800</v>
      </c>
      <c r="T13" s="375">
        <v>135300</v>
      </c>
      <c r="U13" s="375">
        <v>140000</v>
      </c>
      <c r="V13" s="375">
        <v>144700</v>
      </c>
      <c r="W13" s="802"/>
    </row>
    <row r="14" spans="1:23" ht="76.5">
      <c r="A14" s="592"/>
      <c r="B14" s="786"/>
      <c r="C14" s="332" t="s">
        <v>1885</v>
      </c>
      <c r="D14" s="332" t="s">
        <v>1884</v>
      </c>
      <c r="E14" s="333">
        <v>0</v>
      </c>
      <c r="F14" s="333">
        <v>0</v>
      </c>
      <c r="G14" s="333">
        <v>1</v>
      </c>
      <c r="H14" s="333">
        <v>1</v>
      </c>
      <c r="I14" s="372">
        <v>1</v>
      </c>
      <c r="J14" s="332" t="s">
        <v>1885</v>
      </c>
      <c r="K14" s="332" t="s">
        <v>1886</v>
      </c>
      <c r="L14" s="332" t="s">
        <v>189</v>
      </c>
      <c r="M14" s="372">
        <v>0</v>
      </c>
      <c r="N14" s="372">
        <v>1</v>
      </c>
      <c r="O14" s="372">
        <v>2</v>
      </c>
      <c r="P14" s="372">
        <v>3</v>
      </c>
      <c r="Q14" s="372">
        <v>4</v>
      </c>
      <c r="R14" s="374">
        <f t="shared" si="0"/>
        <v>179081</v>
      </c>
      <c r="S14" s="337">
        <v>44100</v>
      </c>
      <c r="T14" s="337">
        <v>44541</v>
      </c>
      <c r="U14" s="337">
        <v>44986</v>
      </c>
      <c r="V14" s="337">
        <v>45454</v>
      </c>
      <c r="W14" s="802"/>
    </row>
    <row r="15" spans="1:23" ht="51">
      <c r="A15" s="592"/>
      <c r="B15" s="786"/>
      <c r="C15" s="332" t="s">
        <v>2659</v>
      </c>
      <c r="D15" s="332" t="s">
        <v>2660</v>
      </c>
      <c r="E15" s="333">
        <v>0</v>
      </c>
      <c r="F15" s="333">
        <v>0</v>
      </c>
      <c r="G15" s="333">
        <v>1</v>
      </c>
      <c r="H15" s="333">
        <v>1</v>
      </c>
      <c r="I15" s="372">
        <v>1</v>
      </c>
      <c r="J15" s="332" t="s">
        <v>2659</v>
      </c>
      <c r="K15" s="332" t="s">
        <v>2660</v>
      </c>
      <c r="L15" s="332" t="s">
        <v>189</v>
      </c>
      <c r="M15" s="372">
        <v>0</v>
      </c>
      <c r="N15" s="372">
        <v>0</v>
      </c>
      <c r="O15" s="372">
        <v>1</v>
      </c>
      <c r="P15" s="372">
        <v>1</v>
      </c>
      <c r="Q15" s="372">
        <v>1</v>
      </c>
      <c r="R15" s="374">
        <f t="shared" si="0"/>
        <v>0</v>
      </c>
      <c r="S15" s="375">
        <v>0</v>
      </c>
      <c r="T15" s="375">
        <v>0</v>
      </c>
      <c r="U15" s="375">
        <v>0</v>
      </c>
      <c r="V15" s="375">
        <v>0</v>
      </c>
      <c r="W15" s="802"/>
    </row>
    <row r="16" spans="1:23" ht="38.25">
      <c r="A16" s="592"/>
      <c r="B16" s="786"/>
      <c r="C16" s="332" t="s">
        <v>2661</v>
      </c>
      <c r="D16" s="332" t="s">
        <v>2662</v>
      </c>
      <c r="E16" s="372">
        <v>0</v>
      </c>
      <c r="F16" s="372">
        <v>1</v>
      </c>
      <c r="G16" s="372">
        <v>2</v>
      </c>
      <c r="H16" s="372">
        <v>3</v>
      </c>
      <c r="I16" s="335">
        <v>4</v>
      </c>
      <c r="J16" s="335" t="s">
        <v>918</v>
      </c>
      <c r="K16" s="372" t="s">
        <v>919</v>
      </c>
      <c r="L16" s="372" t="s">
        <v>189</v>
      </c>
      <c r="M16" s="372">
        <v>0</v>
      </c>
      <c r="N16" s="372">
        <v>1</v>
      </c>
      <c r="O16" s="372">
        <v>2</v>
      </c>
      <c r="P16" s="372">
        <v>3</v>
      </c>
      <c r="Q16" s="372">
        <v>4</v>
      </c>
      <c r="R16" s="374">
        <f t="shared" si="0"/>
        <v>0</v>
      </c>
      <c r="S16" s="375">
        <v>0</v>
      </c>
      <c r="T16" s="375">
        <v>0</v>
      </c>
      <c r="U16" s="375">
        <v>0</v>
      </c>
      <c r="V16" s="375">
        <v>0</v>
      </c>
      <c r="W16" s="802"/>
    </row>
    <row r="17" spans="1:23" ht="38.25">
      <c r="A17" s="592"/>
      <c r="B17" s="786"/>
      <c r="C17" s="787" t="s">
        <v>2663</v>
      </c>
      <c r="D17" s="787" t="s">
        <v>2664</v>
      </c>
      <c r="E17" s="791">
        <v>0</v>
      </c>
      <c r="F17" s="798">
        <v>0</v>
      </c>
      <c r="G17" s="798">
        <v>1</v>
      </c>
      <c r="H17" s="798">
        <v>1</v>
      </c>
      <c r="I17" s="791">
        <v>1</v>
      </c>
      <c r="J17" s="332" t="s">
        <v>2665</v>
      </c>
      <c r="K17" s="332" t="s">
        <v>2666</v>
      </c>
      <c r="L17" s="332" t="s">
        <v>189</v>
      </c>
      <c r="M17" s="372" t="s">
        <v>2978</v>
      </c>
      <c r="N17" s="372">
        <v>3</v>
      </c>
      <c r="O17" s="372">
        <v>6</v>
      </c>
      <c r="P17" s="372">
        <v>10</v>
      </c>
      <c r="Q17" s="372">
        <v>13</v>
      </c>
      <c r="R17" s="374">
        <f t="shared" si="0"/>
        <v>0</v>
      </c>
      <c r="S17" s="375">
        <v>0</v>
      </c>
      <c r="T17" s="375">
        <v>0</v>
      </c>
      <c r="U17" s="375">
        <v>0</v>
      </c>
      <c r="V17" s="375">
        <v>0</v>
      </c>
      <c r="W17" s="802"/>
    </row>
    <row r="18" spans="1:23" ht="140.25">
      <c r="A18" s="592"/>
      <c r="B18" s="786"/>
      <c r="C18" s="787"/>
      <c r="D18" s="787"/>
      <c r="E18" s="791"/>
      <c r="F18" s="800"/>
      <c r="G18" s="800"/>
      <c r="H18" s="800"/>
      <c r="I18" s="791"/>
      <c r="J18" s="332" t="s">
        <v>2667</v>
      </c>
      <c r="K18" s="332" t="s">
        <v>2668</v>
      </c>
      <c r="L18" s="332" t="s">
        <v>189</v>
      </c>
      <c r="M18" s="372">
        <v>0</v>
      </c>
      <c r="N18" s="372">
        <v>1</v>
      </c>
      <c r="O18" s="372">
        <v>1</v>
      </c>
      <c r="P18" s="372">
        <v>1</v>
      </c>
      <c r="Q18" s="372">
        <v>1</v>
      </c>
      <c r="R18" s="374">
        <f t="shared" si="0"/>
        <v>0</v>
      </c>
      <c r="S18" s="375">
        <v>0</v>
      </c>
      <c r="T18" s="375">
        <v>0</v>
      </c>
      <c r="U18" s="375">
        <v>0</v>
      </c>
      <c r="V18" s="375">
        <v>0</v>
      </c>
      <c r="W18" s="802"/>
    </row>
    <row r="19" spans="1:23" ht="51">
      <c r="A19" s="592"/>
      <c r="B19" s="786"/>
      <c r="C19" s="332" t="s">
        <v>2669</v>
      </c>
      <c r="D19" s="332" t="s">
        <v>2670</v>
      </c>
      <c r="E19" s="372">
        <v>0</v>
      </c>
      <c r="F19" s="372">
        <v>0</v>
      </c>
      <c r="G19" s="372">
        <v>1</v>
      </c>
      <c r="H19" s="372">
        <v>1</v>
      </c>
      <c r="I19" s="372">
        <v>1</v>
      </c>
      <c r="J19" s="335" t="s">
        <v>2671</v>
      </c>
      <c r="K19" s="335" t="s">
        <v>2672</v>
      </c>
      <c r="L19" s="335" t="s">
        <v>189</v>
      </c>
      <c r="M19" s="372">
        <v>0</v>
      </c>
      <c r="N19" s="372">
        <v>1</v>
      </c>
      <c r="O19" s="372">
        <v>1</v>
      </c>
      <c r="P19" s="372">
        <v>1</v>
      </c>
      <c r="Q19" s="372">
        <v>1</v>
      </c>
      <c r="R19" s="374">
        <f t="shared" si="0"/>
        <v>376500</v>
      </c>
      <c r="S19" s="375">
        <v>89300</v>
      </c>
      <c r="T19" s="375">
        <v>92600</v>
      </c>
      <c r="U19" s="375">
        <v>95600</v>
      </c>
      <c r="V19" s="375">
        <v>99000</v>
      </c>
      <c r="W19" s="802"/>
    </row>
    <row r="20" spans="1:23" ht="63.75">
      <c r="A20" s="592"/>
      <c r="B20" s="786"/>
      <c r="C20" s="332" t="s">
        <v>2673</v>
      </c>
      <c r="D20" s="332" t="s">
        <v>2674</v>
      </c>
      <c r="E20" s="372">
        <v>6</v>
      </c>
      <c r="F20" s="372">
        <v>40</v>
      </c>
      <c r="G20" s="372">
        <v>41</v>
      </c>
      <c r="H20" s="372">
        <v>42</v>
      </c>
      <c r="I20" s="372">
        <v>43</v>
      </c>
      <c r="J20" s="335" t="s">
        <v>2675</v>
      </c>
      <c r="K20" s="335" t="s">
        <v>2676</v>
      </c>
      <c r="L20" s="335" t="s">
        <v>189</v>
      </c>
      <c r="M20" s="372">
        <v>0</v>
      </c>
      <c r="N20" s="372">
        <v>1</v>
      </c>
      <c r="O20" s="372">
        <v>2</v>
      </c>
      <c r="P20" s="372">
        <v>3</v>
      </c>
      <c r="Q20" s="372">
        <v>4</v>
      </c>
      <c r="R20" s="374">
        <f t="shared" si="0"/>
        <v>251800</v>
      </c>
      <c r="S20" s="375">
        <v>59800</v>
      </c>
      <c r="T20" s="375">
        <v>61900</v>
      </c>
      <c r="U20" s="375">
        <v>63900</v>
      </c>
      <c r="V20" s="375">
        <v>66200</v>
      </c>
      <c r="W20" s="802"/>
    </row>
    <row r="21" spans="1:23" ht="38.25">
      <c r="A21" s="592"/>
      <c r="B21" s="786"/>
      <c r="C21" s="332" t="s">
        <v>2677</v>
      </c>
      <c r="D21" s="332" t="s">
        <v>1849</v>
      </c>
      <c r="E21" s="372">
        <v>8</v>
      </c>
      <c r="F21" s="372">
        <v>2</v>
      </c>
      <c r="G21" s="372">
        <v>4</v>
      </c>
      <c r="H21" s="372">
        <v>6</v>
      </c>
      <c r="I21" s="335">
        <v>8</v>
      </c>
      <c r="J21" s="335" t="s">
        <v>920</v>
      </c>
      <c r="K21" s="372" t="s">
        <v>921</v>
      </c>
      <c r="L21" s="372" t="s">
        <v>189</v>
      </c>
      <c r="M21" s="372" t="s">
        <v>2978</v>
      </c>
      <c r="N21" s="372">
        <v>5</v>
      </c>
      <c r="O21" s="372">
        <v>10</v>
      </c>
      <c r="P21" s="372">
        <v>15</v>
      </c>
      <c r="Q21" s="372">
        <v>20</v>
      </c>
      <c r="R21" s="374">
        <f t="shared" si="0"/>
        <v>0</v>
      </c>
      <c r="S21" s="374">
        <v>0</v>
      </c>
      <c r="T21" s="374">
        <v>0</v>
      </c>
      <c r="U21" s="374">
        <v>0</v>
      </c>
      <c r="V21" s="374">
        <v>0</v>
      </c>
      <c r="W21" s="802"/>
    </row>
    <row r="22" spans="1:23" ht="37.5" customHeight="1">
      <c r="A22" s="592"/>
      <c r="B22" s="786"/>
      <c r="C22" s="332" t="s">
        <v>1850</v>
      </c>
      <c r="D22" s="332" t="s">
        <v>1851</v>
      </c>
      <c r="E22" s="372">
        <v>1542</v>
      </c>
      <c r="F22" s="372">
        <v>1900</v>
      </c>
      <c r="G22" s="372">
        <v>2000</v>
      </c>
      <c r="H22" s="372">
        <v>2100</v>
      </c>
      <c r="I22" s="372">
        <v>2200</v>
      </c>
      <c r="J22" s="332" t="s">
        <v>1850</v>
      </c>
      <c r="K22" s="332" t="s">
        <v>1851</v>
      </c>
      <c r="L22" s="332" t="s">
        <v>189</v>
      </c>
      <c r="M22" s="372">
        <v>1542</v>
      </c>
      <c r="N22" s="372">
        <v>550</v>
      </c>
      <c r="O22" s="372">
        <v>1100</v>
      </c>
      <c r="P22" s="372">
        <v>1650</v>
      </c>
      <c r="Q22" s="372">
        <v>2200</v>
      </c>
      <c r="R22" s="374">
        <f t="shared" si="0"/>
        <v>400000</v>
      </c>
      <c r="S22" s="337">
        <v>100000</v>
      </c>
      <c r="T22" s="337">
        <v>100000</v>
      </c>
      <c r="U22" s="337">
        <f>+T22</f>
        <v>100000</v>
      </c>
      <c r="V22" s="337">
        <f>+U22</f>
        <v>100000</v>
      </c>
      <c r="W22" s="370" t="s">
        <v>1887</v>
      </c>
    </row>
    <row r="23" spans="1:23" ht="89.25">
      <c r="A23" s="592"/>
      <c r="B23" s="786"/>
      <c r="C23" s="332" t="s">
        <v>1852</v>
      </c>
      <c r="D23" s="332" t="s">
        <v>1853</v>
      </c>
      <c r="E23" s="372">
        <v>0</v>
      </c>
      <c r="F23" s="372">
        <v>1</v>
      </c>
      <c r="G23" s="372">
        <v>2</v>
      </c>
      <c r="H23" s="372">
        <v>3</v>
      </c>
      <c r="I23" s="372">
        <v>4</v>
      </c>
      <c r="J23" s="335" t="s">
        <v>922</v>
      </c>
      <c r="K23" s="335" t="s">
        <v>2691</v>
      </c>
      <c r="L23" s="335" t="s">
        <v>189</v>
      </c>
      <c r="M23" s="372">
        <v>0</v>
      </c>
      <c r="N23" s="372">
        <v>1</v>
      </c>
      <c r="O23" s="372">
        <v>2</v>
      </c>
      <c r="P23" s="372">
        <v>3</v>
      </c>
      <c r="Q23" s="372">
        <v>4</v>
      </c>
      <c r="R23" s="374">
        <f t="shared" si="0"/>
        <v>0</v>
      </c>
      <c r="S23" s="374">
        <v>0</v>
      </c>
      <c r="T23" s="374">
        <v>0</v>
      </c>
      <c r="U23" s="374">
        <v>0</v>
      </c>
      <c r="V23" s="374">
        <v>0</v>
      </c>
      <c r="W23" s="802" t="s">
        <v>431</v>
      </c>
    </row>
    <row r="24" spans="1:23" ht="38.25">
      <c r="A24" s="592"/>
      <c r="B24" s="786"/>
      <c r="C24" s="332" t="s">
        <v>2692</v>
      </c>
      <c r="D24" s="332" t="s">
        <v>2693</v>
      </c>
      <c r="E24" s="372" t="s">
        <v>2978</v>
      </c>
      <c r="F24" s="372">
        <v>0</v>
      </c>
      <c r="G24" s="372">
        <v>1</v>
      </c>
      <c r="H24" s="372">
        <v>1</v>
      </c>
      <c r="I24" s="372">
        <v>1</v>
      </c>
      <c r="J24" s="332" t="s">
        <v>2694</v>
      </c>
      <c r="K24" s="332" t="s">
        <v>1851</v>
      </c>
      <c r="L24" s="332" t="s">
        <v>189</v>
      </c>
      <c r="M24" s="372">
        <v>1542</v>
      </c>
      <c r="N24" s="372">
        <v>550</v>
      </c>
      <c r="O24" s="372">
        <v>1100</v>
      </c>
      <c r="P24" s="372">
        <v>1650</v>
      </c>
      <c r="Q24" s="372">
        <v>2200</v>
      </c>
      <c r="R24" s="374">
        <f t="shared" si="0"/>
        <v>0</v>
      </c>
      <c r="S24" s="374">
        <v>0</v>
      </c>
      <c r="T24" s="374">
        <v>0</v>
      </c>
      <c r="U24" s="374">
        <v>0</v>
      </c>
      <c r="V24" s="374">
        <v>0</v>
      </c>
      <c r="W24" s="802"/>
    </row>
    <row r="25" spans="1:23" ht="25.5">
      <c r="A25" s="592"/>
      <c r="B25" s="786"/>
      <c r="C25" s="332" t="s">
        <v>432</v>
      </c>
      <c r="D25" s="332" t="s">
        <v>433</v>
      </c>
      <c r="E25" s="372">
        <v>0</v>
      </c>
      <c r="F25" s="372">
        <v>0</v>
      </c>
      <c r="G25" s="372">
        <v>0</v>
      </c>
      <c r="H25" s="372">
        <v>1</v>
      </c>
      <c r="I25" s="372">
        <v>1</v>
      </c>
      <c r="J25" s="332" t="s">
        <v>923</v>
      </c>
      <c r="K25" s="332" t="s">
        <v>433</v>
      </c>
      <c r="L25" s="332" t="s">
        <v>189</v>
      </c>
      <c r="M25" s="372">
        <v>0</v>
      </c>
      <c r="N25" s="372">
        <v>0</v>
      </c>
      <c r="O25" s="372">
        <v>0</v>
      </c>
      <c r="P25" s="372">
        <v>1</v>
      </c>
      <c r="Q25" s="372">
        <v>1</v>
      </c>
      <c r="R25" s="374">
        <f t="shared" si="0"/>
        <v>0</v>
      </c>
      <c r="S25" s="374">
        <v>0</v>
      </c>
      <c r="T25" s="374">
        <v>0</v>
      </c>
      <c r="U25" s="374">
        <v>0</v>
      </c>
      <c r="V25" s="374">
        <v>0</v>
      </c>
      <c r="W25" s="802"/>
    </row>
    <row r="26" spans="1:23" ht="38.25">
      <c r="A26" s="592"/>
      <c r="B26" s="786"/>
      <c r="C26" s="332" t="s">
        <v>2699</v>
      </c>
      <c r="D26" s="332" t="s">
        <v>2700</v>
      </c>
      <c r="E26" s="372">
        <v>0</v>
      </c>
      <c r="F26" s="372">
        <v>0</v>
      </c>
      <c r="G26" s="372">
        <v>0</v>
      </c>
      <c r="H26" s="372">
        <v>1</v>
      </c>
      <c r="I26" s="372">
        <v>1</v>
      </c>
      <c r="J26" s="332" t="s">
        <v>924</v>
      </c>
      <c r="K26" s="335" t="s">
        <v>925</v>
      </c>
      <c r="L26" s="335" t="s">
        <v>189</v>
      </c>
      <c r="M26" s="372">
        <v>0</v>
      </c>
      <c r="N26" s="372">
        <v>0</v>
      </c>
      <c r="O26" s="371">
        <v>0.25</v>
      </c>
      <c r="P26" s="371">
        <v>0.5</v>
      </c>
      <c r="Q26" s="371">
        <v>1</v>
      </c>
      <c r="R26" s="374">
        <f t="shared" si="0"/>
        <v>0</v>
      </c>
      <c r="S26" s="374">
        <v>0</v>
      </c>
      <c r="T26" s="374">
        <v>0</v>
      </c>
      <c r="U26" s="374">
        <v>0</v>
      </c>
      <c r="V26" s="374">
        <v>0</v>
      </c>
      <c r="W26" s="802"/>
    </row>
    <row r="27" spans="1:23" ht="63.75">
      <c r="A27" s="592" t="s">
        <v>434</v>
      </c>
      <c r="B27" s="786">
        <v>7</v>
      </c>
      <c r="C27" s="787" t="s">
        <v>1889</v>
      </c>
      <c r="D27" s="787" t="s">
        <v>926</v>
      </c>
      <c r="E27" s="787" t="s">
        <v>1891</v>
      </c>
      <c r="F27" s="803">
        <v>50</v>
      </c>
      <c r="G27" s="803">
        <v>100</v>
      </c>
      <c r="H27" s="803">
        <v>200</v>
      </c>
      <c r="I27" s="787">
        <v>300</v>
      </c>
      <c r="J27" s="335" t="s">
        <v>1892</v>
      </c>
      <c r="K27" s="335" t="s">
        <v>1893</v>
      </c>
      <c r="L27" s="335" t="s">
        <v>189</v>
      </c>
      <c r="M27" s="372">
        <v>0</v>
      </c>
      <c r="N27" s="372">
        <v>1</v>
      </c>
      <c r="O27" s="372">
        <v>2</v>
      </c>
      <c r="P27" s="372">
        <v>3</v>
      </c>
      <c r="Q27" s="372">
        <v>4</v>
      </c>
      <c r="R27" s="374">
        <f t="shared" si="0"/>
        <v>0</v>
      </c>
      <c r="S27" s="375">
        <v>0</v>
      </c>
      <c r="T27" s="375">
        <v>0</v>
      </c>
      <c r="U27" s="375">
        <v>0</v>
      </c>
      <c r="V27" s="375">
        <v>0</v>
      </c>
      <c r="W27" s="787" t="s">
        <v>435</v>
      </c>
    </row>
    <row r="28" spans="1:23" ht="38.25">
      <c r="A28" s="592"/>
      <c r="B28" s="786"/>
      <c r="C28" s="787"/>
      <c r="D28" s="787"/>
      <c r="E28" s="787"/>
      <c r="F28" s="804"/>
      <c r="G28" s="804"/>
      <c r="H28" s="804"/>
      <c r="I28" s="787"/>
      <c r="J28" s="335" t="s">
        <v>1894</v>
      </c>
      <c r="K28" s="335" t="s">
        <v>1895</v>
      </c>
      <c r="L28" s="335" t="s">
        <v>189</v>
      </c>
      <c r="M28" s="372">
        <v>0</v>
      </c>
      <c r="N28" s="372">
        <v>75</v>
      </c>
      <c r="O28" s="372">
        <v>150</v>
      </c>
      <c r="P28" s="372">
        <v>225</v>
      </c>
      <c r="Q28" s="372">
        <v>300</v>
      </c>
      <c r="R28" s="374">
        <f t="shared" si="0"/>
        <v>210000</v>
      </c>
      <c r="S28" s="375">
        <v>40000</v>
      </c>
      <c r="T28" s="375">
        <v>50000</v>
      </c>
      <c r="U28" s="375">
        <v>60000</v>
      </c>
      <c r="V28" s="375">
        <v>60000</v>
      </c>
      <c r="W28" s="787"/>
    </row>
    <row r="29" spans="1:23" ht="89.25">
      <c r="A29" s="592"/>
      <c r="B29" s="786"/>
      <c r="C29" s="787"/>
      <c r="D29" s="787"/>
      <c r="E29" s="787"/>
      <c r="F29" s="804"/>
      <c r="G29" s="804"/>
      <c r="H29" s="804"/>
      <c r="I29" s="787"/>
      <c r="J29" s="335" t="s">
        <v>1896</v>
      </c>
      <c r="K29" s="335" t="s">
        <v>1897</v>
      </c>
      <c r="L29" s="335" t="s">
        <v>189</v>
      </c>
      <c r="M29" s="372">
        <v>0</v>
      </c>
      <c r="N29" s="372">
        <v>4</v>
      </c>
      <c r="O29" s="372">
        <v>10</v>
      </c>
      <c r="P29" s="372">
        <v>15</v>
      </c>
      <c r="Q29" s="372">
        <v>20</v>
      </c>
      <c r="R29" s="374">
        <f t="shared" si="0"/>
        <v>150000</v>
      </c>
      <c r="S29" s="375">
        <v>30000</v>
      </c>
      <c r="T29" s="375">
        <v>35000</v>
      </c>
      <c r="U29" s="375">
        <v>40000</v>
      </c>
      <c r="V29" s="375">
        <v>45000</v>
      </c>
      <c r="W29" s="787"/>
    </row>
    <row r="30" spans="1:23" ht="63.75">
      <c r="A30" s="592"/>
      <c r="B30" s="786"/>
      <c r="C30" s="787"/>
      <c r="D30" s="787"/>
      <c r="E30" s="787"/>
      <c r="F30" s="805"/>
      <c r="G30" s="805"/>
      <c r="H30" s="805"/>
      <c r="I30" s="787"/>
      <c r="J30" s="335" t="s">
        <v>1898</v>
      </c>
      <c r="K30" s="335" t="s">
        <v>1899</v>
      </c>
      <c r="L30" s="335"/>
      <c r="M30" s="372">
        <v>0</v>
      </c>
      <c r="N30" s="372">
        <v>15</v>
      </c>
      <c r="O30" s="372">
        <v>35</v>
      </c>
      <c r="P30" s="372">
        <v>70</v>
      </c>
      <c r="Q30" s="372">
        <v>100</v>
      </c>
      <c r="R30" s="374">
        <f t="shared" si="0"/>
        <v>67000</v>
      </c>
      <c r="S30" s="375">
        <v>10000</v>
      </c>
      <c r="T30" s="375">
        <v>12000</v>
      </c>
      <c r="U30" s="375">
        <v>20000</v>
      </c>
      <c r="V30" s="375">
        <v>25000</v>
      </c>
      <c r="W30" s="787"/>
    </row>
    <row r="31" spans="1:23" ht="51">
      <c r="A31" s="592"/>
      <c r="B31" s="786"/>
      <c r="C31" s="332" t="s">
        <v>1900</v>
      </c>
      <c r="D31" s="332" t="s">
        <v>1901</v>
      </c>
      <c r="E31" s="332" t="s">
        <v>1891</v>
      </c>
      <c r="F31" s="332">
        <v>40</v>
      </c>
      <c r="G31" s="332">
        <v>60</v>
      </c>
      <c r="H31" s="332">
        <v>80</v>
      </c>
      <c r="I31" s="332">
        <v>100</v>
      </c>
      <c r="J31" s="335" t="s">
        <v>1902</v>
      </c>
      <c r="K31" s="335" t="s">
        <v>1903</v>
      </c>
      <c r="L31" s="335" t="s">
        <v>189</v>
      </c>
      <c r="M31" s="372">
        <v>1</v>
      </c>
      <c r="N31" s="372">
        <v>1</v>
      </c>
      <c r="O31" s="372">
        <v>2</v>
      </c>
      <c r="P31" s="372">
        <v>3</v>
      </c>
      <c r="Q31" s="372">
        <v>4</v>
      </c>
      <c r="R31" s="374">
        <f t="shared" si="0"/>
        <v>53000</v>
      </c>
      <c r="S31" s="375">
        <v>10000</v>
      </c>
      <c r="T31" s="375">
        <v>12000</v>
      </c>
      <c r="U31" s="375">
        <v>15000</v>
      </c>
      <c r="V31" s="375">
        <v>16000</v>
      </c>
      <c r="W31" s="787"/>
    </row>
    <row r="32" spans="1:23" ht="51">
      <c r="A32" s="592"/>
      <c r="B32" s="786"/>
      <c r="C32" s="787" t="s">
        <v>1904</v>
      </c>
      <c r="D32" s="787" t="s">
        <v>1905</v>
      </c>
      <c r="E32" s="787" t="s">
        <v>1891</v>
      </c>
      <c r="F32" s="787">
        <v>30</v>
      </c>
      <c r="G32" s="787">
        <v>60</v>
      </c>
      <c r="H32" s="787">
        <v>90</v>
      </c>
      <c r="I32" s="787">
        <v>100</v>
      </c>
      <c r="J32" s="335" t="s">
        <v>1906</v>
      </c>
      <c r="K32" s="335" t="s">
        <v>1907</v>
      </c>
      <c r="L32" s="335" t="s">
        <v>189</v>
      </c>
      <c r="M32" s="372">
        <v>0</v>
      </c>
      <c r="N32" s="372">
        <v>1</v>
      </c>
      <c r="O32" s="372">
        <v>2</v>
      </c>
      <c r="P32" s="372">
        <v>3</v>
      </c>
      <c r="Q32" s="372">
        <v>4</v>
      </c>
      <c r="R32" s="374">
        <f t="shared" si="0"/>
        <v>93000</v>
      </c>
      <c r="S32" s="375">
        <v>20000</v>
      </c>
      <c r="T32" s="375">
        <v>22000</v>
      </c>
      <c r="U32" s="375">
        <v>25000</v>
      </c>
      <c r="V32" s="375">
        <v>26000</v>
      </c>
      <c r="W32" s="787"/>
    </row>
    <row r="33" spans="1:23" ht="38.25">
      <c r="A33" s="592"/>
      <c r="B33" s="786"/>
      <c r="C33" s="787"/>
      <c r="D33" s="787"/>
      <c r="E33" s="787"/>
      <c r="F33" s="787"/>
      <c r="G33" s="787"/>
      <c r="H33" s="787"/>
      <c r="I33" s="787"/>
      <c r="J33" s="335" t="s">
        <v>1908</v>
      </c>
      <c r="K33" s="335" t="s">
        <v>1909</v>
      </c>
      <c r="L33" s="335" t="s">
        <v>189</v>
      </c>
      <c r="M33" s="372">
        <v>0</v>
      </c>
      <c r="N33" s="372">
        <v>1</v>
      </c>
      <c r="O33" s="372">
        <v>2</v>
      </c>
      <c r="P33" s="372">
        <v>3</v>
      </c>
      <c r="Q33" s="372">
        <v>4</v>
      </c>
      <c r="R33" s="374">
        <f t="shared" si="0"/>
        <v>110000</v>
      </c>
      <c r="S33" s="375">
        <v>20000</v>
      </c>
      <c r="T33" s="375">
        <v>25000</v>
      </c>
      <c r="U33" s="375">
        <v>30000</v>
      </c>
      <c r="V33" s="375">
        <v>35000</v>
      </c>
      <c r="W33" s="787"/>
    </row>
    <row r="34" spans="1:23" ht="51">
      <c r="A34" s="592"/>
      <c r="B34" s="786"/>
      <c r="C34" s="787" t="s">
        <v>927</v>
      </c>
      <c r="D34" s="787" t="s">
        <v>928</v>
      </c>
      <c r="E34" s="787">
        <v>0</v>
      </c>
      <c r="F34" s="803">
        <v>0</v>
      </c>
      <c r="G34" s="803">
        <v>1</v>
      </c>
      <c r="H34" s="803">
        <v>1</v>
      </c>
      <c r="I34" s="787">
        <v>1</v>
      </c>
      <c r="J34" s="335" t="s">
        <v>1912</v>
      </c>
      <c r="K34" s="335" t="s">
        <v>1893</v>
      </c>
      <c r="L34" s="335" t="s">
        <v>189</v>
      </c>
      <c r="M34" s="372">
        <v>0</v>
      </c>
      <c r="N34" s="372">
        <v>1</v>
      </c>
      <c r="O34" s="372">
        <v>1</v>
      </c>
      <c r="P34" s="372">
        <v>2</v>
      </c>
      <c r="Q34" s="372">
        <v>2</v>
      </c>
      <c r="R34" s="374">
        <f t="shared" si="0"/>
        <v>0</v>
      </c>
      <c r="S34" s="375">
        <v>0</v>
      </c>
      <c r="T34" s="375">
        <v>0</v>
      </c>
      <c r="U34" s="375">
        <v>0</v>
      </c>
      <c r="V34" s="375">
        <v>0</v>
      </c>
      <c r="W34" s="787"/>
    </row>
    <row r="35" spans="1:23" ht="51">
      <c r="A35" s="592"/>
      <c r="B35" s="786"/>
      <c r="C35" s="787"/>
      <c r="D35" s="787"/>
      <c r="E35" s="787"/>
      <c r="F35" s="804"/>
      <c r="G35" s="804"/>
      <c r="H35" s="804"/>
      <c r="I35" s="787"/>
      <c r="J35" s="335" t="s">
        <v>1913</v>
      </c>
      <c r="K35" s="335" t="s">
        <v>1914</v>
      </c>
      <c r="L35" s="335" t="s">
        <v>189</v>
      </c>
      <c r="M35" s="372">
        <v>0</v>
      </c>
      <c r="N35" s="372">
        <v>1</v>
      </c>
      <c r="O35" s="372">
        <v>3</v>
      </c>
      <c r="P35" s="372">
        <v>5</v>
      </c>
      <c r="Q35" s="372">
        <v>6</v>
      </c>
      <c r="R35" s="374">
        <f t="shared" si="0"/>
        <v>50000</v>
      </c>
      <c r="S35" s="375">
        <v>10000</v>
      </c>
      <c r="T35" s="375">
        <v>12000</v>
      </c>
      <c r="U35" s="375">
        <v>15000</v>
      </c>
      <c r="V35" s="375">
        <v>13000</v>
      </c>
      <c r="W35" s="787"/>
    </row>
    <row r="36" spans="1:23" ht="76.5">
      <c r="A36" s="592"/>
      <c r="B36" s="786"/>
      <c r="C36" s="787"/>
      <c r="D36" s="787"/>
      <c r="E36" s="787"/>
      <c r="F36" s="805"/>
      <c r="G36" s="805"/>
      <c r="H36" s="805"/>
      <c r="I36" s="787"/>
      <c r="J36" s="335" t="s">
        <v>1915</v>
      </c>
      <c r="K36" s="335" t="s">
        <v>1916</v>
      </c>
      <c r="L36" s="335" t="s">
        <v>189</v>
      </c>
      <c r="M36" s="372">
        <v>0</v>
      </c>
      <c r="N36" s="372">
        <v>2</v>
      </c>
      <c r="O36" s="372">
        <v>8</v>
      </c>
      <c r="P36" s="372">
        <v>15</v>
      </c>
      <c r="Q36" s="372">
        <v>20</v>
      </c>
      <c r="R36" s="374">
        <f t="shared" si="0"/>
        <v>0</v>
      </c>
      <c r="S36" s="375">
        <v>0</v>
      </c>
      <c r="T36" s="375">
        <v>0</v>
      </c>
      <c r="U36" s="375">
        <v>0</v>
      </c>
      <c r="V36" s="375">
        <v>0</v>
      </c>
      <c r="W36" s="787"/>
    </row>
    <row r="37" spans="1:23" ht="51">
      <c r="A37" s="592"/>
      <c r="B37" s="786"/>
      <c r="C37" s="787" t="s">
        <v>929</v>
      </c>
      <c r="D37" s="787" t="s">
        <v>930</v>
      </c>
      <c r="E37" s="787">
        <v>0</v>
      </c>
      <c r="F37" s="787">
        <v>0</v>
      </c>
      <c r="G37" s="787">
        <v>1</v>
      </c>
      <c r="H37" s="787">
        <v>1</v>
      </c>
      <c r="I37" s="787">
        <v>1</v>
      </c>
      <c r="J37" s="335" t="s">
        <v>1919</v>
      </c>
      <c r="K37" s="335" t="s">
        <v>1920</v>
      </c>
      <c r="L37" s="335" t="s">
        <v>189</v>
      </c>
      <c r="M37" s="372">
        <v>0</v>
      </c>
      <c r="N37" s="372">
        <v>1</v>
      </c>
      <c r="O37" s="372">
        <v>2</v>
      </c>
      <c r="P37" s="372">
        <v>3</v>
      </c>
      <c r="Q37" s="372">
        <v>4</v>
      </c>
      <c r="R37" s="374">
        <f t="shared" si="0"/>
        <v>110000</v>
      </c>
      <c r="S37" s="375">
        <v>20000</v>
      </c>
      <c r="T37" s="375">
        <v>25000</v>
      </c>
      <c r="U37" s="375">
        <v>30000</v>
      </c>
      <c r="V37" s="375">
        <v>35000</v>
      </c>
      <c r="W37" s="787"/>
    </row>
    <row r="38" spans="1:23" ht="51">
      <c r="A38" s="592"/>
      <c r="B38" s="786"/>
      <c r="C38" s="787"/>
      <c r="D38" s="787"/>
      <c r="E38" s="787"/>
      <c r="F38" s="787"/>
      <c r="G38" s="787"/>
      <c r="H38" s="787"/>
      <c r="I38" s="787"/>
      <c r="J38" s="335" t="s">
        <v>1921</v>
      </c>
      <c r="K38" s="335" t="s">
        <v>1922</v>
      </c>
      <c r="L38" s="335" t="s">
        <v>189</v>
      </c>
      <c r="M38" s="372">
        <v>0</v>
      </c>
      <c r="N38" s="372">
        <v>5</v>
      </c>
      <c r="O38" s="372">
        <v>20</v>
      </c>
      <c r="P38" s="372">
        <v>30</v>
      </c>
      <c r="Q38" s="372">
        <v>40</v>
      </c>
      <c r="R38" s="374">
        <f t="shared" si="0"/>
        <v>0</v>
      </c>
      <c r="S38" s="375">
        <v>0</v>
      </c>
      <c r="T38" s="375">
        <v>0</v>
      </c>
      <c r="U38" s="375">
        <v>0</v>
      </c>
      <c r="V38" s="375">
        <v>0</v>
      </c>
      <c r="W38" s="787"/>
    </row>
    <row r="39" spans="1:23" ht="38.25">
      <c r="A39" s="592"/>
      <c r="B39" s="786"/>
      <c r="C39" s="787" t="s">
        <v>1923</v>
      </c>
      <c r="D39" s="787" t="s">
        <v>1924</v>
      </c>
      <c r="E39" s="787">
        <v>0</v>
      </c>
      <c r="F39" s="787">
        <v>0</v>
      </c>
      <c r="G39" s="787">
        <v>1</v>
      </c>
      <c r="H39" s="787">
        <v>1</v>
      </c>
      <c r="I39" s="787">
        <v>1</v>
      </c>
      <c r="J39" s="335" t="s">
        <v>1925</v>
      </c>
      <c r="K39" s="335" t="s">
        <v>1895</v>
      </c>
      <c r="L39" s="335" t="s">
        <v>189</v>
      </c>
      <c r="M39" s="372">
        <v>0</v>
      </c>
      <c r="N39" s="372">
        <v>25</v>
      </c>
      <c r="O39" s="372">
        <v>50</v>
      </c>
      <c r="P39" s="372">
        <v>75</v>
      </c>
      <c r="Q39" s="372">
        <v>100</v>
      </c>
      <c r="R39" s="374">
        <f t="shared" si="0"/>
        <v>90000</v>
      </c>
      <c r="S39" s="375">
        <v>15000</v>
      </c>
      <c r="T39" s="375">
        <v>20000</v>
      </c>
      <c r="U39" s="375">
        <v>25000</v>
      </c>
      <c r="V39" s="375">
        <v>30000</v>
      </c>
      <c r="W39" s="787"/>
    </row>
    <row r="40" spans="1:23" ht="63.75">
      <c r="A40" s="592"/>
      <c r="B40" s="786"/>
      <c r="C40" s="787"/>
      <c r="D40" s="787"/>
      <c r="E40" s="787"/>
      <c r="F40" s="787"/>
      <c r="G40" s="787"/>
      <c r="H40" s="787"/>
      <c r="I40" s="787"/>
      <c r="J40" s="335" t="s">
        <v>1926</v>
      </c>
      <c r="K40" s="335" t="s">
        <v>1927</v>
      </c>
      <c r="L40" s="335" t="s">
        <v>189</v>
      </c>
      <c r="M40" s="372">
        <v>0</v>
      </c>
      <c r="N40" s="372">
        <v>2</v>
      </c>
      <c r="O40" s="372">
        <v>4</v>
      </c>
      <c r="P40" s="372">
        <v>6</v>
      </c>
      <c r="Q40" s="372">
        <v>8</v>
      </c>
      <c r="R40" s="374">
        <f t="shared" si="0"/>
        <v>97000</v>
      </c>
      <c r="S40" s="375">
        <v>20000</v>
      </c>
      <c r="T40" s="375">
        <v>22000</v>
      </c>
      <c r="U40" s="375">
        <v>25000</v>
      </c>
      <c r="V40" s="375">
        <v>30000</v>
      </c>
      <c r="W40" s="787"/>
    </row>
    <row r="41" spans="1:23" ht="38.25">
      <c r="A41" s="592"/>
      <c r="B41" s="786"/>
      <c r="C41" s="787" t="s">
        <v>1928</v>
      </c>
      <c r="D41" s="787" t="s">
        <v>1929</v>
      </c>
      <c r="E41" s="787">
        <v>0</v>
      </c>
      <c r="F41" s="787">
        <v>1</v>
      </c>
      <c r="G41" s="787">
        <v>1</v>
      </c>
      <c r="H41" s="787">
        <v>1</v>
      </c>
      <c r="I41" s="787">
        <v>2</v>
      </c>
      <c r="J41" s="335" t="s">
        <v>1930</v>
      </c>
      <c r="K41" s="335" t="s">
        <v>1931</v>
      </c>
      <c r="L41" s="335" t="s">
        <v>189</v>
      </c>
      <c r="M41" s="372">
        <v>0</v>
      </c>
      <c r="N41" s="372">
        <v>1</v>
      </c>
      <c r="O41" s="372">
        <v>1</v>
      </c>
      <c r="P41" s="372">
        <v>1</v>
      </c>
      <c r="Q41" s="372">
        <v>1</v>
      </c>
      <c r="R41" s="374">
        <f t="shared" si="0"/>
        <v>0</v>
      </c>
      <c r="S41" s="375">
        <v>0</v>
      </c>
      <c r="T41" s="375">
        <v>0</v>
      </c>
      <c r="U41" s="375">
        <v>0</v>
      </c>
      <c r="V41" s="375">
        <v>0</v>
      </c>
      <c r="W41" s="787"/>
    </row>
    <row r="42" spans="1:23" ht="51">
      <c r="A42" s="592"/>
      <c r="B42" s="786"/>
      <c r="C42" s="787"/>
      <c r="D42" s="787"/>
      <c r="E42" s="787"/>
      <c r="F42" s="787"/>
      <c r="G42" s="787"/>
      <c r="H42" s="787"/>
      <c r="I42" s="787"/>
      <c r="J42" s="335" t="s">
        <v>1932</v>
      </c>
      <c r="K42" s="335" t="s">
        <v>1933</v>
      </c>
      <c r="L42" s="335" t="s">
        <v>189</v>
      </c>
      <c r="M42" s="372">
        <v>0</v>
      </c>
      <c r="N42" s="372">
        <v>1</v>
      </c>
      <c r="O42" s="372">
        <v>1</v>
      </c>
      <c r="P42" s="372">
        <v>1</v>
      </c>
      <c r="Q42" s="372">
        <v>1</v>
      </c>
      <c r="R42" s="374">
        <f t="shared" si="0"/>
        <v>0</v>
      </c>
      <c r="S42" s="375">
        <v>0</v>
      </c>
      <c r="T42" s="375">
        <v>0</v>
      </c>
      <c r="U42" s="375">
        <v>0</v>
      </c>
      <c r="V42" s="375">
        <v>0</v>
      </c>
      <c r="W42" s="787"/>
    </row>
    <row r="43" spans="1:23" ht="51">
      <c r="A43" s="592"/>
      <c r="B43" s="786"/>
      <c r="C43" s="787"/>
      <c r="D43" s="787"/>
      <c r="E43" s="787"/>
      <c r="F43" s="787"/>
      <c r="G43" s="787"/>
      <c r="H43" s="787"/>
      <c r="I43" s="787"/>
      <c r="J43" s="335" t="s">
        <v>1942</v>
      </c>
      <c r="K43" s="335" t="s">
        <v>1943</v>
      </c>
      <c r="L43" s="335" t="s">
        <v>189</v>
      </c>
      <c r="M43" s="372">
        <v>0</v>
      </c>
      <c r="N43" s="372">
        <v>1</v>
      </c>
      <c r="O43" s="372">
        <v>1</v>
      </c>
      <c r="P43" s="372">
        <v>1</v>
      </c>
      <c r="Q43" s="372">
        <v>1</v>
      </c>
      <c r="R43" s="374">
        <f t="shared" si="0"/>
        <v>110000</v>
      </c>
      <c r="S43" s="375">
        <v>20000</v>
      </c>
      <c r="T43" s="375">
        <v>25000</v>
      </c>
      <c r="U43" s="375">
        <v>30000</v>
      </c>
      <c r="V43" s="375">
        <v>35000</v>
      </c>
      <c r="W43" s="787"/>
    </row>
    <row r="44" spans="1:23" ht="51">
      <c r="A44" s="592"/>
      <c r="B44" s="786"/>
      <c r="C44" s="332" t="s">
        <v>1944</v>
      </c>
      <c r="D44" s="332" t="s">
        <v>1945</v>
      </c>
      <c r="E44" s="332">
        <v>1</v>
      </c>
      <c r="F44" s="332">
        <v>1</v>
      </c>
      <c r="G44" s="332">
        <v>1</v>
      </c>
      <c r="H44" s="332">
        <v>1</v>
      </c>
      <c r="I44" s="332">
        <v>2</v>
      </c>
      <c r="J44" s="332" t="s">
        <v>1946</v>
      </c>
      <c r="K44" s="332" t="s">
        <v>1947</v>
      </c>
      <c r="L44" s="332" t="s">
        <v>189</v>
      </c>
      <c r="M44" s="372">
        <v>1</v>
      </c>
      <c r="N44" s="372">
        <v>0</v>
      </c>
      <c r="O44" s="372">
        <v>1</v>
      </c>
      <c r="P44" s="372">
        <v>2</v>
      </c>
      <c r="Q44" s="372">
        <v>2</v>
      </c>
      <c r="R44" s="374">
        <f t="shared" si="0"/>
        <v>70000</v>
      </c>
      <c r="S44" s="375">
        <v>15000</v>
      </c>
      <c r="T44" s="375">
        <v>15000</v>
      </c>
      <c r="U44" s="375">
        <v>20000</v>
      </c>
      <c r="V44" s="375">
        <v>20000</v>
      </c>
      <c r="W44" s="787"/>
    </row>
    <row r="45" spans="1:23" ht="25.5">
      <c r="A45" s="592"/>
      <c r="B45" s="786"/>
      <c r="C45" s="332" t="s">
        <v>1961</v>
      </c>
      <c r="D45" s="332" t="s">
        <v>1950</v>
      </c>
      <c r="E45" s="372">
        <v>102</v>
      </c>
      <c r="F45" s="372">
        <v>0.05</v>
      </c>
      <c r="G45" s="372">
        <v>0.1</v>
      </c>
      <c r="H45" s="372">
        <v>0.15</v>
      </c>
      <c r="I45" s="372" t="s">
        <v>931</v>
      </c>
      <c r="J45" s="332" t="s">
        <v>1959</v>
      </c>
      <c r="K45" s="332" t="s">
        <v>1960</v>
      </c>
      <c r="L45" s="332" t="s">
        <v>189</v>
      </c>
      <c r="M45" s="372">
        <v>102</v>
      </c>
      <c r="N45" s="372">
        <v>40</v>
      </c>
      <c r="O45" s="372">
        <v>120</v>
      </c>
      <c r="P45" s="372">
        <v>200</v>
      </c>
      <c r="Q45" s="372">
        <v>280</v>
      </c>
      <c r="R45" s="374">
        <f t="shared" si="0"/>
        <v>165000</v>
      </c>
      <c r="S45" s="372">
        <v>15000</v>
      </c>
      <c r="T45" s="372">
        <v>50000</v>
      </c>
      <c r="U45" s="372">
        <v>50000</v>
      </c>
      <c r="V45" s="372">
        <v>50000</v>
      </c>
      <c r="W45" s="333" t="s">
        <v>1887</v>
      </c>
    </row>
    <row r="46" spans="1:23" ht="25.5">
      <c r="A46" s="592"/>
      <c r="B46" s="786"/>
      <c r="C46" s="332" t="s">
        <v>932</v>
      </c>
      <c r="D46" s="332" t="s">
        <v>1952</v>
      </c>
      <c r="E46" s="372" t="s">
        <v>2978</v>
      </c>
      <c r="F46" s="372">
        <v>1</v>
      </c>
      <c r="G46" s="372">
        <v>2</v>
      </c>
      <c r="H46" s="372">
        <v>4</v>
      </c>
      <c r="I46" s="372">
        <v>5</v>
      </c>
      <c r="J46" s="332" t="s">
        <v>963</v>
      </c>
      <c r="K46" s="372" t="s">
        <v>1967</v>
      </c>
      <c r="L46" s="372" t="s">
        <v>189</v>
      </c>
      <c r="M46" s="372">
        <v>0</v>
      </c>
      <c r="N46" s="372">
        <v>1</v>
      </c>
      <c r="O46" s="372">
        <v>2</v>
      </c>
      <c r="P46" s="372">
        <v>4</v>
      </c>
      <c r="Q46" s="372">
        <v>5</v>
      </c>
      <c r="R46" s="374">
        <f t="shared" si="0"/>
        <v>0</v>
      </c>
      <c r="S46" s="374">
        <v>0</v>
      </c>
      <c r="T46" s="374">
        <v>0</v>
      </c>
      <c r="U46" s="374">
        <v>0</v>
      </c>
      <c r="V46" s="374">
        <v>0</v>
      </c>
      <c r="W46" s="332" t="s">
        <v>435</v>
      </c>
    </row>
    <row r="47" spans="1:23" ht="63.75">
      <c r="A47" s="592"/>
      <c r="B47" s="786"/>
      <c r="C47" s="332" t="s">
        <v>1953</v>
      </c>
      <c r="D47" s="332" t="s">
        <v>933</v>
      </c>
      <c r="E47" s="332" t="s">
        <v>1963</v>
      </c>
      <c r="F47" s="332">
        <v>2</v>
      </c>
      <c r="G47" s="332">
        <v>4</v>
      </c>
      <c r="H47" s="332">
        <v>6</v>
      </c>
      <c r="I47" s="332" t="s">
        <v>1964</v>
      </c>
      <c r="J47" s="332" t="s">
        <v>1965</v>
      </c>
      <c r="K47" s="372" t="s">
        <v>1966</v>
      </c>
      <c r="L47" s="372" t="s">
        <v>189</v>
      </c>
      <c r="M47" s="372">
        <v>0</v>
      </c>
      <c r="N47" s="372">
        <v>0</v>
      </c>
      <c r="O47" s="372">
        <v>10</v>
      </c>
      <c r="P47" s="372">
        <v>20</v>
      </c>
      <c r="Q47" s="372">
        <v>30</v>
      </c>
      <c r="R47" s="374">
        <f t="shared" si="0"/>
        <v>0</v>
      </c>
      <c r="S47" s="374">
        <v>0</v>
      </c>
      <c r="T47" s="374">
        <v>0</v>
      </c>
      <c r="U47" s="374">
        <v>0</v>
      </c>
      <c r="V47" s="374">
        <v>0</v>
      </c>
      <c r="W47" s="333" t="s">
        <v>1977</v>
      </c>
    </row>
    <row r="48" spans="1:23" ht="38.25">
      <c r="A48" s="592"/>
      <c r="B48" s="786"/>
      <c r="C48" s="332" t="s">
        <v>934</v>
      </c>
      <c r="D48" s="332" t="s">
        <v>2561</v>
      </c>
      <c r="E48" s="372">
        <v>0</v>
      </c>
      <c r="F48" s="372">
        <v>1</v>
      </c>
      <c r="G48" s="372">
        <v>2</v>
      </c>
      <c r="H48" s="372">
        <v>3</v>
      </c>
      <c r="I48" s="372">
        <v>4</v>
      </c>
      <c r="J48" s="332" t="s">
        <v>935</v>
      </c>
      <c r="K48" s="372" t="s">
        <v>2561</v>
      </c>
      <c r="L48" s="372" t="s">
        <v>189</v>
      </c>
      <c r="M48" s="372">
        <v>0</v>
      </c>
      <c r="N48" s="372">
        <v>1</v>
      </c>
      <c r="O48" s="372">
        <v>2</v>
      </c>
      <c r="P48" s="372">
        <v>3</v>
      </c>
      <c r="Q48" s="372">
        <v>4</v>
      </c>
      <c r="R48" s="374">
        <f t="shared" si="0"/>
        <v>200000</v>
      </c>
      <c r="S48" s="374">
        <v>50000</v>
      </c>
      <c r="T48" s="374">
        <v>50000</v>
      </c>
      <c r="U48" s="374">
        <f>+T48</f>
        <v>50000</v>
      </c>
      <c r="V48" s="374">
        <f>+U48</f>
        <v>50000</v>
      </c>
      <c r="W48" s="787" t="s">
        <v>436</v>
      </c>
    </row>
    <row r="49" spans="1:23" ht="51">
      <c r="A49" s="592"/>
      <c r="B49" s="786"/>
      <c r="C49" s="332" t="s">
        <v>936</v>
      </c>
      <c r="D49" s="332" t="s">
        <v>1958</v>
      </c>
      <c r="E49" s="333">
        <v>0</v>
      </c>
      <c r="F49" s="333">
        <v>0</v>
      </c>
      <c r="G49" s="333">
        <v>7</v>
      </c>
      <c r="H49" s="333">
        <v>15</v>
      </c>
      <c r="I49" s="333">
        <v>26</v>
      </c>
      <c r="J49" s="332" t="s">
        <v>437</v>
      </c>
      <c r="K49" s="332" t="s">
        <v>1958</v>
      </c>
      <c r="L49" s="332" t="s">
        <v>189</v>
      </c>
      <c r="M49" s="333">
        <v>0</v>
      </c>
      <c r="N49" s="333">
        <v>0</v>
      </c>
      <c r="O49" s="333">
        <v>7</v>
      </c>
      <c r="P49" s="333">
        <v>15</v>
      </c>
      <c r="Q49" s="333">
        <v>26</v>
      </c>
      <c r="R49" s="374">
        <f t="shared" si="0"/>
        <v>200000</v>
      </c>
      <c r="S49" s="374">
        <v>50000</v>
      </c>
      <c r="T49" s="374">
        <v>50000</v>
      </c>
      <c r="U49" s="374">
        <f>+T49</f>
        <v>50000</v>
      </c>
      <c r="V49" s="374">
        <f>+U49</f>
        <v>50000</v>
      </c>
      <c r="W49" s="787"/>
    </row>
    <row r="50" spans="1:23" ht="38.25">
      <c r="A50" s="592" t="s">
        <v>438</v>
      </c>
      <c r="B50" s="786">
        <v>3</v>
      </c>
      <c r="C50" s="787" t="s">
        <v>1969</v>
      </c>
      <c r="D50" s="787" t="s">
        <v>1970</v>
      </c>
      <c r="E50" s="791">
        <v>0</v>
      </c>
      <c r="F50" s="791">
        <v>0</v>
      </c>
      <c r="G50" s="791">
        <v>1</v>
      </c>
      <c r="H50" s="791">
        <v>1</v>
      </c>
      <c r="I50" s="791">
        <v>1</v>
      </c>
      <c r="J50" s="335" t="s">
        <v>1971</v>
      </c>
      <c r="K50" s="335" t="s">
        <v>1972</v>
      </c>
      <c r="L50" s="335" t="s">
        <v>189</v>
      </c>
      <c r="M50" s="372">
        <v>0</v>
      </c>
      <c r="N50" s="372">
        <v>0</v>
      </c>
      <c r="O50" s="372">
        <v>1</v>
      </c>
      <c r="P50" s="372">
        <v>1</v>
      </c>
      <c r="Q50" s="372">
        <v>1</v>
      </c>
      <c r="R50" s="374">
        <f t="shared" si="0"/>
        <v>30000</v>
      </c>
      <c r="S50" s="337">
        <v>0</v>
      </c>
      <c r="T50" s="337">
        <v>15000</v>
      </c>
      <c r="U50" s="337">
        <v>15000</v>
      </c>
      <c r="V50" s="337">
        <v>0</v>
      </c>
      <c r="W50" s="802" t="s">
        <v>430</v>
      </c>
    </row>
    <row r="51" spans="1:23" ht="38.25">
      <c r="A51" s="592"/>
      <c r="B51" s="786"/>
      <c r="C51" s="787"/>
      <c r="D51" s="787"/>
      <c r="E51" s="791"/>
      <c r="F51" s="791"/>
      <c r="G51" s="791"/>
      <c r="H51" s="791"/>
      <c r="I51" s="791"/>
      <c r="J51" s="335" t="s">
        <v>1973</v>
      </c>
      <c r="K51" s="335" t="s">
        <v>1974</v>
      </c>
      <c r="L51" s="335" t="s">
        <v>189</v>
      </c>
      <c r="M51" s="372">
        <v>0</v>
      </c>
      <c r="N51" s="372">
        <v>1</v>
      </c>
      <c r="O51" s="372">
        <v>2</v>
      </c>
      <c r="P51" s="372">
        <v>3</v>
      </c>
      <c r="Q51" s="372">
        <v>4</v>
      </c>
      <c r="R51" s="374">
        <f t="shared" si="0"/>
        <v>345000</v>
      </c>
      <c r="S51" s="337">
        <v>180000</v>
      </c>
      <c r="T51" s="337">
        <v>80000</v>
      </c>
      <c r="U51" s="337">
        <v>35000</v>
      </c>
      <c r="V51" s="337">
        <v>50000</v>
      </c>
      <c r="W51" s="802"/>
    </row>
    <row r="52" spans="1:23" ht="51">
      <c r="A52" s="592"/>
      <c r="B52" s="786"/>
      <c r="C52" s="787"/>
      <c r="D52" s="787"/>
      <c r="E52" s="791"/>
      <c r="F52" s="791"/>
      <c r="G52" s="791"/>
      <c r="H52" s="791"/>
      <c r="I52" s="791"/>
      <c r="J52" s="332" t="s">
        <v>1975</v>
      </c>
      <c r="K52" s="332" t="s">
        <v>1976</v>
      </c>
      <c r="L52" s="332" t="s">
        <v>189</v>
      </c>
      <c r="M52" s="372">
        <v>0</v>
      </c>
      <c r="N52" s="372">
        <v>25</v>
      </c>
      <c r="O52" s="372">
        <v>50</v>
      </c>
      <c r="P52" s="372">
        <v>100</v>
      </c>
      <c r="Q52" s="372">
        <v>200</v>
      </c>
      <c r="R52" s="374">
        <f t="shared" si="0"/>
        <v>252000</v>
      </c>
      <c r="S52" s="337">
        <v>97000</v>
      </c>
      <c r="T52" s="337">
        <v>55000</v>
      </c>
      <c r="U52" s="337">
        <v>50000</v>
      </c>
      <c r="V52" s="337">
        <v>50000</v>
      </c>
      <c r="W52" s="802"/>
    </row>
    <row r="53" spans="1:23" ht="25.5">
      <c r="A53" s="592"/>
      <c r="B53" s="786"/>
      <c r="C53" s="332" t="s">
        <v>1978</v>
      </c>
      <c r="D53" s="332" t="s">
        <v>1979</v>
      </c>
      <c r="E53" s="372">
        <v>0</v>
      </c>
      <c r="F53" s="372">
        <v>1</v>
      </c>
      <c r="G53" s="372">
        <v>2</v>
      </c>
      <c r="H53" s="372">
        <v>3</v>
      </c>
      <c r="I53" s="372">
        <v>4</v>
      </c>
      <c r="J53" s="332" t="s">
        <v>937</v>
      </c>
      <c r="K53" s="332" t="s">
        <v>1979</v>
      </c>
      <c r="L53" s="332" t="s">
        <v>189</v>
      </c>
      <c r="M53" s="372">
        <v>0</v>
      </c>
      <c r="N53" s="372">
        <v>0</v>
      </c>
      <c r="O53" s="372">
        <v>1</v>
      </c>
      <c r="P53" s="372">
        <v>2</v>
      </c>
      <c r="Q53" s="372">
        <v>4</v>
      </c>
      <c r="R53" s="374">
        <f t="shared" si="0"/>
        <v>550000</v>
      </c>
      <c r="S53" s="337"/>
      <c r="T53" s="337">
        <v>150000</v>
      </c>
      <c r="U53" s="337">
        <v>200000</v>
      </c>
      <c r="V53" s="337">
        <v>200000</v>
      </c>
      <c r="W53" s="802"/>
    </row>
    <row r="54" spans="1:23" ht="38.25">
      <c r="A54" s="99" t="s">
        <v>439</v>
      </c>
      <c r="B54" s="378">
        <v>2</v>
      </c>
      <c r="C54" s="332" t="s">
        <v>1981</v>
      </c>
      <c r="D54" s="332" t="s">
        <v>1982</v>
      </c>
      <c r="E54" s="332">
        <v>0</v>
      </c>
      <c r="F54" s="332">
        <v>1</v>
      </c>
      <c r="G54" s="332">
        <v>2</v>
      </c>
      <c r="H54" s="332">
        <v>3</v>
      </c>
      <c r="I54" s="332">
        <v>4</v>
      </c>
      <c r="J54" s="332" t="s">
        <v>938</v>
      </c>
      <c r="K54" s="332" t="s">
        <v>939</v>
      </c>
      <c r="L54" s="332" t="s">
        <v>189</v>
      </c>
      <c r="M54" s="372">
        <v>0</v>
      </c>
      <c r="N54" s="372">
        <v>1</v>
      </c>
      <c r="O54" s="372">
        <v>2</v>
      </c>
      <c r="P54" s="372">
        <v>3</v>
      </c>
      <c r="Q54" s="372">
        <v>4</v>
      </c>
      <c r="R54" s="374">
        <f t="shared" si="0"/>
        <v>800000</v>
      </c>
      <c r="S54" s="337">
        <v>200000</v>
      </c>
      <c r="T54" s="337">
        <f aca="true" t="shared" si="1" ref="T54:V60">+S54</f>
        <v>200000</v>
      </c>
      <c r="U54" s="337">
        <f t="shared" si="1"/>
        <v>200000</v>
      </c>
      <c r="V54" s="337">
        <f t="shared" si="1"/>
        <v>200000</v>
      </c>
      <c r="W54" s="333" t="s">
        <v>347</v>
      </c>
    </row>
    <row r="55" spans="1:23" ht="25.5">
      <c r="A55" s="99" t="s">
        <v>440</v>
      </c>
      <c r="B55" s="378">
        <v>2</v>
      </c>
      <c r="C55" s="332" t="s">
        <v>1984</v>
      </c>
      <c r="D55" s="332" t="s">
        <v>1985</v>
      </c>
      <c r="E55" s="335">
        <v>0</v>
      </c>
      <c r="F55" s="335">
        <v>0</v>
      </c>
      <c r="G55" s="335">
        <v>50</v>
      </c>
      <c r="H55" s="335">
        <v>75</v>
      </c>
      <c r="I55" s="332">
        <v>100</v>
      </c>
      <c r="J55" s="332" t="s">
        <v>1984</v>
      </c>
      <c r="K55" s="332" t="s">
        <v>1985</v>
      </c>
      <c r="L55" s="332" t="s">
        <v>189</v>
      </c>
      <c r="M55" s="333">
        <v>0</v>
      </c>
      <c r="N55" s="333">
        <v>0</v>
      </c>
      <c r="O55" s="333">
        <v>50</v>
      </c>
      <c r="P55" s="333">
        <v>75</v>
      </c>
      <c r="Q55" s="333">
        <v>100</v>
      </c>
      <c r="R55" s="374">
        <f t="shared" si="0"/>
        <v>800000</v>
      </c>
      <c r="S55" s="337">
        <v>200000</v>
      </c>
      <c r="T55" s="337">
        <f t="shared" si="1"/>
        <v>200000</v>
      </c>
      <c r="U55" s="337">
        <f t="shared" si="1"/>
        <v>200000</v>
      </c>
      <c r="V55" s="337">
        <f t="shared" si="1"/>
        <v>200000</v>
      </c>
      <c r="W55" s="333" t="s">
        <v>346</v>
      </c>
    </row>
    <row r="56" spans="1:23" ht="25.5">
      <c r="A56" s="99" t="s">
        <v>441</v>
      </c>
      <c r="B56" s="378">
        <v>2</v>
      </c>
      <c r="C56" s="332" t="s">
        <v>1987</v>
      </c>
      <c r="D56" s="332" t="s">
        <v>1988</v>
      </c>
      <c r="E56" s="335">
        <v>0</v>
      </c>
      <c r="F56" s="335">
        <v>5</v>
      </c>
      <c r="G56" s="335">
        <v>4</v>
      </c>
      <c r="H56" s="335">
        <v>4</v>
      </c>
      <c r="I56" s="332">
        <v>13</v>
      </c>
      <c r="J56" s="332" t="s">
        <v>1987</v>
      </c>
      <c r="K56" s="332" t="s">
        <v>1988</v>
      </c>
      <c r="L56" s="332" t="s">
        <v>189</v>
      </c>
      <c r="M56" s="333">
        <v>0</v>
      </c>
      <c r="N56" s="333">
        <v>0</v>
      </c>
      <c r="O56" s="333">
        <v>5</v>
      </c>
      <c r="P56" s="333">
        <v>4</v>
      </c>
      <c r="Q56" s="333">
        <v>4</v>
      </c>
      <c r="R56" s="374">
        <f t="shared" si="0"/>
        <v>800000</v>
      </c>
      <c r="S56" s="337">
        <v>200000</v>
      </c>
      <c r="T56" s="337">
        <f t="shared" si="1"/>
        <v>200000</v>
      </c>
      <c r="U56" s="337">
        <f t="shared" si="1"/>
        <v>200000</v>
      </c>
      <c r="V56" s="337">
        <f t="shared" si="1"/>
        <v>200000</v>
      </c>
      <c r="W56" s="333" t="s">
        <v>346</v>
      </c>
    </row>
    <row r="57" spans="1:23" ht="38.25">
      <c r="A57" s="99" t="s">
        <v>442</v>
      </c>
      <c r="B57" s="378">
        <v>2</v>
      </c>
      <c r="C57" s="332" t="s">
        <v>1990</v>
      </c>
      <c r="D57" s="332" t="s">
        <v>1991</v>
      </c>
      <c r="E57" s="335">
        <v>0</v>
      </c>
      <c r="F57" s="335">
        <v>5</v>
      </c>
      <c r="G57" s="335">
        <v>10</v>
      </c>
      <c r="H57" s="335">
        <v>15</v>
      </c>
      <c r="I57" s="332">
        <v>19</v>
      </c>
      <c r="J57" s="332" t="s">
        <v>940</v>
      </c>
      <c r="K57" s="332" t="s">
        <v>941</v>
      </c>
      <c r="L57" s="332" t="s">
        <v>189</v>
      </c>
      <c r="M57" s="372">
        <v>0</v>
      </c>
      <c r="N57" s="372">
        <v>5</v>
      </c>
      <c r="O57" s="372">
        <v>10</v>
      </c>
      <c r="P57" s="372">
        <v>15</v>
      </c>
      <c r="Q57" s="372">
        <v>19</v>
      </c>
      <c r="R57" s="374">
        <f t="shared" si="0"/>
        <v>800000</v>
      </c>
      <c r="S57" s="337">
        <v>200000</v>
      </c>
      <c r="T57" s="337">
        <f t="shared" si="1"/>
        <v>200000</v>
      </c>
      <c r="U57" s="337">
        <f t="shared" si="1"/>
        <v>200000</v>
      </c>
      <c r="V57" s="337">
        <f t="shared" si="1"/>
        <v>200000</v>
      </c>
      <c r="W57" s="333" t="s">
        <v>347</v>
      </c>
    </row>
    <row r="58" spans="1:23" ht="25.5">
      <c r="A58" s="592" t="s">
        <v>447</v>
      </c>
      <c r="B58" s="801">
        <v>2</v>
      </c>
      <c r="C58" s="787" t="s">
        <v>1993</v>
      </c>
      <c r="D58" s="787" t="s">
        <v>1994</v>
      </c>
      <c r="E58" s="335"/>
      <c r="F58" s="335">
        <v>1000</v>
      </c>
      <c r="G58" s="335">
        <v>3000</v>
      </c>
      <c r="H58" s="335">
        <v>5000</v>
      </c>
      <c r="I58" s="332">
        <v>7000</v>
      </c>
      <c r="J58" s="332" t="s">
        <v>443</v>
      </c>
      <c r="K58" s="332" t="s">
        <v>446</v>
      </c>
      <c r="L58" s="332" t="s">
        <v>189</v>
      </c>
      <c r="M58" s="372"/>
      <c r="N58" s="372">
        <v>1000</v>
      </c>
      <c r="O58" s="372">
        <v>3000</v>
      </c>
      <c r="P58" s="372">
        <v>5000</v>
      </c>
      <c r="Q58" s="372">
        <v>7000</v>
      </c>
      <c r="R58" s="374">
        <f t="shared" si="0"/>
        <v>400000</v>
      </c>
      <c r="S58" s="337">
        <v>100000</v>
      </c>
      <c r="T58" s="337">
        <f t="shared" si="1"/>
        <v>100000</v>
      </c>
      <c r="U58" s="337">
        <f t="shared" si="1"/>
        <v>100000</v>
      </c>
      <c r="V58" s="337">
        <f t="shared" si="1"/>
        <v>100000</v>
      </c>
      <c r="W58" s="787" t="s">
        <v>436</v>
      </c>
    </row>
    <row r="59" spans="1:23" ht="38.25">
      <c r="A59" s="592"/>
      <c r="B59" s="801"/>
      <c r="C59" s="787"/>
      <c r="D59" s="787"/>
      <c r="E59" s="335">
        <v>0</v>
      </c>
      <c r="F59" s="335">
        <v>100</v>
      </c>
      <c r="G59" s="335">
        <v>200</v>
      </c>
      <c r="H59" s="335">
        <v>300</v>
      </c>
      <c r="I59" s="332">
        <v>500</v>
      </c>
      <c r="J59" s="332" t="s">
        <v>444</v>
      </c>
      <c r="K59" s="332" t="s">
        <v>445</v>
      </c>
      <c r="L59" s="332" t="s">
        <v>189</v>
      </c>
      <c r="M59" s="333"/>
      <c r="N59" s="333"/>
      <c r="O59" s="333"/>
      <c r="P59" s="333"/>
      <c r="Q59" s="333"/>
      <c r="R59" s="374">
        <f t="shared" si="0"/>
        <v>400000</v>
      </c>
      <c r="S59" s="337">
        <v>100000</v>
      </c>
      <c r="T59" s="337">
        <f t="shared" si="1"/>
        <v>100000</v>
      </c>
      <c r="U59" s="337">
        <f t="shared" si="1"/>
        <v>100000</v>
      </c>
      <c r="V59" s="337">
        <f t="shared" si="1"/>
        <v>100000</v>
      </c>
      <c r="W59" s="787"/>
    </row>
    <row r="60" spans="1:23" ht="25.5">
      <c r="A60" s="99" t="s">
        <v>448</v>
      </c>
      <c r="B60" s="378">
        <v>2</v>
      </c>
      <c r="C60" s="332" t="s">
        <v>1996</v>
      </c>
      <c r="D60" s="332" t="s">
        <v>1997</v>
      </c>
      <c r="E60" s="335">
        <v>0</v>
      </c>
      <c r="F60" s="335">
        <v>53</v>
      </c>
      <c r="G60" s="335">
        <v>55</v>
      </c>
      <c r="H60" s="335">
        <v>58</v>
      </c>
      <c r="I60" s="332">
        <v>59</v>
      </c>
      <c r="J60" s="332" t="s">
        <v>942</v>
      </c>
      <c r="K60" s="332" t="s">
        <v>943</v>
      </c>
      <c r="L60" s="332" t="s">
        <v>189</v>
      </c>
      <c r="M60" s="372">
        <v>0</v>
      </c>
      <c r="N60" s="372">
        <v>0</v>
      </c>
      <c r="O60" s="372">
        <v>12</v>
      </c>
      <c r="P60" s="372">
        <v>40</v>
      </c>
      <c r="Q60" s="372">
        <v>61</v>
      </c>
      <c r="R60" s="374">
        <f t="shared" si="0"/>
        <v>800000</v>
      </c>
      <c r="S60" s="337">
        <v>200000</v>
      </c>
      <c r="T60" s="337">
        <f t="shared" si="1"/>
        <v>200000</v>
      </c>
      <c r="U60" s="337">
        <f t="shared" si="1"/>
        <v>200000</v>
      </c>
      <c r="V60" s="337">
        <f t="shared" si="1"/>
        <v>200000</v>
      </c>
      <c r="W60" s="333" t="s">
        <v>347</v>
      </c>
    </row>
    <row r="61" spans="1:23" ht="25.5">
      <c r="A61" s="99" t="s">
        <v>449</v>
      </c>
      <c r="B61" s="378">
        <v>1</v>
      </c>
      <c r="C61" s="332" t="s">
        <v>1999</v>
      </c>
      <c r="D61" s="332" t="s">
        <v>2000</v>
      </c>
      <c r="E61" s="335">
        <v>0</v>
      </c>
      <c r="F61" s="335">
        <v>1000</v>
      </c>
      <c r="G61" s="335">
        <v>1200</v>
      </c>
      <c r="H61" s="335">
        <v>1400</v>
      </c>
      <c r="I61" s="332">
        <v>1500</v>
      </c>
      <c r="J61" s="332" t="s">
        <v>1999</v>
      </c>
      <c r="K61" s="332" t="s">
        <v>2000</v>
      </c>
      <c r="L61" s="332" t="s">
        <v>189</v>
      </c>
      <c r="M61" s="333">
        <v>0</v>
      </c>
      <c r="N61" s="333">
        <v>0</v>
      </c>
      <c r="O61" s="333">
        <v>500</v>
      </c>
      <c r="P61" s="333">
        <v>1000</v>
      </c>
      <c r="Q61" s="333">
        <v>1500</v>
      </c>
      <c r="R61" s="374">
        <f t="shared" si="0"/>
        <v>100000</v>
      </c>
      <c r="S61" s="337">
        <v>25000</v>
      </c>
      <c r="T61" s="337">
        <v>25000</v>
      </c>
      <c r="U61" s="337">
        <v>25000</v>
      </c>
      <c r="V61" s="337">
        <v>25000</v>
      </c>
      <c r="W61" s="333" t="s">
        <v>1977</v>
      </c>
    </row>
    <row r="62" spans="1:23" ht="38.25">
      <c r="A62" s="592" t="s">
        <v>2003</v>
      </c>
      <c r="B62" s="786">
        <v>9</v>
      </c>
      <c r="C62" s="332" t="s">
        <v>450</v>
      </c>
      <c r="D62" s="332" t="s">
        <v>944</v>
      </c>
      <c r="E62" s="336">
        <v>0</v>
      </c>
      <c r="F62" s="336">
        <v>0</v>
      </c>
      <c r="G62" s="336">
        <v>1</v>
      </c>
      <c r="H62" s="336">
        <v>1</v>
      </c>
      <c r="I62" s="336">
        <v>1</v>
      </c>
      <c r="J62" s="332" t="s">
        <v>2004</v>
      </c>
      <c r="K62" s="332" t="s">
        <v>2005</v>
      </c>
      <c r="L62" s="332" t="s">
        <v>189</v>
      </c>
      <c r="M62" s="336">
        <v>0</v>
      </c>
      <c r="N62" s="336">
        <v>1</v>
      </c>
      <c r="O62" s="336">
        <v>1</v>
      </c>
      <c r="P62" s="336">
        <v>1</v>
      </c>
      <c r="Q62" s="336">
        <v>1</v>
      </c>
      <c r="R62" s="374">
        <f t="shared" si="0"/>
        <v>0</v>
      </c>
      <c r="S62" s="375">
        <v>0</v>
      </c>
      <c r="T62" s="375">
        <v>0</v>
      </c>
      <c r="U62" s="375">
        <v>0</v>
      </c>
      <c r="V62" s="375">
        <v>0</v>
      </c>
      <c r="W62" s="332" t="s">
        <v>451</v>
      </c>
    </row>
    <row r="63" spans="1:23" ht="38.25">
      <c r="A63" s="592"/>
      <c r="B63" s="786"/>
      <c r="C63" s="787" t="s">
        <v>2006</v>
      </c>
      <c r="D63" s="787" t="s">
        <v>945</v>
      </c>
      <c r="E63" s="336">
        <v>0</v>
      </c>
      <c r="F63" s="336">
        <v>0</v>
      </c>
      <c r="G63" s="336">
        <v>1</v>
      </c>
      <c r="H63" s="336">
        <v>1</v>
      </c>
      <c r="I63" s="336">
        <v>1</v>
      </c>
      <c r="J63" s="332" t="s">
        <v>3126</v>
      </c>
      <c r="K63" s="332" t="s">
        <v>3127</v>
      </c>
      <c r="L63" s="332" t="s">
        <v>189</v>
      </c>
      <c r="M63" s="336">
        <v>0</v>
      </c>
      <c r="N63" s="336">
        <v>1</v>
      </c>
      <c r="O63" s="336">
        <v>1</v>
      </c>
      <c r="P63" s="336">
        <v>1</v>
      </c>
      <c r="Q63" s="336">
        <v>1</v>
      </c>
      <c r="R63" s="374">
        <f t="shared" si="0"/>
        <v>161000</v>
      </c>
      <c r="S63" s="375">
        <f>200000-39000</f>
        <v>161000</v>
      </c>
      <c r="T63" s="375">
        <v>0</v>
      </c>
      <c r="U63" s="375">
        <v>0</v>
      </c>
      <c r="V63" s="375">
        <v>0</v>
      </c>
      <c r="W63" s="795" t="s">
        <v>1887</v>
      </c>
    </row>
    <row r="64" spans="1:23" ht="38.25">
      <c r="A64" s="592"/>
      <c r="B64" s="786"/>
      <c r="C64" s="787"/>
      <c r="D64" s="787"/>
      <c r="E64" s="336">
        <v>0</v>
      </c>
      <c r="F64" s="336">
        <v>0</v>
      </c>
      <c r="G64" s="336">
        <v>1</v>
      </c>
      <c r="H64" s="336">
        <v>1</v>
      </c>
      <c r="I64" s="336">
        <v>1</v>
      </c>
      <c r="J64" s="332" t="s">
        <v>2035</v>
      </c>
      <c r="K64" s="332" t="s">
        <v>2036</v>
      </c>
      <c r="L64" s="332" t="s">
        <v>189</v>
      </c>
      <c r="M64" s="336">
        <v>0</v>
      </c>
      <c r="N64" s="336">
        <v>0</v>
      </c>
      <c r="O64" s="336">
        <v>1</v>
      </c>
      <c r="P64" s="336">
        <v>1</v>
      </c>
      <c r="Q64" s="336">
        <v>1</v>
      </c>
      <c r="R64" s="374">
        <f t="shared" si="0"/>
        <v>100000</v>
      </c>
      <c r="S64" s="375">
        <v>0</v>
      </c>
      <c r="T64" s="375">
        <v>100000</v>
      </c>
      <c r="U64" s="375">
        <v>0</v>
      </c>
      <c r="V64" s="375">
        <v>0</v>
      </c>
      <c r="W64" s="795"/>
    </row>
    <row r="65" spans="1:23" ht="51">
      <c r="A65" s="592"/>
      <c r="B65" s="786"/>
      <c r="C65" s="787"/>
      <c r="D65" s="787"/>
      <c r="E65" s="336">
        <v>0</v>
      </c>
      <c r="F65" s="336">
        <v>0</v>
      </c>
      <c r="G65" s="336">
        <v>1</v>
      </c>
      <c r="H65" s="336">
        <v>1</v>
      </c>
      <c r="I65" s="336">
        <v>1</v>
      </c>
      <c r="J65" s="332" t="s">
        <v>2037</v>
      </c>
      <c r="K65" s="332" t="s">
        <v>2038</v>
      </c>
      <c r="L65" s="332" t="s">
        <v>189</v>
      </c>
      <c r="M65" s="336">
        <v>0</v>
      </c>
      <c r="N65" s="336">
        <v>0</v>
      </c>
      <c r="O65" s="336">
        <v>1</v>
      </c>
      <c r="P65" s="336">
        <v>1</v>
      </c>
      <c r="Q65" s="336">
        <v>1</v>
      </c>
      <c r="R65" s="374">
        <f t="shared" si="0"/>
        <v>100000</v>
      </c>
      <c r="S65" s="375">
        <v>0</v>
      </c>
      <c r="T65" s="375">
        <v>100000</v>
      </c>
      <c r="U65" s="375">
        <v>0</v>
      </c>
      <c r="V65" s="375">
        <v>0</v>
      </c>
      <c r="W65" s="795"/>
    </row>
    <row r="66" spans="1:23" ht="38.25">
      <c r="A66" s="592"/>
      <c r="B66" s="786"/>
      <c r="C66" s="787"/>
      <c r="D66" s="787"/>
      <c r="E66" s="336">
        <v>0</v>
      </c>
      <c r="F66" s="336">
        <v>0</v>
      </c>
      <c r="G66" s="336">
        <v>1</v>
      </c>
      <c r="H66" s="336">
        <v>1</v>
      </c>
      <c r="I66" s="336">
        <v>1</v>
      </c>
      <c r="J66" s="332" t="s">
        <v>2039</v>
      </c>
      <c r="K66" s="332" t="s">
        <v>2040</v>
      </c>
      <c r="L66" s="332" t="s">
        <v>189</v>
      </c>
      <c r="M66" s="336">
        <v>0</v>
      </c>
      <c r="N66" s="336">
        <v>0</v>
      </c>
      <c r="O66" s="336">
        <v>0</v>
      </c>
      <c r="P66" s="336">
        <v>1</v>
      </c>
      <c r="Q66" s="336">
        <v>1</v>
      </c>
      <c r="R66" s="374">
        <f>SUM(S66:V66)</f>
        <v>100000</v>
      </c>
      <c r="S66" s="375">
        <v>0</v>
      </c>
      <c r="T66" s="375">
        <v>0</v>
      </c>
      <c r="U66" s="375">
        <v>100000</v>
      </c>
      <c r="V66" s="375">
        <v>0</v>
      </c>
      <c r="W66" s="795"/>
    </row>
    <row r="67" spans="1:23" ht="25.5">
      <c r="A67" s="592"/>
      <c r="B67" s="786"/>
      <c r="C67" s="332" t="s">
        <v>2008</v>
      </c>
      <c r="D67" s="332" t="s">
        <v>2009</v>
      </c>
      <c r="E67" s="336">
        <v>0</v>
      </c>
      <c r="F67" s="336">
        <v>2</v>
      </c>
      <c r="G67" s="336">
        <v>4</v>
      </c>
      <c r="H67" s="336">
        <v>6</v>
      </c>
      <c r="I67" s="336">
        <v>8</v>
      </c>
      <c r="J67" s="332" t="s">
        <v>2041</v>
      </c>
      <c r="K67" s="332" t="s">
        <v>2042</v>
      </c>
      <c r="L67" s="332" t="s">
        <v>189</v>
      </c>
      <c r="M67" s="336">
        <v>0</v>
      </c>
      <c r="N67" s="336">
        <v>2</v>
      </c>
      <c r="O67" s="336">
        <v>4</v>
      </c>
      <c r="P67" s="336">
        <v>6</v>
      </c>
      <c r="Q67" s="336">
        <v>8</v>
      </c>
      <c r="R67" s="374">
        <f t="shared" si="0"/>
        <v>0</v>
      </c>
      <c r="S67" s="375">
        <v>0</v>
      </c>
      <c r="T67" s="375">
        <v>0</v>
      </c>
      <c r="U67" s="375">
        <v>0</v>
      </c>
      <c r="V67" s="375">
        <v>0</v>
      </c>
      <c r="W67" s="337" t="s">
        <v>1887</v>
      </c>
    </row>
    <row r="68" spans="1:23" ht="25.5">
      <c r="A68" s="592"/>
      <c r="B68" s="786"/>
      <c r="C68" s="787" t="s">
        <v>2010</v>
      </c>
      <c r="D68" s="332" t="s">
        <v>2011</v>
      </c>
      <c r="E68" s="792">
        <v>0</v>
      </c>
      <c r="F68" s="792">
        <v>0</v>
      </c>
      <c r="G68" s="792">
        <v>1</v>
      </c>
      <c r="H68" s="792">
        <v>1</v>
      </c>
      <c r="I68" s="792">
        <v>1</v>
      </c>
      <c r="J68" s="787" t="s">
        <v>2010</v>
      </c>
      <c r="K68" s="332" t="s">
        <v>2011</v>
      </c>
      <c r="L68" s="332" t="s">
        <v>189</v>
      </c>
      <c r="M68" s="333">
        <v>0</v>
      </c>
      <c r="N68" s="333">
        <v>1</v>
      </c>
      <c r="O68" s="333">
        <v>2</v>
      </c>
      <c r="P68" s="333">
        <v>3</v>
      </c>
      <c r="Q68" s="333">
        <v>4</v>
      </c>
      <c r="R68" s="374">
        <f t="shared" si="0"/>
        <v>0</v>
      </c>
      <c r="S68" s="375">
        <v>0</v>
      </c>
      <c r="T68" s="375">
        <v>0</v>
      </c>
      <c r="U68" s="375">
        <v>0</v>
      </c>
      <c r="V68" s="375">
        <v>0</v>
      </c>
      <c r="W68" s="798" t="s">
        <v>946</v>
      </c>
    </row>
    <row r="69" spans="1:23" ht="25.5">
      <c r="A69" s="592"/>
      <c r="B69" s="786"/>
      <c r="C69" s="787"/>
      <c r="D69" s="332" t="s">
        <v>2012</v>
      </c>
      <c r="E69" s="792"/>
      <c r="F69" s="792"/>
      <c r="G69" s="792"/>
      <c r="H69" s="792"/>
      <c r="I69" s="792"/>
      <c r="J69" s="787"/>
      <c r="K69" s="332" t="s">
        <v>2012</v>
      </c>
      <c r="L69" s="332" t="s">
        <v>189</v>
      </c>
      <c r="M69" s="333">
        <v>0</v>
      </c>
      <c r="N69" s="333">
        <v>1</v>
      </c>
      <c r="O69" s="333">
        <v>2</v>
      </c>
      <c r="P69" s="333">
        <v>3</v>
      </c>
      <c r="Q69" s="333">
        <v>4</v>
      </c>
      <c r="R69" s="374">
        <f t="shared" si="0"/>
        <v>0</v>
      </c>
      <c r="S69" s="375">
        <v>0</v>
      </c>
      <c r="T69" s="375">
        <v>0</v>
      </c>
      <c r="U69" s="375">
        <v>0</v>
      </c>
      <c r="V69" s="375">
        <v>0</v>
      </c>
      <c r="W69" s="799"/>
    </row>
    <row r="70" spans="1:23" ht="15.75">
      <c r="A70" s="592"/>
      <c r="B70" s="786"/>
      <c r="C70" s="787"/>
      <c r="D70" s="332" t="s">
        <v>2013</v>
      </c>
      <c r="E70" s="792"/>
      <c r="F70" s="792"/>
      <c r="G70" s="792"/>
      <c r="H70" s="792"/>
      <c r="I70" s="792"/>
      <c r="J70" s="787"/>
      <c r="K70" s="332" t="s">
        <v>2013</v>
      </c>
      <c r="L70" s="332" t="s">
        <v>189</v>
      </c>
      <c r="M70" s="333">
        <v>0</v>
      </c>
      <c r="N70" s="333">
        <v>1</v>
      </c>
      <c r="O70" s="333">
        <v>2</v>
      </c>
      <c r="P70" s="333">
        <v>3</v>
      </c>
      <c r="Q70" s="333">
        <v>4</v>
      </c>
      <c r="R70" s="374">
        <f t="shared" si="0"/>
        <v>0</v>
      </c>
      <c r="S70" s="375">
        <v>0</v>
      </c>
      <c r="T70" s="375">
        <v>0</v>
      </c>
      <c r="U70" s="375">
        <v>0</v>
      </c>
      <c r="V70" s="375">
        <v>0</v>
      </c>
      <c r="W70" s="800"/>
    </row>
    <row r="71" spans="1:23" ht="25.5">
      <c r="A71" s="592"/>
      <c r="B71" s="786"/>
      <c r="C71" s="785" t="s">
        <v>2014</v>
      </c>
      <c r="D71" s="787" t="s">
        <v>2015</v>
      </c>
      <c r="E71" s="792">
        <v>100</v>
      </c>
      <c r="F71" s="792">
        <v>500</v>
      </c>
      <c r="G71" s="792">
        <v>700</v>
      </c>
      <c r="H71" s="792">
        <v>900</v>
      </c>
      <c r="I71" s="796">
        <v>1000</v>
      </c>
      <c r="J71" s="335" t="s">
        <v>2043</v>
      </c>
      <c r="K71" s="332" t="s">
        <v>3001</v>
      </c>
      <c r="L71" s="332" t="s">
        <v>189</v>
      </c>
      <c r="M71" s="337">
        <v>0</v>
      </c>
      <c r="N71" s="336">
        <v>4</v>
      </c>
      <c r="O71" s="336">
        <v>8</v>
      </c>
      <c r="P71" s="336">
        <v>12</v>
      </c>
      <c r="Q71" s="336">
        <v>16</v>
      </c>
      <c r="R71" s="374">
        <f t="shared" si="0"/>
        <v>15000</v>
      </c>
      <c r="S71" s="375">
        <v>5000</v>
      </c>
      <c r="T71" s="375">
        <v>2000</v>
      </c>
      <c r="U71" s="375">
        <v>4000</v>
      </c>
      <c r="V71" s="375">
        <v>4000</v>
      </c>
      <c r="W71" s="787" t="s">
        <v>2044</v>
      </c>
    </row>
    <row r="72" spans="1:23" ht="25.5">
      <c r="A72" s="592"/>
      <c r="B72" s="786"/>
      <c r="C72" s="785"/>
      <c r="D72" s="787"/>
      <c r="E72" s="792"/>
      <c r="F72" s="792"/>
      <c r="G72" s="792"/>
      <c r="H72" s="792"/>
      <c r="I72" s="796"/>
      <c r="J72" s="335" t="s">
        <v>2045</v>
      </c>
      <c r="K72" s="335" t="s">
        <v>2046</v>
      </c>
      <c r="L72" s="335" t="s">
        <v>189</v>
      </c>
      <c r="M72" s="336">
        <v>0</v>
      </c>
      <c r="N72" s="336">
        <v>2</v>
      </c>
      <c r="O72" s="336">
        <v>4</v>
      </c>
      <c r="P72" s="336">
        <v>5</v>
      </c>
      <c r="Q72" s="336">
        <v>6</v>
      </c>
      <c r="R72" s="374">
        <f t="shared" si="0"/>
        <v>30000</v>
      </c>
      <c r="S72" s="375">
        <v>20000</v>
      </c>
      <c r="T72" s="375">
        <v>3000</v>
      </c>
      <c r="U72" s="375">
        <v>3000</v>
      </c>
      <c r="V72" s="375">
        <v>4000</v>
      </c>
      <c r="W72" s="787"/>
    </row>
    <row r="73" spans="1:23" ht="25.5">
      <c r="A73" s="592"/>
      <c r="B73" s="786"/>
      <c r="C73" s="785"/>
      <c r="D73" s="787"/>
      <c r="E73" s="792"/>
      <c r="F73" s="792"/>
      <c r="G73" s="792"/>
      <c r="H73" s="792"/>
      <c r="I73" s="796"/>
      <c r="J73" s="335" t="s">
        <v>2047</v>
      </c>
      <c r="K73" s="335" t="s">
        <v>2048</v>
      </c>
      <c r="L73" s="335" t="s">
        <v>189</v>
      </c>
      <c r="M73" s="333">
        <v>0</v>
      </c>
      <c r="N73" s="336">
        <v>3</v>
      </c>
      <c r="O73" s="336">
        <v>6</v>
      </c>
      <c r="P73" s="336">
        <v>9</v>
      </c>
      <c r="Q73" s="336">
        <v>12</v>
      </c>
      <c r="R73" s="374">
        <f aca="true" t="shared" si="2" ref="R73:R119">SUM(S73:V73)</f>
        <v>0</v>
      </c>
      <c r="S73" s="375">
        <v>0</v>
      </c>
      <c r="T73" s="375">
        <v>0</v>
      </c>
      <c r="U73" s="375">
        <v>0</v>
      </c>
      <c r="V73" s="375">
        <v>0</v>
      </c>
      <c r="W73" s="787"/>
    </row>
    <row r="74" spans="1:23" ht="25.5">
      <c r="A74" s="592"/>
      <c r="B74" s="786"/>
      <c r="C74" s="787" t="s">
        <v>2016</v>
      </c>
      <c r="D74" s="787" t="s">
        <v>2017</v>
      </c>
      <c r="E74" s="790">
        <v>0</v>
      </c>
      <c r="F74" s="793">
        <v>0</v>
      </c>
      <c r="G74" s="793">
        <v>1</v>
      </c>
      <c r="H74" s="793">
        <v>1</v>
      </c>
      <c r="I74" s="790">
        <v>1</v>
      </c>
      <c r="J74" s="332" t="s">
        <v>2049</v>
      </c>
      <c r="K74" s="332" t="s">
        <v>2050</v>
      </c>
      <c r="L74" s="332" t="s">
        <v>189</v>
      </c>
      <c r="M74" s="333">
        <v>0</v>
      </c>
      <c r="N74" s="336">
        <v>0</v>
      </c>
      <c r="O74" s="336">
        <v>0</v>
      </c>
      <c r="P74" s="336">
        <v>1</v>
      </c>
      <c r="Q74" s="336">
        <v>2</v>
      </c>
      <c r="R74" s="374">
        <f t="shared" si="2"/>
        <v>120000</v>
      </c>
      <c r="S74" s="375">
        <v>25000</v>
      </c>
      <c r="T74" s="375">
        <v>27000</v>
      </c>
      <c r="U74" s="375">
        <v>32000</v>
      </c>
      <c r="V74" s="375">
        <v>36000</v>
      </c>
      <c r="W74" s="787" t="s">
        <v>2044</v>
      </c>
    </row>
    <row r="75" spans="1:23" ht="38.25">
      <c r="A75" s="592"/>
      <c r="B75" s="786"/>
      <c r="C75" s="787"/>
      <c r="D75" s="787"/>
      <c r="E75" s="790"/>
      <c r="F75" s="797"/>
      <c r="G75" s="797"/>
      <c r="H75" s="797"/>
      <c r="I75" s="790"/>
      <c r="J75" s="332" t="s">
        <v>2051</v>
      </c>
      <c r="K75" s="332" t="s">
        <v>2052</v>
      </c>
      <c r="L75" s="332" t="s">
        <v>189</v>
      </c>
      <c r="M75" s="337">
        <v>0</v>
      </c>
      <c r="N75" s="337">
        <v>0</v>
      </c>
      <c r="O75" s="337">
        <v>0</v>
      </c>
      <c r="P75" s="337">
        <v>0</v>
      </c>
      <c r="Q75" s="336">
        <v>1</v>
      </c>
      <c r="R75" s="374">
        <f t="shared" si="2"/>
        <v>30000</v>
      </c>
      <c r="S75" s="375">
        <v>20000</v>
      </c>
      <c r="T75" s="375">
        <v>2000</v>
      </c>
      <c r="U75" s="375">
        <v>2000</v>
      </c>
      <c r="V75" s="375">
        <v>6000</v>
      </c>
      <c r="W75" s="787"/>
    </row>
    <row r="76" spans="1:23" ht="38.25">
      <c r="A76" s="592"/>
      <c r="B76" s="786"/>
      <c r="C76" s="787"/>
      <c r="D76" s="787"/>
      <c r="E76" s="790"/>
      <c r="F76" s="797"/>
      <c r="G76" s="797"/>
      <c r="H76" s="797"/>
      <c r="I76" s="790"/>
      <c r="J76" s="332" t="s">
        <v>2053</v>
      </c>
      <c r="K76" s="332" t="s">
        <v>2054</v>
      </c>
      <c r="L76" s="332" t="s">
        <v>189</v>
      </c>
      <c r="M76" s="333">
        <v>0</v>
      </c>
      <c r="N76" s="336">
        <v>1</v>
      </c>
      <c r="O76" s="336">
        <v>3</v>
      </c>
      <c r="P76" s="336">
        <v>5</v>
      </c>
      <c r="Q76" s="336">
        <v>6</v>
      </c>
      <c r="R76" s="374">
        <f t="shared" si="2"/>
        <v>19000</v>
      </c>
      <c r="S76" s="375">
        <v>10000</v>
      </c>
      <c r="T76" s="375">
        <v>2000</v>
      </c>
      <c r="U76" s="375">
        <v>2000</v>
      </c>
      <c r="V76" s="375">
        <v>5000</v>
      </c>
      <c r="W76" s="787"/>
    </row>
    <row r="77" spans="1:23" ht="25.5">
      <c r="A77" s="592"/>
      <c r="B77" s="786"/>
      <c r="C77" s="787"/>
      <c r="D77" s="787"/>
      <c r="E77" s="790"/>
      <c r="F77" s="794"/>
      <c r="G77" s="794"/>
      <c r="H77" s="794"/>
      <c r="I77" s="790"/>
      <c r="J77" s="332" t="s">
        <v>2055</v>
      </c>
      <c r="K77" s="332" t="s">
        <v>2056</v>
      </c>
      <c r="L77" s="332" t="s">
        <v>189</v>
      </c>
      <c r="M77" s="337">
        <v>0</v>
      </c>
      <c r="N77" s="337">
        <v>0</v>
      </c>
      <c r="O77" s="337">
        <v>0</v>
      </c>
      <c r="P77" s="337">
        <v>0</v>
      </c>
      <c r="Q77" s="336">
        <v>1</v>
      </c>
      <c r="R77" s="374">
        <f t="shared" si="2"/>
        <v>0</v>
      </c>
      <c r="S77" s="375">
        <v>0</v>
      </c>
      <c r="T77" s="375">
        <v>0</v>
      </c>
      <c r="U77" s="375">
        <v>0</v>
      </c>
      <c r="V77" s="375">
        <v>0</v>
      </c>
      <c r="W77" s="787"/>
    </row>
    <row r="78" spans="1:23" ht="51">
      <c r="A78" s="592"/>
      <c r="B78" s="786"/>
      <c r="C78" s="787" t="s">
        <v>2018</v>
      </c>
      <c r="D78" s="787" t="s">
        <v>2019</v>
      </c>
      <c r="E78" s="792">
        <v>126</v>
      </c>
      <c r="F78" s="792">
        <v>200</v>
      </c>
      <c r="G78" s="792">
        <v>240</v>
      </c>
      <c r="H78" s="792">
        <v>280</v>
      </c>
      <c r="I78" s="790">
        <v>300</v>
      </c>
      <c r="J78" s="332" t="s">
        <v>2057</v>
      </c>
      <c r="K78" s="335" t="s">
        <v>2058</v>
      </c>
      <c r="L78" s="335" t="s">
        <v>189</v>
      </c>
      <c r="M78" s="336">
        <v>0</v>
      </c>
      <c r="N78" s="336">
        <v>1</v>
      </c>
      <c r="O78" s="336">
        <v>2</v>
      </c>
      <c r="P78" s="336">
        <v>3</v>
      </c>
      <c r="Q78" s="336">
        <v>4</v>
      </c>
      <c r="R78" s="374">
        <f t="shared" si="2"/>
        <v>40000</v>
      </c>
      <c r="S78" s="375">
        <v>30000</v>
      </c>
      <c r="T78" s="375">
        <v>3000</v>
      </c>
      <c r="U78" s="375">
        <v>3000</v>
      </c>
      <c r="V78" s="375">
        <v>4000</v>
      </c>
      <c r="W78" s="787" t="s">
        <v>2044</v>
      </c>
    </row>
    <row r="79" spans="1:23" ht="76.5">
      <c r="A79" s="592"/>
      <c r="B79" s="786"/>
      <c r="C79" s="787"/>
      <c r="D79" s="787"/>
      <c r="E79" s="792"/>
      <c r="F79" s="792"/>
      <c r="G79" s="792"/>
      <c r="H79" s="792"/>
      <c r="I79" s="790"/>
      <c r="J79" s="332" t="s">
        <v>2059</v>
      </c>
      <c r="K79" s="335" t="s">
        <v>2060</v>
      </c>
      <c r="L79" s="335" t="s">
        <v>189</v>
      </c>
      <c r="M79" s="333">
        <v>0</v>
      </c>
      <c r="N79" s="336">
        <v>0</v>
      </c>
      <c r="O79" s="336">
        <v>1</v>
      </c>
      <c r="P79" s="336">
        <v>1</v>
      </c>
      <c r="Q79" s="336">
        <v>2</v>
      </c>
      <c r="R79" s="374">
        <f t="shared" si="2"/>
        <v>40000</v>
      </c>
      <c r="S79" s="375">
        <v>30000</v>
      </c>
      <c r="T79" s="375">
        <v>2000</v>
      </c>
      <c r="U79" s="375">
        <v>3000</v>
      </c>
      <c r="V79" s="375">
        <v>5000</v>
      </c>
      <c r="W79" s="787"/>
    </row>
    <row r="80" spans="1:23" ht="38.25">
      <c r="A80" s="592"/>
      <c r="B80" s="786"/>
      <c r="C80" s="787"/>
      <c r="D80" s="787"/>
      <c r="E80" s="792"/>
      <c r="F80" s="792"/>
      <c r="G80" s="792"/>
      <c r="H80" s="792"/>
      <c r="I80" s="790"/>
      <c r="J80" s="332" t="s">
        <v>2061</v>
      </c>
      <c r="K80" s="335" t="s">
        <v>2062</v>
      </c>
      <c r="L80" s="335" t="s">
        <v>189</v>
      </c>
      <c r="M80" s="333">
        <v>0</v>
      </c>
      <c r="N80" s="336">
        <v>0</v>
      </c>
      <c r="O80" s="336">
        <v>0</v>
      </c>
      <c r="P80" s="336">
        <v>0</v>
      </c>
      <c r="Q80" s="336">
        <v>1</v>
      </c>
      <c r="R80" s="374">
        <f t="shared" si="2"/>
        <v>33000</v>
      </c>
      <c r="S80" s="375">
        <v>25000</v>
      </c>
      <c r="T80" s="375">
        <v>1000</v>
      </c>
      <c r="U80" s="375">
        <v>3000</v>
      </c>
      <c r="V80" s="375">
        <v>4000</v>
      </c>
      <c r="W80" s="787"/>
    </row>
    <row r="81" spans="1:23" ht="63.75">
      <c r="A81" s="592"/>
      <c r="B81" s="786"/>
      <c r="C81" s="787"/>
      <c r="D81" s="787"/>
      <c r="E81" s="792"/>
      <c r="F81" s="792"/>
      <c r="G81" s="792"/>
      <c r="H81" s="792"/>
      <c r="I81" s="790"/>
      <c r="J81" s="332" t="s">
        <v>2063</v>
      </c>
      <c r="K81" s="335" t="s">
        <v>2064</v>
      </c>
      <c r="L81" s="335" t="s">
        <v>189</v>
      </c>
      <c r="M81" s="333">
        <v>0</v>
      </c>
      <c r="N81" s="336">
        <v>10</v>
      </c>
      <c r="O81" s="336">
        <v>40</v>
      </c>
      <c r="P81" s="336">
        <v>70</v>
      </c>
      <c r="Q81" s="336">
        <v>100</v>
      </c>
      <c r="R81" s="374">
        <f t="shared" si="2"/>
        <v>38000</v>
      </c>
      <c r="S81" s="375">
        <v>30000</v>
      </c>
      <c r="T81" s="375">
        <v>2000</v>
      </c>
      <c r="U81" s="375">
        <v>4000</v>
      </c>
      <c r="V81" s="375">
        <v>2000</v>
      </c>
      <c r="W81" s="787"/>
    </row>
    <row r="82" spans="1:23" ht="25.5">
      <c r="A82" s="592"/>
      <c r="B82" s="786"/>
      <c r="C82" s="787" t="s">
        <v>947</v>
      </c>
      <c r="D82" s="787" t="s">
        <v>3117</v>
      </c>
      <c r="E82" s="792">
        <v>0</v>
      </c>
      <c r="F82" s="792">
        <v>10000</v>
      </c>
      <c r="G82" s="792">
        <v>12000</v>
      </c>
      <c r="H82" s="792">
        <v>13000</v>
      </c>
      <c r="I82" s="795">
        <v>15000</v>
      </c>
      <c r="J82" s="335" t="s">
        <v>2065</v>
      </c>
      <c r="K82" s="335" t="s">
        <v>2066</v>
      </c>
      <c r="L82" s="335" t="s">
        <v>189</v>
      </c>
      <c r="M82" s="337">
        <v>0</v>
      </c>
      <c r="N82" s="337">
        <v>3750</v>
      </c>
      <c r="O82" s="337">
        <v>7500</v>
      </c>
      <c r="P82" s="337">
        <v>11250</v>
      </c>
      <c r="Q82" s="337">
        <v>15000</v>
      </c>
      <c r="R82" s="374">
        <f t="shared" si="2"/>
        <v>39000</v>
      </c>
      <c r="S82" s="375">
        <v>30000</v>
      </c>
      <c r="T82" s="375">
        <v>2000</v>
      </c>
      <c r="U82" s="375">
        <v>4000</v>
      </c>
      <c r="V82" s="375">
        <v>3000</v>
      </c>
      <c r="W82" s="787" t="s">
        <v>2044</v>
      </c>
    </row>
    <row r="83" spans="1:23" ht="63.75">
      <c r="A83" s="592"/>
      <c r="B83" s="786"/>
      <c r="C83" s="787"/>
      <c r="D83" s="787"/>
      <c r="E83" s="792"/>
      <c r="F83" s="792"/>
      <c r="G83" s="792"/>
      <c r="H83" s="792"/>
      <c r="I83" s="795"/>
      <c r="J83" s="335" t="s">
        <v>2067</v>
      </c>
      <c r="K83" s="335" t="s">
        <v>2068</v>
      </c>
      <c r="L83" s="335" t="s">
        <v>189</v>
      </c>
      <c r="M83" s="333">
        <v>0</v>
      </c>
      <c r="N83" s="336">
        <v>1</v>
      </c>
      <c r="O83" s="336">
        <v>3</v>
      </c>
      <c r="P83" s="336">
        <v>5</v>
      </c>
      <c r="Q83" s="336">
        <v>6</v>
      </c>
      <c r="R83" s="374">
        <f t="shared" si="2"/>
        <v>35000</v>
      </c>
      <c r="S83" s="375">
        <v>25000</v>
      </c>
      <c r="T83" s="375">
        <v>3000</v>
      </c>
      <c r="U83" s="375">
        <v>5000</v>
      </c>
      <c r="V83" s="375">
        <v>2000</v>
      </c>
      <c r="W83" s="787"/>
    </row>
    <row r="84" spans="1:23" ht="38.25">
      <c r="A84" s="592"/>
      <c r="B84" s="786"/>
      <c r="C84" s="787"/>
      <c r="D84" s="787"/>
      <c r="E84" s="792"/>
      <c r="F84" s="792"/>
      <c r="G84" s="792"/>
      <c r="H84" s="792"/>
      <c r="I84" s="795"/>
      <c r="J84" s="335" t="s">
        <v>2069</v>
      </c>
      <c r="K84" s="335" t="s">
        <v>2070</v>
      </c>
      <c r="L84" s="335" t="s">
        <v>189</v>
      </c>
      <c r="M84" s="333">
        <v>0</v>
      </c>
      <c r="N84" s="336">
        <v>1</v>
      </c>
      <c r="O84" s="336">
        <v>3</v>
      </c>
      <c r="P84" s="336">
        <v>5</v>
      </c>
      <c r="Q84" s="336">
        <v>6</v>
      </c>
      <c r="R84" s="374">
        <f t="shared" si="2"/>
        <v>57000</v>
      </c>
      <c r="S84" s="375">
        <v>50000</v>
      </c>
      <c r="T84" s="375">
        <v>3000</v>
      </c>
      <c r="U84" s="375">
        <v>2000</v>
      </c>
      <c r="V84" s="375">
        <v>2000</v>
      </c>
      <c r="W84" s="787"/>
    </row>
    <row r="85" spans="1:23" ht="51">
      <c r="A85" s="592"/>
      <c r="B85" s="786"/>
      <c r="C85" s="787" t="s">
        <v>3118</v>
      </c>
      <c r="D85" s="787" t="s">
        <v>3119</v>
      </c>
      <c r="E85" s="790">
        <v>0</v>
      </c>
      <c r="F85" s="793">
        <v>0</v>
      </c>
      <c r="G85" s="793">
        <v>1</v>
      </c>
      <c r="H85" s="793">
        <v>1</v>
      </c>
      <c r="I85" s="792">
        <v>2</v>
      </c>
      <c r="J85" s="335" t="s">
        <v>2071</v>
      </c>
      <c r="K85" s="335" t="s">
        <v>2072</v>
      </c>
      <c r="L85" s="335" t="s">
        <v>189</v>
      </c>
      <c r="M85" s="333">
        <v>0</v>
      </c>
      <c r="N85" s="336">
        <v>0</v>
      </c>
      <c r="O85" s="336">
        <v>0</v>
      </c>
      <c r="P85" s="336">
        <v>1</v>
      </c>
      <c r="Q85" s="337">
        <v>2</v>
      </c>
      <c r="R85" s="374">
        <f t="shared" si="2"/>
        <v>180000</v>
      </c>
      <c r="S85" s="375">
        <v>55000</v>
      </c>
      <c r="T85" s="375" t="s">
        <v>948</v>
      </c>
      <c r="U85" s="375">
        <v>61000</v>
      </c>
      <c r="V85" s="375">
        <v>64000</v>
      </c>
      <c r="W85" s="787" t="s">
        <v>2044</v>
      </c>
    </row>
    <row r="86" spans="1:23" ht="25.5">
      <c r="A86" s="592"/>
      <c r="B86" s="786"/>
      <c r="C86" s="787"/>
      <c r="D86" s="787"/>
      <c r="E86" s="790"/>
      <c r="F86" s="794"/>
      <c r="G86" s="794"/>
      <c r="H86" s="794"/>
      <c r="I86" s="792"/>
      <c r="J86" s="335" t="s">
        <v>2073</v>
      </c>
      <c r="K86" s="335" t="s">
        <v>2074</v>
      </c>
      <c r="L86" s="335" t="s">
        <v>189</v>
      </c>
      <c r="M86" s="333"/>
      <c r="N86" s="336"/>
      <c r="O86" s="336"/>
      <c r="P86" s="336"/>
      <c r="Q86" s="337">
        <v>1</v>
      </c>
      <c r="R86" s="374">
        <f t="shared" si="2"/>
        <v>65000</v>
      </c>
      <c r="S86" s="375">
        <v>15000</v>
      </c>
      <c r="T86" s="375">
        <v>18000</v>
      </c>
      <c r="U86" s="375">
        <v>15000</v>
      </c>
      <c r="V86" s="375">
        <v>17000</v>
      </c>
      <c r="W86" s="787"/>
    </row>
    <row r="87" spans="1:23" ht="38.25">
      <c r="A87" s="592"/>
      <c r="B87" s="786"/>
      <c r="C87" s="332" t="s">
        <v>3120</v>
      </c>
      <c r="D87" s="332" t="s">
        <v>3121</v>
      </c>
      <c r="E87" s="333">
        <v>0</v>
      </c>
      <c r="F87" s="333">
        <v>1</v>
      </c>
      <c r="G87" s="333">
        <v>2</v>
      </c>
      <c r="H87" s="333">
        <v>3</v>
      </c>
      <c r="I87" s="336">
        <v>4</v>
      </c>
      <c r="J87" s="332" t="s">
        <v>3120</v>
      </c>
      <c r="K87" s="332" t="s">
        <v>3121</v>
      </c>
      <c r="L87" s="332" t="s">
        <v>189</v>
      </c>
      <c r="M87" s="333"/>
      <c r="N87" s="337">
        <v>1</v>
      </c>
      <c r="O87" s="337">
        <v>2</v>
      </c>
      <c r="P87" s="337">
        <v>3</v>
      </c>
      <c r="Q87" s="337">
        <v>4</v>
      </c>
      <c r="R87" s="374">
        <f t="shared" si="2"/>
        <v>156000</v>
      </c>
      <c r="S87" s="375">
        <v>35000</v>
      </c>
      <c r="T87" s="375">
        <v>38000</v>
      </c>
      <c r="U87" s="375">
        <v>41000</v>
      </c>
      <c r="V87" s="375">
        <v>42000</v>
      </c>
      <c r="W87" s="787"/>
    </row>
    <row r="88" spans="1:23" ht="51">
      <c r="A88" s="592"/>
      <c r="B88" s="786"/>
      <c r="C88" s="787" t="s">
        <v>3122</v>
      </c>
      <c r="D88" s="787" t="s">
        <v>3123</v>
      </c>
      <c r="E88" s="790">
        <v>0</v>
      </c>
      <c r="F88" s="790">
        <v>18000</v>
      </c>
      <c r="G88" s="790">
        <v>19000</v>
      </c>
      <c r="H88" s="790">
        <v>20000</v>
      </c>
      <c r="I88" s="790">
        <v>21000</v>
      </c>
      <c r="J88" s="335" t="s">
        <v>2075</v>
      </c>
      <c r="K88" s="335" t="s">
        <v>2076</v>
      </c>
      <c r="L88" s="335" t="s">
        <v>189</v>
      </c>
      <c r="M88" s="333">
        <v>0</v>
      </c>
      <c r="N88" s="336">
        <v>5000</v>
      </c>
      <c r="O88" s="336">
        <v>10000</v>
      </c>
      <c r="P88" s="336">
        <v>15000</v>
      </c>
      <c r="Q88" s="336">
        <v>20000</v>
      </c>
      <c r="R88" s="374">
        <f t="shared" si="2"/>
        <v>124000</v>
      </c>
      <c r="S88" s="375">
        <v>25000</v>
      </c>
      <c r="T88" s="375">
        <v>30000</v>
      </c>
      <c r="U88" s="375">
        <v>34000</v>
      </c>
      <c r="V88" s="375">
        <v>35000</v>
      </c>
      <c r="W88" s="787" t="s">
        <v>2044</v>
      </c>
    </row>
    <row r="89" spans="1:23" ht="25.5">
      <c r="A89" s="592"/>
      <c r="B89" s="786"/>
      <c r="C89" s="787"/>
      <c r="D89" s="787"/>
      <c r="E89" s="790"/>
      <c r="F89" s="790"/>
      <c r="G89" s="790"/>
      <c r="H89" s="790"/>
      <c r="I89" s="790"/>
      <c r="J89" s="335" t="s">
        <v>2077</v>
      </c>
      <c r="K89" s="335" t="s">
        <v>1123</v>
      </c>
      <c r="L89" s="335" t="s">
        <v>189</v>
      </c>
      <c r="M89" s="333">
        <v>0</v>
      </c>
      <c r="N89" s="336">
        <v>1</v>
      </c>
      <c r="O89" s="336">
        <v>2</v>
      </c>
      <c r="P89" s="336">
        <v>3</v>
      </c>
      <c r="Q89" s="336">
        <v>4</v>
      </c>
      <c r="R89" s="374">
        <f t="shared" si="2"/>
        <v>135000</v>
      </c>
      <c r="S89" s="375">
        <v>30000</v>
      </c>
      <c r="T89" s="375">
        <v>33000</v>
      </c>
      <c r="U89" s="375">
        <v>35000</v>
      </c>
      <c r="V89" s="375">
        <v>37000</v>
      </c>
      <c r="W89" s="787"/>
    </row>
    <row r="90" spans="1:23" ht="63.75">
      <c r="A90" s="592"/>
      <c r="B90" s="786"/>
      <c r="C90" s="787"/>
      <c r="D90" s="787"/>
      <c r="E90" s="790"/>
      <c r="F90" s="790"/>
      <c r="G90" s="790"/>
      <c r="H90" s="790"/>
      <c r="I90" s="790"/>
      <c r="J90" s="335" t="s">
        <v>1124</v>
      </c>
      <c r="K90" s="335" t="s">
        <v>2064</v>
      </c>
      <c r="L90" s="335" t="s">
        <v>189</v>
      </c>
      <c r="M90" s="333">
        <v>0</v>
      </c>
      <c r="N90" s="336">
        <v>50</v>
      </c>
      <c r="O90" s="336">
        <v>100</v>
      </c>
      <c r="P90" s="336">
        <v>150</v>
      </c>
      <c r="Q90" s="336">
        <v>200</v>
      </c>
      <c r="R90" s="374">
        <f t="shared" si="2"/>
        <v>55000</v>
      </c>
      <c r="S90" s="375">
        <v>10000</v>
      </c>
      <c r="T90" s="375">
        <v>12000</v>
      </c>
      <c r="U90" s="375">
        <v>15000</v>
      </c>
      <c r="V90" s="375">
        <v>18000</v>
      </c>
      <c r="W90" s="787"/>
    </row>
    <row r="91" spans="1:23" ht="38.25">
      <c r="A91" s="592"/>
      <c r="B91" s="786"/>
      <c r="C91" s="787"/>
      <c r="D91" s="787"/>
      <c r="E91" s="790"/>
      <c r="F91" s="790"/>
      <c r="G91" s="790"/>
      <c r="H91" s="790"/>
      <c r="I91" s="790"/>
      <c r="J91" s="335" t="s">
        <v>1125</v>
      </c>
      <c r="K91" s="335" t="s">
        <v>1126</v>
      </c>
      <c r="L91" s="335" t="s">
        <v>189</v>
      </c>
      <c r="M91" s="336">
        <v>0</v>
      </c>
      <c r="N91" s="336">
        <v>3</v>
      </c>
      <c r="O91" s="336">
        <v>6</v>
      </c>
      <c r="P91" s="336">
        <v>9</v>
      </c>
      <c r="Q91" s="336">
        <v>12</v>
      </c>
      <c r="R91" s="374">
        <f t="shared" si="2"/>
        <v>141000</v>
      </c>
      <c r="S91" s="375">
        <v>30000</v>
      </c>
      <c r="T91" s="375">
        <v>34000</v>
      </c>
      <c r="U91" s="375">
        <v>37000</v>
      </c>
      <c r="V91" s="375">
        <v>40000</v>
      </c>
      <c r="W91" s="787"/>
    </row>
    <row r="92" spans="1:23" ht="51">
      <c r="A92" s="592"/>
      <c r="B92" s="786"/>
      <c r="C92" s="332" t="s">
        <v>3124</v>
      </c>
      <c r="D92" s="332" t="s">
        <v>3125</v>
      </c>
      <c r="E92" s="333">
        <v>0</v>
      </c>
      <c r="F92" s="333">
        <v>0</v>
      </c>
      <c r="G92" s="333">
        <v>1</v>
      </c>
      <c r="H92" s="333">
        <v>1</v>
      </c>
      <c r="I92" s="333">
        <v>1</v>
      </c>
      <c r="J92" s="332" t="s">
        <v>3124</v>
      </c>
      <c r="K92" s="332" t="s">
        <v>3125</v>
      </c>
      <c r="L92" s="332" t="s">
        <v>189</v>
      </c>
      <c r="M92" s="333">
        <v>0</v>
      </c>
      <c r="N92" s="333">
        <v>0</v>
      </c>
      <c r="O92" s="333">
        <v>1</v>
      </c>
      <c r="P92" s="333">
        <v>1</v>
      </c>
      <c r="Q92" s="333">
        <v>1</v>
      </c>
      <c r="R92" s="374">
        <f t="shared" si="2"/>
        <v>0</v>
      </c>
      <c r="S92" s="376">
        <v>0</v>
      </c>
      <c r="T92" s="376">
        <v>0</v>
      </c>
      <c r="U92" s="376">
        <v>0</v>
      </c>
      <c r="V92" s="376">
        <v>0</v>
      </c>
      <c r="W92" s="787"/>
    </row>
    <row r="93" spans="1:23" ht="51">
      <c r="A93" s="592" t="s">
        <v>452</v>
      </c>
      <c r="B93" s="786">
        <v>27</v>
      </c>
      <c r="C93" s="785" t="s">
        <v>1128</v>
      </c>
      <c r="D93" s="787" t="s">
        <v>1129</v>
      </c>
      <c r="E93" s="790">
        <v>0</v>
      </c>
      <c r="F93" s="790">
        <v>0</v>
      </c>
      <c r="G93" s="790">
        <v>1</v>
      </c>
      <c r="H93" s="790">
        <v>1</v>
      </c>
      <c r="I93" s="790">
        <v>1</v>
      </c>
      <c r="J93" s="332" t="s">
        <v>1130</v>
      </c>
      <c r="K93" s="332" t="s">
        <v>1131</v>
      </c>
      <c r="L93" s="332" t="s">
        <v>189</v>
      </c>
      <c r="M93" s="333">
        <v>0</v>
      </c>
      <c r="N93" s="333">
        <v>0</v>
      </c>
      <c r="O93" s="333">
        <v>1</v>
      </c>
      <c r="P93" s="333">
        <v>2</v>
      </c>
      <c r="Q93" s="333">
        <v>0</v>
      </c>
      <c r="R93" s="374">
        <f t="shared" si="2"/>
        <v>750000</v>
      </c>
      <c r="S93" s="376">
        <v>0</v>
      </c>
      <c r="T93" s="376">
        <v>250000</v>
      </c>
      <c r="U93" s="376">
        <v>250000</v>
      </c>
      <c r="V93" s="376">
        <v>250000</v>
      </c>
      <c r="W93" s="791" t="s">
        <v>406</v>
      </c>
    </row>
    <row r="94" spans="1:23" ht="51">
      <c r="A94" s="592"/>
      <c r="B94" s="786"/>
      <c r="C94" s="785"/>
      <c r="D94" s="787"/>
      <c r="E94" s="790"/>
      <c r="F94" s="790"/>
      <c r="G94" s="790"/>
      <c r="H94" s="790"/>
      <c r="I94" s="790"/>
      <c r="J94" s="332" t="s">
        <v>1128</v>
      </c>
      <c r="K94" s="332" t="s">
        <v>1129</v>
      </c>
      <c r="L94" s="332" t="s">
        <v>189</v>
      </c>
      <c r="M94" s="336">
        <v>0</v>
      </c>
      <c r="N94" s="336">
        <v>1</v>
      </c>
      <c r="O94" s="333">
        <v>1</v>
      </c>
      <c r="P94" s="336">
        <v>1</v>
      </c>
      <c r="Q94" s="336">
        <v>1</v>
      </c>
      <c r="R94" s="374">
        <f t="shared" si="2"/>
        <v>500000</v>
      </c>
      <c r="S94" s="376">
        <v>500000</v>
      </c>
      <c r="T94" s="376">
        <v>0</v>
      </c>
      <c r="U94" s="376">
        <v>0</v>
      </c>
      <c r="V94" s="376">
        <v>0</v>
      </c>
      <c r="W94" s="791"/>
    </row>
    <row r="95" spans="1:23" ht="38.25">
      <c r="A95" s="592"/>
      <c r="B95" s="786"/>
      <c r="C95" s="785" t="s">
        <v>1132</v>
      </c>
      <c r="D95" s="787" t="s">
        <v>1133</v>
      </c>
      <c r="E95" s="790">
        <v>0</v>
      </c>
      <c r="F95" s="790">
        <v>0</v>
      </c>
      <c r="G95" s="790">
        <v>1</v>
      </c>
      <c r="H95" s="790">
        <v>1</v>
      </c>
      <c r="I95" s="790">
        <v>1</v>
      </c>
      <c r="J95" s="332" t="s">
        <v>1134</v>
      </c>
      <c r="K95" s="332" t="s">
        <v>1135</v>
      </c>
      <c r="L95" s="332" t="s">
        <v>189</v>
      </c>
      <c r="M95" s="336">
        <v>0</v>
      </c>
      <c r="N95" s="336">
        <v>0</v>
      </c>
      <c r="O95" s="336">
        <v>1</v>
      </c>
      <c r="P95" s="336">
        <v>1</v>
      </c>
      <c r="Q95" s="336">
        <v>1</v>
      </c>
      <c r="R95" s="374">
        <f t="shared" si="2"/>
        <v>850000</v>
      </c>
      <c r="S95" s="376">
        <v>100000</v>
      </c>
      <c r="T95" s="376">
        <v>250000</v>
      </c>
      <c r="U95" s="376">
        <v>250000</v>
      </c>
      <c r="V95" s="376">
        <v>250000</v>
      </c>
      <c r="W95" s="791" t="s">
        <v>1142</v>
      </c>
    </row>
    <row r="96" spans="1:23" ht="38.25">
      <c r="A96" s="592"/>
      <c r="B96" s="786"/>
      <c r="C96" s="785"/>
      <c r="D96" s="787"/>
      <c r="E96" s="790"/>
      <c r="F96" s="790"/>
      <c r="G96" s="790"/>
      <c r="H96" s="790"/>
      <c r="I96" s="790"/>
      <c r="J96" s="332" t="s">
        <v>354</v>
      </c>
      <c r="K96" s="332" t="s">
        <v>1135</v>
      </c>
      <c r="L96" s="332" t="s">
        <v>189</v>
      </c>
      <c r="M96" s="336">
        <v>0</v>
      </c>
      <c r="N96" s="336">
        <v>1</v>
      </c>
      <c r="O96" s="336">
        <v>1</v>
      </c>
      <c r="P96" s="336">
        <v>1</v>
      </c>
      <c r="Q96" s="336">
        <v>1</v>
      </c>
      <c r="R96" s="374">
        <f t="shared" si="2"/>
        <v>450000</v>
      </c>
      <c r="S96" s="376">
        <v>100000</v>
      </c>
      <c r="T96" s="376">
        <v>100000</v>
      </c>
      <c r="U96" s="376">
        <v>100000</v>
      </c>
      <c r="V96" s="376">
        <v>150000</v>
      </c>
      <c r="W96" s="791"/>
    </row>
    <row r="97" spans="1:23" ht="38.25">
      <c r="A97" s="592"/>
      <c r="B97" s="786"/>
      <c r="C97" s="785"/>
      <c r="D97" s="787"/>
      <c r="E97" s="790"/>
      <c r="F97" s="790"/>
      <c r="G97" s="790"/>
      <c r="H97" s="790"/>
      <c r="I97" s="790"/>
      <c r="J97" s="332" t="s">
        <v>353</v>
      </c>
      <c r="K97" s="332" t="s">
        <v>1139</v>
      </c>
      <c r="L97" s="332" t="s">
        <v>189</v>
      </c>
      <c r="M97" s="336">
        <v>0</v>
      </c>
      <c r="N97" s="336">
        <v>1</v>
      </c>
      <c r="O97" s="336">
        <v>2</v>
      </c>
      <c r="P97" s="336">
        <v>3</v>
      </c>
      <c r="Q97" s="336">
        <v>4</v>
      </c>
      <c r="R97" s="374">
        <f t="shared" si="2"/>
        <v>550000</v>
      </c>
      <c r="S97" s="376">
        <v>100000</v>
      </c>
      <c r="T97" s="376">
        <v>150000</v>
      </c>
      <c r="U97" s="376">
        <v>150000</v>
      </c>
      <c r="V97" s="376">
        <v>150000</v>
      </c>
      <c r="W97" s="791"/>
    </row>
    <row r="98" spans="1:23" ht="25.5">
      <c r="A98" s="789" t="s">
        <v>454</v>
      </c>
      <c r="B98" s="788">
        <v>1</v>
      </c>
      <c r="C98" s="332" t="s">
        <v>949</v>
      </c>
      <c r="D98" s="332" t="s">
        <v>1146</v>
      </c>
      <c r="E98" s="333">
        <v>0</v>
      </c>
      <c r="F98" s="333">
        <v>0</v>
      </c>
      <c r="G98" s="333">
        <v>1</v>
      </c>
      <c r="H98" s="333">
        <v>1</v>
      </c>
      <c r="I98" s="333">
        <v>1</v>
      </c>
      <c r="J98" s="332" t="s">
        <v>1145</v>
      </c>
      <c r="K98" s="332" t="s">
        <v>1146</v>
      </c>
      <c r="L98" s="332" t="s">
        <v>189</v>
      </c>
      <c r="M98" s="333">
        <v>670</v>
      </c>
      <c r="N98" s="333">
        <v>167.5</v>
      </c>
      <c r="O98" s="333">
        <v>335</v>
      </c>
      <c r="P98" s="333">
        <v>503</v>
      </c>
      <c r="Q98" s="333">
        <v>670</v>
      </c>
      <c r="R98" s="374">
        <f t="shared" si="2"/>
        <v>0</v>
      </c>
      <c r="S98" s="334">
        <v>0</v>
      </c>
      <c r="T98" s="334">
        <v>0</v>
      </c>
      <c r="U98" s="334">
        <v>0</v>
      </c>
      <c r="V98" s="334">
        <v>0</v>
      </c>
      <c r="W98" s="785" t="s">
        <v>453</v>
      </c>
    </row>
    <row r="99" spans="1:23" ht="63.75">
      <c r="A99" s="789"/>
      <c r="B99" s="788"/>
      <c r="C99" s="332" t="s">
        <v>1151</v>
      </c>
      <c r="D99" s="332" t="s">
        <v>950</v>
      </c>
      <c r="E99" s="333">
        <v>0</v>
      </c>
      <c r="F99" s="333">
        <v>0</v>
      </c>
      <c r="G99" s="333">
        <v>1</v>
      </c>
      <c r="H99" s="333">
        <v>1</v>
      </c>
      <c r="I99" s="333">
        <v>1</v>
      </c>
      <c r="J99" s="332" t="s">
        <v>1151</v>
      </c>
      <c r="K99" s="332" t="s">
        <v>950</v>
      </c>
      <c r="L99" s="332" t="s">
        <v>189</v>
      </c>
      <c r="M99" s="333">
        <v>0</v>
      </c>
      <c r="N99" s="333">
        <v>0</v>
      </c>
      <c r="O99" s="333">
        <v>1</v>
      </c>
      <c r="P99" s="333">
        <v>1</v>
      </c>
      <c r="Q99" s="333">
        <v>1</v>
      </c>
      <c r="R99" s="374">
        <f t="shared" si="2"/>
        <v>100000</v>
      </c>
      <c r="S99" s="334">
        <v>0</v>
      </c>
      <c r="T99" s="334">
        <v>100000</v>
      </c>
      <c r="U99" s="334">
        <v>0</v>
      </c>
      <c r="V99" s="334">
        <v>0</v>
      </c>
      <c r="W99" s="785"/>
    </row>
    <row r="100" spans="1:23" ht="25.5">
      <c r="A100" s="789"/>
      <c r="B100" s="788"/>
      <c r="C100" s="332" t="s">
        <v>1148</v>
      </c>
      <c r="D100" s="332" t="s">
        <v>951</v>
      </c>
      <c r="E100" s="333">
        <v>0</v>
      </c>
      <c r="F100" s="333">
        <v>0</v>
      </c>
      <c r="G100" s="333">
        <v>1</v>
      </c>
      <c r="H100" s="333">
        <v>1</v>
      </c>
      <c r="I100" s="333">
        <v>1</v>
      </c>
      <c r="J100" s="332" t="s">
        <v>1148</v>
      </c>
      <c r="K100" s="332" t="s">
        <v>951</v>
      </c>
      <c r="L100" s="332" t="s">
        <v>189</v>
      </c>
      <c r="M100" s="333">
        <v>0</v>
      </c>
      <c r="N100" s="333">
        <v>0</v>
      </c>
      <c r="O100" s="333">
        <v>1</v>
      </c>
      <c r="P100" s="333">
        <v>1</v>
      </c>
      <c r="Q100" s="333">
        <v>1</v>
      </c>
      <c r="R100" s="374">
        <f t="shared" si="2"/>
        <v>0</v>
      </c>
      <c r="S100" s="334">
        <v>0</v>
      </c>
      <c r="T100" s="334">
        <v>0</v>
      </c>
      <c r="U100" s="334">
        <v>0</v>
      </c>
      <c r="V100" s="334">
        <v>0</v>
      </c>
      <c r="W100" s="785"/>
    </row>
    <row r="101" spans="1:23" ht="38.25">
      <c r="A101" s="789" t="s">
        <v>455</v>
      </c>
      <c r="B101" s="788">
        <v>1</v>
      </c>
      <c r="C101" s="332" t="s">
        <v>170</v>
      </c>
      <c r="D101" s="332" t="s">
        <v>1154</v>
      </c>
      <c r="E101" s="333">
        <v>16</v>
      </c>
      <c r="F101" s="333">
        <v>7</v>
      </c>
      <c r="G101" s="333">
        <v>14</v>
      </c>
      <c r="H101" s="333">
        <v>22</v>
      </c>
      <c r="I101" s="333">
        <v>30</v>
      </c>
      <c r="J101" s="335" t="s">
        <v>1155</v>
      </c>
      <c r="K101" s="332" t="s">
        <v>1156</v>
      </c>
      <c r="L101" s="332" t="s">
        <v>189</v>
      </c>
      <c r="M101" s="333">
        <v>16</v>
      </c>
      <c r="N101" s="333">
        <v>7</v>
      </c>
      <c r="O101" s="333">
        <v>14</v>
      </c>
      <c r="P101" s="333">
        <v>22</v>
      </c>
      <c r="Q101" s="333">
        <v>30</v>
      </c>
      <c r="R101" s="374">
        <f t="shared" si="2"/>
        <v>50000</v>
      </c>
      <c r="S101" s="334">
        <v>10000</v>
      </c>
      <c r="T101" s="334">
        <v>10000</v>
      </c>
      <c r="U101" s="334">
        <v>15000</v>
      </c>
      <c r="V101" s="334">
        <v>15000</v>
      </c>
      <c r="W101" s="785" t="s">
        <v>453</v>
      </c>
    </row>
    <row r="102" spans="1:23" ht="38.25">
      <c r="A102" s="789"/>
      <c r="B102" s="788"/>
      <c r="C102" s="332" t="s">
        <v>952</v>
      </c>
      <c r="D102" s="333" t="s">
        <v>168</v>
      </c>
      <c r="E102" s="333">
        <v>0</v>
      </c>
      <c r="F102" s="333">
        <v>0</v>
      </c>
      <c r="G102" s="333">
        <v>1</v>
      </c>
      <c r="H102" s="333">
        <v>1</v>
      </c>
      <c r="I102" s="333">
        <v>1</v>
      </c>
      <c r="J102" s="335" t="s">
        <v>169</v>
      </c>
      <c r="K102" s="332" t="s">
        <v>168</v>
      </c>
      <c r="L102" s="332" t="s">
        <v>189</v>
      </c>
      <c r="M102" s="333">
        <v>0</v>
      </c>
      <c r="N102" s="333">
        <v>0</v>
      </c>
      <c r="O102" s="333">
        <v>1</v>
      </c>
      <c r="P102" s="333">
        <v>1</v>
      </c>
      <c r="Q102" s="333">
        <v>1</v>
      </c>
      <c r="R102" s="374">
        <f t="shared" si="2"/>
        <v>450000</v>
      </c>
      <c r="S102" s="334">
        <v>0</v>
      </c>
      <c r="T102" s="334">
        <v>50000</v>
      </c>
      <c r="U102" s="334">
        <v>200000</v>
      </c>
      <c r="V102" s="334">
        <v>200000</v>
      </c>
      <c r="W102" s="785"/>
    </row>
    <row r="103" spans="1:23" ht="51">
      <c r="A103" s="789" t="s">
        <v>456</v>
      </c>
      <c r="B103" s="788">
        <v>1</v>
      </c>
      <c r="C103" s="332" t="s">
        <v>175</v>
      </c>
      <c r="D103" s="332" t="s">
        <v>172</v>
      </c>
      <c r="E103" s="333">
        <v>0</v>
      </c>
      <c r="F103" s="333">
        <v>10</v>
      </c>
      <c r="G103" s="333">
        <v>30</v>
      </c>
      <c r="H103" s="333">
        <v>50</v>
      </c>
      <c r="I103" s="333">
        <v>70</v>
      </c>
      <c r="J103" s="335" t="s">
        <v>173</v>
      </c>
      <c r="K103" s="332" t="s">
        <v>172</v>
      </c>
      <c r="L103" s="332" t="s">
        <v>189</v>
      </c>
      <c r="M103" s="333">
        <v>0</v>
      </c>
      <c r="N103" s="333">
        <v>10</v>
      </c>
      <c r="O103" s="333">
        <v>30</v>
      </c>
      <c r="P103" s="333">
        <v>50</v>
      </c>
      <c r="Q103" s="333">
        <v>70</v>
      </c>
      <c r="R103" s="374">
        <f t="shared" si="2"/>
        <v>350000</v>
      </c>
      <c r="S103" s="334">
        <v>50000</v>
      </c>
      <c r="T103" s="334">
        <v>100000</v>
      </c>
      <c r="U103" s="334">
        <v>100000</v>
      </c>
      <c r="V103" s="334">
        <v>100000</v>
      </c>
      <c r="W103" s="785" t="s">
        <v>453</v>
      </c>
    </row>
    <row r="104" spans="1:23" ht="51">
      <c r="A104" s="789"/>
      <c r="B104" s="788"/>
      <c r="C104" s="332" t="s">
        <v>174</v>
      </c>
      <c r="D104" s="333" t="s">
        <v>1651</v>
      </c>
      <c r="E104" s="333">
        <v>0</v>
      </c>
      <c r="F104" s="333">
        <v>0</v>
      </c>
      <c r="G104" s="333">
        <v>1</v>
      </c>
      <c r="H104" s="333">
        <v>1</v>
      </c>
      <c r="I104" s="333">
        <v>1</v>
      </c>
      <c r="J104" s="332" t="s">
        <v>174</v>
      </c>
      <c r="K104" s="333" t="s">
        <v>1651</v>
      </c>
      <c r="L104" s="333" t="s">
        <v>189</v>
      </c>
      <c r="M104" s="333">
        <v>0</v>
      </c>
      <c r="N104" s="333">
        <v>0</v>
      </c>
      <c r="O104" s="333">
        <v>1</v>
      </c>
      <c r="P104" s="333">
        <v>1</v>
      </c>
      <c r="Q104" s="333">
        <v>1</v>
      </c>
      <c r="R104" s="374">
        <f t="shared" si="2"/>
        <v>50000</v>
      </c>
      <c r="S104" s="334">
        <v>0</v>
      </c>
      <c r="T104" s="334">
        <v>50000</v>
      </c>
      <c r="U104" s="334">
        <v>0</v>
      </c>
      <c r="V104" s="334">
        <v>0</v>
      </c>
      <c r="W104" s="785"/>
    </row>
    <row r="105" spans="1:23" ht="36" customHeight="1">
      <c r="A105" s="789" t="s">
        <v>457</v>
      </c>
      <c r="B105" s="788">
        <v>4</v>
      </c>
      <c r="C105" s="332" t="s">
        <v>1181</v>
      </c>
      <c r="D105" s="332" t="s">
        <v>234</v>
      </c>
      <c r="E105" s="333">
        <v>3000</v>
      </c>
      <c r="F105" s="333">
        <v>300</v>
      </c>
      <c r="G105" s="333">
        <v>600</v>
      </c>
      <c r="H105" s="333">
        <v>900</v>
      </c>
      <c r="I105" s="333">
        <v>1000</v>
      </c>
      <c r="J105" s="787" t="s">
        <v>235</v>
      </c>
      <c r="K105" s="787" t="s">
        <v>1369</v>
      </c>
      <c r="L105" s="332" t="s">
        <v>189</v>
      </c>
      <c r="M105" s="333">
        <v>3000</v>
      </c>
      <c r="N105" s="333">
        <v>375</v>
      </c>
      <c r="O105" s="333">
        <v>750</v>
      </c>
      <c r="P105" s="333">
        <v>1125</v>
      </c>
      <c r="Q105" s="333">
        <v>1500</v>
      </c>
      <c r="R105" s="374">
        <f t="shared" si="2"/>
        <v>700000</v>
      </c>
      <c r="S105" s="334">
        <v>150000</v>
      </c>
      <c r="T105" s="334">
        <v>150000</v>
      </c>
      <c r="U105" s="334">
        <v>200000</v>
      </c>
      <c r="V105" s="334">
        <v>200000</v>
      </c>
      <c r="W105" s="785" t="s">
        <v>453</v>
      </c>
    </row>
    <row r="106" spans="1:23" ht="38.25">
      <c r="A106" s="789"/>
      <c r="B106" s="788"/>
      <c r="C106" s="332" t="s">
        <v>190</v>
      </c>
      <c r="D106" s="332" t="s">
        <v>191</v>
      </c>
      <c r="E106" s="333">
        <v>3000</v>
      </c>
      <c r="F106" s="333">
        <v>300</v>
      </c>
      <c r="G106" s="333">
        <v>600</v>
      </c>
      <c r="H106" s="333">
        <v>900</v>
      </c>
      <c r="I106" s="333">
        <v>1000</v>
      </c>
      <c r="J106" s="787"/>
      <c r="K106" s="787"/>
      <c r="L106" s="332" t="s">
        <v>189</v>
      </c>
      <c r="M106" s="333">
        <v>3000</v>
      </c>
      <c r="N106" s="333">
        <v>375</v>
      </c>
      <c r="O106" s="333">
        <v>750</v>
      </c>
      <c r="P106" s="333">
        <v>1125</v>
      </c>
      <c r="Q106" s="333">
        <v>1500</v>
      </c>
      <c r="R106" s="374">
        <f t="shared" si="2"/>
        <v>500000</v>
      </c>
      <c r="S106" s="334">
        <v>100000</v>
      </c>
      <c r="T106" s="334">
        <v>100000</v>
      </c>
      <c r="U106" s="334">
        <v>150000</v>
      </c>
      <c r="V106" s="334">
        <v>150000</v>
      </c>
      <c r="W106" s="785"/>
    </row>
    <row r="107" spans="1:23" ht="63.75">
      <c r="A107" s="789"/>
      <c r="B107" s="788"/>
      <c r="C107" s="332" t="s">
        <v>1178</v>
      </c>
      <c r="D107" s="332" t="s">
        <v>953</v>
      </c>
      <c r="E107" s="333">
        <v>300</v>
      </c>
      <c r="F107" s="333">
        <v>150</v>
      </c>
      <c r="G107" s="333">
        <v>400</v>
      </c>
      <c r="H107" s="333">
        <v>650</v>
      </c>
      <c r="I107" s="333">
        <v>900</v>
      </c>
      <c r="J107" s="332" t="s">
        <v>1179</v>
      </c>
      <c r="K107" s="332" t="s">
        <v>1180</v>
      </c>
      <c r="L107" s="332" t="s">
        <v>189</v>
      </c>
      <c r="M107" s="333">
        <v>300</v>
      </c>
      <c r="N107" s="333">
        <v>150</v>
      </c>
      <c r="O107" s="333">
        <v>400</v>
      </c>
      <c r="P107" s="333">
        <v>650</v>
      </c>
      <c r="Q107" s="333">
        <v>900</v>
      </c>
      <c r="R107" s="374">
        <f t="shared" si="2"/>
        <v>200000</v>
      </c>
      <c r="S107" s="334">
        <v>50000</v>
      </c>
      <c r="T107" s="334">
        <v>50000</v>
      </c>
      <c r="U107" s="334">
        <v>50000</v>
      </c>
      <c r="V107" s="334">
        <v>50000</v>
      </c>
      <c r="W107" s="785"/>
    </row>
    <row r="108" spans="1:23" ht="38.25">
      <c r="A108" s="373" t="s">
        <v>458</v>
      </c>
      <c r="B108" s="379">
        <v>1</v>
      </c>
      <c r="C108" s="332" t="s">
        <v>1183</v>
      </c>
      <c r="D108" s="332" t="s">
        <v>954</v>
      </c>
      <c r="E108" s="333">
        <v>120</v>
      </c>
      <c r="F108" s="333">
        <v>100</v>
      </c>
      <c r="G108" s="333">
        <v>200</v>
      </c>
      <c r="H108" s="333">
        <v>300</v>
      </c>
      <c r="I108" s="333">
        <v>400</v>
      </c>
      <c r="J108" s="332" t="s">
        <v>1185</v>
      </c>
      <c r="K108" s="332" t="s">
        <v>1186</v>
      </c>
      <c r="L108" s="332" t="s">
        <v>189</v>
      </c>
      <c r="M108" s="333">
        <v>120</v>
      </c>
      <c r="N108" s="333">
        <v>100</v>
      </c>
      <c r="O108" s="333">
        <v>200</v>
      </c>
      <c r="P108" s="333">
        <v>300</v>
      </c>
      <c r="Q108" s="333">
        <v>400</v>
      </c>
      <c r="R108" s="374">
        <f t="shared" si="2"/>
        <v>500000</v>
      </c>
      <c r="S108" s="334">
        <v>100000</v>
      </c>
      <c r="T108" s="334">
        <v>100000</v>
      </c>
      <c r="U108" s="334">
        <v>150000</v>
      </c>
      <c r="V108" s="334">
        <v>150000</v>
      </c>
      <c r="W108" s="335" t="s">
        <v>453</v>
      </c>
    </row>
    <row r="109" spans="1:23" ht="76.5">
      <c r="A109" s="373" t="s">
        <v>817</v>
      </c>
      <c r="B109" s="379">
        <v>1</v>
      </c>
      <c r="C109" s="332" t="s">
        <v>1188</v>
      </c>
      <c r="D109" s="332" t="s">
        <v>955</v>
      </c>
      <c r="E109" s="333">
        <v>4</v>
      </c>
      <c r="F109" s="333">
        <v>2</v>
      </c>
      <c r="G109" s="333">
        <v>5</v>
      </c>
      <c r="H109" s="333">
        <v>8</v>
      </c>
      <c r="I109" s="333">
        <v>10</v>
      </c>
      <c r="J109" s="335" t="s">
        <v>1190</v>
      </c>
      <c r="K109" s="332" t="s">
        <v>1191</v>
      </c>
      <c r="L109" s="332" t="s">
        <v>189</v>
      </c>
      <c r="M109" s="333">
        <v>4</v>
      </c>
      <c r="N109" s="333">
        <v>2</v>
      </c>
      <c r="O109" s="333">
        <v>5</v>
      </c>
      <c r="P109" s="333">
        <v>8</v>
      </c>
      <c r="Q109" s="333">
        <v>10</v>
      </c>
      <c r="R109" s="374">
        <f t="shared" si="2"/>
        <v>200000</v>
      </c>
      <c r="S109" s="334">
        <v>50000</v>
      </c>
      <c r="T109" s="334">
        <v>50000</v>
      </c>
      <c r="U109" s="334">
        <v>50000</v>
      </c>
      <c r="V109" s="334">
        <v>50000</v>
      </c>
      <c r="W109" s="335" t="s">
        <v>453</v>
      </c>
    </row>
    <row r="110" spans="1:23" ht="38.25">
      <c r="A110" s="99" t="s">
        <v>818</v>
      </c>
      <c r="B110" s="377">
        <v>1</v>
      </c>
      <c r="C110" s="335" t="s">
        <v>1234</v>
      </c>
      <c r="D110" s="335" t="s">
        <v>1235</v>
      </c>
      <c r="E110" s="336">
        <v>100</v>
      </c>
      <c r="F110" s="336">
        <v>10</v>
      </c>
      <c r="G110" s="336">
        <v>20</v>
      </c>
      <c r="H110" s="336">
        <v>30</v>
      </c>
      <c r="I110" s="336">
        <v>40</v>
      </c>
      <c r="J110" s="335" t="s">
        <v>1236</v>
      </c>
      <c r="K110" s="335" t="s">
        <v>1237</v>
      </c>
      <c r="L110" s="335" t="s">
        <v>189</v>
      </c>
      <c r="M110" s="336">
        <v>100</v>
      </c>
      <c r="N110" s="336">
        <v>10</v>
      </c>
      <c r="O110" s="336">
        <v>20</v>
      </c>
      <c r="P110" s="336">
        <v>30</v>
      </c>
      <c r="Q110" s="336">
        <v>40</v>
      </c>
      <c r="R110" s="374">
        <f t="shared" si="2"/>
        <v>200000</v>
      </c>
      <c r="S110" s="337">
        <v>50000</v>
      </c>
      <c r="T110" s="337">
        <v>50000</v>
      </c>
      <c r="U110" s="337">
        <v>50000</v>
      </c>
      <c r="V110" s="337">
        <v>50000</v>
      </c>
      <c r="W110" s="335" t="s">
        <v>453</v>
      </c>
    </row>
    <row r="111" spans="1:23" ht="38.25">
      <c r="A111" s="99" t="s">
        <v>819</v>
      </c>
      <c r="B111" s="377">
        <v>1</v>
      </c>
      <c r="C111" s="335" t="s">
        <v>1197</v>
      </c>
      <c r="D111" s="335" t="s">
        <v>1198</v>
      </c>
      <c r="E111" s="336">
        <v>20</v>
      </c>
      <c r="F111" s="336">
        <v>10</v>
      </c>
      <c r="G111" s="336">
        <v>30</v>
      </c>
      <c r="H111" s="336">
        <v>50</v>
      </c>
      <c r="I111" s="336">
        <v>70</v>
      </c>
      <c r="J111" s="335" t="s">
        <v>1199</v>
      </c>
      <c r="K111" s="335" t="s">
        <v>1200</v>
      </c>
      <c r="L111" s="335" t="s">
        <v>189</v>
      </c>
      <c r="M111" s="336">
        <v>20</v>
      </c>
      <c r="N111" s="336">
        <v>10</v>
      </c>
      <c r="O111" s="336">
        <v>30</v>
      </c>
      <c r="P111" s="336">
        <v>50</v>
      </c>
      <c r="Q111" s="336">
        <v>70</v>
      </c>
      <c r="R111" s="374">
        <f t="shared" si="2"/>
        <v>500000</v>
      </c>
      <c r="S111" s="337">
        <v>100000</v>
      </c>
      <c r="T111" s="337">
        <v>100000</v>
      </c>
      <c r="U111" s="337">
        <v>150000</v>
      </c>
      <c r="V111" s="337">
        <v>150000</v>
      </c>
      <c r="W111" s="335" t="s">
        <v>453</v>
      </c>
    </row>
    <row r="112" spans="1:23" ht="51">
      <c r="A112" s="592" t="s">
        <v>820</v>
      </c>
      <c r="B112" s="786">
        <v>1</v>
      </c>
      <c r="C112" s="335" t="s">
        <v>1202</v>
      </c>
      <c r="D112" s="335" t="s">
        <v>956</v>
      </c>
      <c r="E112" s="336">
        <v>4</v>
      </c>
      <c r="F112" s="336">
        <v>2</v>
      </c>
      <c r="G112" s="336">
        <v>4</v>
      </c>
      <c r="H112" s="336">
        <v>7</v>
      </c>
      <c r="I112" s="336">
        <v>10</v>
      </c>
      <c r="J112" s="335" t="s">
        <v>1204</v>
      </c>
      <c r="K112" s="335" t="s">
        <v>1205</v>
      </c>
      <c r="L112" s="335" t="s">
        <v>189</v>
      </c>
      <c r="M112" s="336">
        <v>4</v>
      </c>
      <c r="N112" s="336">
        <v>2</v>
      </c>
      <c r="O112" s="336">
        <v>4</v>
      </c>
      <c r="P112" s="336">
        <v>7</v>
      </c>
      <c r="Q112" s="336">
        <v>10</v>
      </c>
      <c r="R112" s="374">
        <f t="shared" si="2"/>
        <v>100000</v>
      </c>
      <c r="S112" s="337">
        <v>10000</v>
      </c>
      <c r="T112" s="337">
        <v>30000</v>
      </c>
      <c r="U112" s="337">
        <v>30000</v>
      </c>
      <c r="V112" s="337">
        <v>30000</v>
      </c>
      <c r="W112" s="785" t="s">
        <v>453</v>
      </c>
    </row>
    <row r="113" spans="1:23" ht="76.5">
      <c r="A113" s="592"/>
      <c r="B113" s="786"/>
      <c r="C113" s="335" t="s">
        <v>1206</v>
      </c>
      <c r="D113" s="335" t="s">
        <v>957</v>
      </c>
      <c r="E113" s="336">
        <v>0</v>
      </c>
      <c r="F113" s="336">
        <v>2</v>
      </c>
      <c r="G113" s="336">
        <v>4</v>
      </c>
      <c r="H113" s="336">
        <v>7</v>
      </c>
      <c r="I113" s="336">
        <v>10</v>
      </c>
      <c r="J113" s="335" t="s">
        <v>1208</v>
      </c>
      <c r="K113" s="335" t="s">
        <v>1209</v>
      </c>
      <c r="L113" s="335" t="s">
        <v>189</v>
      </c>
      <c r="M113" s="336">
        <v>0</v>
      </c>
      <c r="N113" s="336">
        <v>2</v>
      </c>
      <c r="O113" s="336">
        <v>4</v>
      </c>
      <c r="P113" s="336">
        <v>7</v>
      </c>
      <c r="Q113" s="336">
        <v>10</v>
      </c>
      <c r="R113" s="374">
        <f t="shared" si="2"/>
        <v>100000</v>
      </c>
      <c r="S113" s="337">
        <v>10000</v>
      </c>
      <c r="T113" s="337">
        <v>30000</v>
      </c>
      <c r="U113" s="337">
        <v>30000</v>
      </c>
      <c r="V113" s="337">
        <v>30000</v>
      </c>
      <c r="W113" s="785"/>
    </row>
    <row r="114" spans="1:23" ht="38.25">
      <c r="A114" s="592"/>
      <c r="B114" s="786"/>
      <c r="C114" s="335" t="s">
        <v>225</v>
      </c>
      <c r="D114" s="335" t="s">
        <v>226</v>
      </c>
      <c r="E114" s="336">
        <v>5</v>
      </c>
      <c r="F114" s="336">
        <v>2</v>
      </c>
      <c r="G114" s="336">
        <v>4</v>
      </c>
      <c r="H114" s="336">
        <v>7</v>
      </c>
      <c r="I114" s="336">
        <v>10</v>
      </c>
      <c r="J114" s="335" t="s">
        <v>227</v>
      </c>
      <c r="K114" s="335" t="s">
        <v>226</v>
      </c>
      <c r="L114" s="335" t="s">
        <v>189</v>
      </c>
      <c r="M114" s="336">
        <v>5</v>
      </c>
      <c r="N114" s="336">
        <v>2</v>
      </c>
      <c r="O114" s="336">
        <v>4</v>
      </c>
      <c r="P114" s="336">
        <v>7</v>
      </c>
      <c r="Q114" s="336">
        <v>10</v>
      </c>
      <c r="R114" s="374">
        <f t="shared" si="2"/>
        <v>100000</v>
      </c>
      <c r="S114" s="337">
        <v>10000</v>
      </c>
      <c r="T114" s="337">
        <v>30000</v>
      </c>
      <c r="U114" s="337">
        <v>30000</v>
      </c>
      <c r="V114" s="337">
        <v>30000</v>
      </c>
      <c r="W114" s="785"/>
    </row>
    <row r="115" spans="1:24" ht="36.75" customHeight="1">
      <c r="A115" s="592" t="s">
        <v>821</v>
      </c>
      <c r="B115" s="786">
        <v>2</v>
      </c>
      <c r="C115" s="785" t="s">
        <v>229</v>
      </c>
      <c r="D115" s="335" t="s">
        <v>230</v>
      </c>
      <c r="E115" s="336">
        <v>0</v>
      </c>
      <c r="F115" s="336">
        <v>0</v>
      </c>
      <c r="G115" s="336">
        <v>1</v>
      </c>
      <c r="H115" s="336">
        <v>1</v>
      </c>
      <c r="I115" s="336">
        <v>1</v>
      </c>
      <c r="J115" s="335" t="s">
        <v>229</v>
      </c>
      <c r="K115" s="335" t="s">
        <v>229</v>
      </c>
      <c r="L115" s="335" t="s">
        <v>189</v>
      </c>
      <c r="M115" s="336">
        <v>0</v>
      </c>
      <c r="N115" s="336">
        <v>0</v>
      </c>
      <c r="O115" s="336">
        <v>1</v>
      </c>
      <c r="P115" s="336">
        <v>1</v>
      </c>
      <c r="Q115" s="336">
        <v>1</v>
      </c>
      <c r="R115" s="374">
        <f t="shared" si="2"/>
        <v>400000</v>
      </c>
      <c r="S115" s="337">
        <v>100000</v>
      </c>
      <c r="T115" s="337">
        <v>100000</v>
      </c>
      <c r="U115" s="337">
        <v>100000</v>
      </c>
      <c r="V115" s="337">
        <v>100000</v>
      </c>
      <c r="W115" s="785" t="s">
        <v>453</v>
      </c>
      <c r="X115" s="304"/>
    </row>
    <row r="116" spans="1:23" ht="25.5">
      <c r="A116" s="592"/>
      <c r="B116" s="786"/>
      <c r="C116" s="785"/>
      <c r="D116" s="335" t="s">
        <v>231</v>
      </c>
      <c r="E116" s="336">
        <v>0</v>
      </c>
      <c r="F116" s="336">
        <v>0</v>
      </c>
      <c r="G116" s="336">
        <v>1</v>
      </c>
      <c r="H116" s="336">
        <v>1</v>
      </c>
      <c r="I116" s="336">
        <v>1</v>
      </c>
      <c r="J116" s="335" t="s">
        <v>232</v>
      </c>
      <c r="K116" s="335" t="s">
        <v>232</v>
      </c>
      <c r="L116" s="335" t="s">
        <v>189</v>
      </c>
      <c r="M116" s="336">
        <v>0</v>
      </c>
      <c r="N116" s="336">
        <v>0</v>
      </c>
      <c r="O116" s="336">
        <v>0</v>
      </c>
      <c r="P116" s="336">
        <v>0</v>
      </c>
      <c r="Q116" s="336">
        <v>1</v>
      </c>
      <c r="R116" s="374">
        <f t="shared" si="2"/>
        <v>223000</v>
      </c>
      <c r="S116" s="337">
        <v>18000</v>
      </c>
      <c r="T116" s="337">
        <v>5000</v>
      </c>
      <c r="U116" s="337">
        <v>100000</v>
      </c>
      <c r="V116" s="337">
        <v>100000</v>
      </c>
      <c r="W116" s="785"/>
    </row>
    <row r="117" spans="1:23" ht="51">
      <c r="A117" s="99" t="s">
        <v>822</v>
      </c>
      <c r="B117" s="377">
        <v>11</v>
      </c>
      <c r="C117" s="335" t="s">
        <v>1226</v>
      </c>
      <c r="D117" s="335" t="s">
        <v>1227</v>
      </c>
      <c r="E117" s="336" t="s">
        <v>958</v>
      </c>
      <c r="F117" s="336" t="s">
        <v>2770</v>
      </c>
      <c r="G117" s="336" t="s">
        <v>2771</v>
      </c>
      <c r="H117" s="336" t="s">
        <v>2772</v>
      </c>
      <c r="I117" s="336" t="s">
        <v>958</v>
      </c>
      <c r="J117" s="335" t="s">
        <v>1228</v>
      </c>
      <c r="K117" s="335" t="s">
        <v>1227</v>
      </c>
      <c r="L117" s="335" t="s">
        <v>189</v>
      </c>
      <c r="M117" s="336">
        <v>0</v>
      </c>
      <c r="N117" s="336" t="s">
        <v>959</v>
      </c>
      <c r="O117" s="336" t="s">
        <v>960</v>
      </c>
      <c r="P117" s="336" t="s">
        <v>961</v>
      </c>
      <c r="Q117" s="336" t="s">
        <v>958</v>
      </c>
      <c r="R117" s="374">
        <f t="shared" si="2"/>
        <v>4251000</v>
      </c>
      <c r="S117" s="337">
        <v>1110000</v>
      </c>
      <c r="T117" s="337">
        <v>800000</v>
      </c>
      <c r="U117" s="337">
        <v>1025000</v>
      </c>
      <c r="V117" s="337">
        <v>1316000</v>
      </c>
      <c r="W117" s="335" t="s">
        <v>453</v>
      </c>
    </row>
    <row r="118" spans="1:23" ht="38.25" customHeight="1">
      <c r="A118" s="100" t="s">
        <v>823</v>
      </c>
      <c r="B118" s="377">
        <v>1</v>
      </c>
      <c r="C118" s="335" t="s">
        <v>1230</v>
      </c>
      <c r="D118" s="335" t="s">
        <v>1231</v>
      </c>
      <c r="E118" s="336">
        <v>0</v>
      </c>
      <c r="F118" s="336">
        <v>0</v>
      </c>
      <c r="G118" s="337">
        <v>3000</v>
      </c>
      <c r="H118" s="337">
        <v>7000</v>
      </c>
      <c r="I118" s="336">
        <v>10000</v>
      </c>
      <c r="J118" s="335" t="s">
        <v>1230</v>
      </c>
      <c r="K118" s="335" t="s">
        <v>1231</v>
      </c>
      <c r="L118" s="335" t="s">
        <v>189</v>
      </c>
      <c r="M118" s="336">
        <v>0</v>
      </c>
      <c r="N118" s="336">
        <v>0</v>
      </c>
      <c r="O118" s="337">
        <v>3000</v>
      </c>
      <c r="P118" s="337">
        <v>7000</v>
      </c>
      <c r="Q118" s="337">
        <v>10000</v>
      </c>
      <c r="R118" s="374">
        <f t="shared" si="2"/>
        <v>0</v>
      </c>
      <c r="S118" s="374">
        <v>0</v>
      </c>
      <c r="T118" s="374">
        <v>0</v>
      </c>
      <c r="U118" s="374">
        <v>0</v>
      </c>
      <c r="V118" s="374">
        <v>0</v>
      </c>
      <c r="W118" s="335" t="s">
        <v>364</v>
      </c>
    </row>
    <row r="119" spans="1:28" ht="25.5">
      <c r="A119" s="99" t="s">
        <v>824</v>
      </c>
      <c r="B119" s="377">
        <v>1</v>
      </c>
      <c r="C119" s="335" t="s">
        <v>962</v>
      </c>
      <c r="D119" s="335" t="s">
        <v>1194</v>
      </c>
      <c r="E119" s="336">
        <v>0</v>
      </c>
      <c r="F119" s="336">
        <v>0</v>
      </c>
      <c r="G119" s="336">
        <v>1</v>
      </c>
      <c r="H119" s="336">
        <v>1</v>
      </c>
      <c r="I119" s="336">
        <v>1</v>
      </c>
      <c r="J119" s="335" t="s">
        <v>1193</v>
      </c>
      <c r="K119" s="335" t="s">
        <v>1195</v>
      </c>
      <c r="L119" s="335" t="s">
        <v>189</v>
      </c>
      <c r="M119" s="336">
        <v>0</v>
      </c>
      <c r="N119" s="336">
        <v>0</v>
      </c>
      <c r="O119" s="336">
        <v>1</v>
      </c>
      <c r="P119" s="336">
        <v>1</v>
      </c>
      <c r="Q119" s="336">
        <v>1</v>
      </c>
      <c r="R119" s="374">
        <f t="shared" si="2"/>
        <v>200000</v>
      </c>
      <c r="S119" s="374">
        <v>0</v>
      </c>
      <c r="T119" s="374">
        <v>50000</v>
      </c>
      <c r="U119" s="374">
        <v>100000</v>
      </c>
      <c r="V119" s="374">
        <v>50000</v>
      </c>
      <c r="W119" s="335" t="s">
        <v>453</v>
      </c>
      <c r="X119" s="305"/>
      <c r="Y119" s="305"/>
      <c r="Z119" s="305"/>
      <c r="AA119" s="305"/>
      <c r="AB119" s="305"/>
    </row>
    <row r="120" spans="2:28" ht="15.75">
      <c r="B120" s="380"/>
      <c r="X120" s="305"/>
      <c r="Y120" s="305"/>
      <c r="Z120" s="305"/>
      <c r="AA120" s="305"/>
      <c r="AB120" s="305"/>
    </row>
    <row r="121" spans="1:28" ht="15.75">
      <c r="A121" s="599" t="s">
        <v>825</v>
      </c>
      <c r="B121" s="599"/>
      <c r="C121" s="599"/>
      <c r="D121" s="599"/>
      <c r="E121" s="599"/>
      <c r="F121" s="599"/>
      <c r="G121" s="599"/>
      <c r="H121" s="599"/>
      <c r="I121" s="599"/>
      <c r="J121" s="599"/>
      <c r="K121" s="599"/>
      <c r="L121" s="599"/>
      <c r="M121" s="599"/>
      <c r="N121" s="599"/>
      <c r="O121" s="599"/>
      <c r="P121" s="599"/>
      <c r="Q121" s="599"/>
      <c r="R121" s="354">
        <f>SUM(R8:R120)</f>
        <v>26939000</v>
      </c>
      <c r="S121" s="354">
        <f>SUM(S8:S120)</f>
        <v>6458419</v>
      </c>
      <c r="T121" s="354">
        <f>SUM(T8:T120)</f>
        <v>6290141</v>
      </c>
      <c r="U121" s="354">
        <f>SUM(U8:U120)</f>
        <v>6950386</v>
      </c>
      <c r="V121" s="354">
        <f>SUM(V8:V120)</f>
        <v>7240054</v>
      </c>
      <c r="W121" s="381"/>
      <c r="X121" s="305"/>
      <c r="Y121" s="305"/>
      <c r="Z121" s="305"/>
      <c r="AA121" s="305"/>
      <c r="AB121" s="305"/>
    </row>
    <row r="122" spans="24:28" ht="15.75">
      <c r="X122" s="305"/>
      <c r="Y122" s="305"/>
      <c r="Z122" s="305"/>
      <c r="AA122" s="305"/>
      <c r="AB122" s="305"/>
    </row>
    <row r="123" spans="19:28" ht="15.75">
      <c r="S123" s="322"/>
      <c r="X123" s="305"/>
      <c r="Y123" s="305"/>
      <c r="Z123" s="305"/>
      <c r="AA123" s="305"/>
      <c r="AB123" s="305"/>
    </row>
    <row r="124" spans="19:28" ht="15.75">
      <c r="S124" s="322"/>
      <c r="X124" s="305"/>
      <c r="Y124" s="305"/>
      <c r="Z124" s="305"/>
      <c r="AA124" s="305"/>
      <c r="AB124" s="305"/>
    </row>
    <row r="125" spans="24:28" ht="15.75">
      <c r="X125" s="305"/>
      <c r="Y125" s="305"/>
      <c r="Z125" s="305"/>
      <c r="AA125" s="305"/>
      <c r="AB125" s="305"/>
    </row>
  </sheetData>
  <sheetProtection/>
  <mergeCells count="199">
    <mergeCell ref="F9:F10"/>
    <mergeCell ref="G9:G10"/>
    <mergeCell ref="D9:D10"/>
    <mergeCell ref="C17:C18"/>
    <mergeCell ref="A6:A7"/>
    <mergeCell ref="B6:B7"/>
    <mergeCell ref="W6:W7"/>
    <mergeCell ref="D17:D18"/>
    <mergeCell ref="F34:F36"/>
    <mergeCell ref="G34:G36"/>
    <mergeCell ref="F32:F33"/>
    <mergeCell ref="G32:G33"/>
    <mergeCell ref="A8:A26"/>
    <mergeCell ref="B8:B26"/>
    <mergeCell ref="I9:I10"/>
    <mergeCell ref="G11:G12"/>
    <mergeCell ref="H11:H12"/>
    <mergeCell ref="F17:F18"/>
    <mergeCell ref="W8:W21"/>
    <mergeCell ref="A1:W1"/>
    <mergeCell ref="A2:W2"/>
    <mergeCell ref="A3:W3"/>
    <mergeCell ref="A4:W4"/>
    <mergeCell ref="A5:W5"/>
    <mergeCell ref="C6:C7"/>
    <mergeCell ref="D6:J6"/>
    <mergeCell ref="K6:Q6"/>
    <mergeCell ref="R6:V6"/>
    <mergeCell ref="E27:E30"/>
    <mergeCell ref="I27:I30"/>
    <mergeCell ref="G17:G18"/>
    <mergeCell ref="H17:H18"/>
    <mergeCell ref="H9:H10"/>
    <mergeCell ref="I11:I12"/>
    <mergeCell ref="E34:E36"/>
    <mergeCell ref="E9:E10"/>
    <mergeCell ref="C32:C33"/>
    <mergeCell ref="D32:D33"/>
    <mergeCell ref="E32:E33"/>
    <mergeCell ref="C9:C10"/>
    <mergeCell ref="C11:C12"/>
    <mergeCell ref="D11:D12"/>
    <mergeCell ref="E11:E12"/>
    <mergeCell ref="F11:F12"/>
    <mergeCell ref="E17:E18"/>
    <mergeCell ref="I17:I18"/>
    <mergeCell ref="A27:A49"/>
    <mergeCell ref="B27:B49"/>
    <mergeCell ref="C27:C30"/>
    <mergeCell ref="D27:D30"/>
    <mergeCell ref="C37:C38"/>
    <mergeCell ref="D37:D38"/>
    <mergeCell ref="C39:C40"/>
    <mergeCell ref="D39:D40"/>
    <mergeCell ref="C34:C36"/>
    <mergeCell ref="D34:D36"/>
    <mergeCell ref="E39:E40"/>
    <mergeCell ref="F39:F40"/>
    <mergeCell ref="H34:H36"/>
    <mergeCell ref="W23:W26"/>
    <mergeCell ref="E37:E38"/>
    <mergeCell ref="F37:F38"/>
    <mergeCell ref="F27:F30"/>
    <mergeCell ref="G27:G30"/>
    <mergeCell ref="H32:H33"/>
    <mergeCell ref="I32:I33"/>
    <mergeCell ref="H50:H52"/>
    <mergeCell ref="I50:I52"/>
    <mergeCell ref="W50:W53"/>
    <mergeCell ref="H39:H40"/>
    <mergeCell ref="I39:I40"/>
    <mergeCell ref="H41:H43"/>
    <mergeCell ref="I41:I43"/>
    <mergeCell ref="W48:W49"/>
    <mergeCell ref="W27:W44"/>
    <mergeCell ref="H27:H30"/>
    <mergeCell ref="G41:G43"/>
    <mergeCell ref="G39:G40"/>
    <mergeCell ref="I34:I36"/>
    <mergeCell ref="G37:G38"/>
    <mergeCell ref="H37:H38"/>
    <mergeCell ref="I37:I38"/>
    <mergeCell ref="C58:C59"/>
    <mergeCell ref="D58:D59"/>
    <mergeCell ref="C41:C43"/>
    <mergeCell ref="D41:D43"/>
    <mergeCell ref="E41:E43"/>
    <mergeCell ref="F41:F43"/>
    <mergeCell ref="W58:W59"/>
    <mergeCell ref="D50:D52"/>
    <mergeCell ref="E50:E52"/>
    <mergeCell ref="A50:A53"/>
    <mergeCell ref="B50:B53"/>
    <mergeCell ref="C50:C52"/>
    <mergeCell ref="F50:F52"/>
    <mergeCell ref="G50:G52"/>
    <mergeCell ref="A58:A59"/>
    <mergeCell ref="B58:B59"/>
    <mergeCell ref="A62:A92"/>
    <mergeCell ref="B62:B92"/>
    <mergeCell ref="C63:C66"/>
    <mergeCell ref="C71:C73"/>
    <mergeCell ref="C78:C81"/>
    <mergeCell ref="C88:C91"/>
    <mergeCell ref="D63:D66"/>
    <mergeCell ref="W63:W66"/>
    <mergeCell ref="C68:C70"/>
    <mergeCell ref="E68:E70"/>
    <mergeCell ref="F68:F70"/>
    <mergeCell ref="G68:G70"/>
    <mergeCell ref="H68:H70"/>
    <mergeCell ref="I68:I70"/>
    <mergeCell ref="J68:J70"/>
    <mergeCell ref="W68:W70"/>
    <mergeCell ref="W71:W73"/>
    <mergeCell ref="C74:C77"/>
    <mergeCell ref="D74:D77"/>
    <mergeCell ref="E74:E77"/>
    <mergeCell ref="I74:I77"/>
    <mergeCell ref="W74:W77"/>
    <mergeCell ref="D71:D73"/>
    <mergeCell ref="E71:E73"/>
    <mergeCell ref="F71:F73"/>
    <mergeCell ref="G71:G73"/>
    <mergeCell ref="I71:I73"/>
    <mergeCell ref="F74:F77"/>
    <mergeCell ref="G74:G77"/>
    <mergeCell ref="H74:H77"/>
    <mergeCell ref="E78:E81"/>
    <mergeCell ref="F78:F81"/>
    <mergeCell ref="G78:G81"/>
    <mergeCell ref="H71:H73"/>
    <mergeCell ref="H78:H81"/>
    <mergeCell ref="I78:I81"/>
    <mergeCell ref="W78:W81"/>
    <mergeCell ref="C82:C84"/>
    <mergeCell ref="D82:D84"/>
    <mergeCell ref="E82:E84"/>
    <mergeCell ref="F82:F84"/>
    <mergeCell ref="G82:G84"/>
    <mergeCell ref="H82:H84"/>
    <mergeCell ref="I82:I84"/>
    <mergeCell ref="D78:D81"/>
    <mergeCell ref="F85:F86"/>
    <mergeCell ref="G85:G86"/>
    <mergeCell ref="H85:H86"/>
    <mergeCell ref="D88:D91"/>
    <mergeCell ref="E88:E91"/>
    <mergeCell ref="F88:F91"/>
    <mergeCell ref="G88:G91"/>
    <mergeCell ref="H88:H91"/>
    <mergeCell ref="A93:A97"/>
    <mergeCell ref="B93:B97"/>
    <mergeCell ref="C93:C94"/>
    <mergeCell ref="D93:D94"/>
    <mergeCell ref="W82:W84"/>
    <mergeCell ref="C85:C86"/>
    <mergeCell ref="D85:D86"/>
    <mergeCell ref="E85:E86"/>
    <mergeCell ref="I85:I86"/>
    <mergeCell ref="W85:W87"/>
    <mergeCell ref="E93:E94"/>
    <mergeCell ref="F93:F94"/>
    <mergeCell ref="E95:E97"/>
    <mergeCell ref="W98:W100"/>
    <mergeCell ref="G95:G97"/>
    <mergeCell ref="H95:H97"/>
    <mergeCell ref="W93:W94"/>
    <mergeCell ref="I95:I97"/>
    <mergeCell ref="W95:W97"/>
    <mergeCell ref="I88:I91"/>
    <mergeCell ref="W88:W92"/>
    <mergeCell ref="A101:A102"/>
    <mergeCell ref="B101:B102"/>
    <mergeCell ref="W101:W102"/>
    <mergeCell ref="F95:F97"/>
    <mergeCell ref="G93:G94"/>
    <mergeCell ref="H93:H94"/>
    <mergeCell ref="I93:I94"/>
    <mergeCell ref="A98:A100"/>
    <mergeCell ref="A112:A114"/>
    <mergeCell ref="B112:B114"/>
    <mergeCell ref="W112:W114"/>
    <mergeCell ref="B98:B100"/>
    <mergeCell ref="A105:A107"/>
    <mergeCell ref="B105:B107"/>
    <mergeCell ref="A103:A104"/>
    <mergeCell ref="B103:B104"/>
    <mergeCell ref="J105:J106"/>
    <mergeCell ref="W115:W116"/>
    <mergeCell ref="A121:Q121"/>
    <mergeCell ref="A115:A116"/>
    <mergeCell ref="B115:B116"/>
    <mergeCell ref="C115:C116"/>
    <mergeCell ref="C95:C97"/>
    <mergeCell ref="D95:D97"/>
    <mergeCell ref="W103:W104"/>
    <mergeCell ref="K105:K106"/>
    <mergeCell ref="W105:W107"/>
  </mergeCells>
  <printOptions/>
  <pageMargins left="0.75" right="0.75" top="1" bottom="1" header="0" footer="0"/>
  <pageSetup orientation="portrait"/>
  <legacyDrawing r:id="rId2"/>
</worksheet>
</file>

<file path=xl/worksheets/sheet8.xml><?xml version="1.0" encoding="utf-8"?>
<worksheet xmlns="http://schemas.openxmlformats.org/spreadsheetml/2006/main" xmlns:r="http://schemas.openxmlformats.org/officeDocument/2006/relationships">
  <dimension ref="A1:T281"/>
  <sheetViews>
    <sheetView zoomScalePageLayoutView="0" workbookViewId="0" topLeftCell="G1">
      <selection activeCell="D31" sqref="D31:D33"/>
    </sheetView>
  </sheetViews>
  <sheetFormatPr defaultColWidth="10.875" defaultRowHeight="15.75"/>
  <cols>
    <col min="1" max="1" width="33.875" style="191" customWidth="1"/>
    <col min="2" max="2" width="13.875" style="191" customWidth="1"/>
    <col min="3" max="3" width="17.125" style="191" customWidth="1"/>
    <col min="4" max="4" width="32.375" style="191" customWidth="1"/>
    <col min="5" max="5" width="25.625" style="191" customWidth="1"/>
    <col min="6" max="6" width="26.125" style="191" customWidth="1"/>
    <col min="7" max="7" width="15.375" style="191" customWidth="1"/>
    <col min="8" max="8" width="20.875" style="191" customWidth="1"/>
    <col min="9" max="9" width="16.50390625" style="191" customWidth="1"/>
    <col min="10" max="10" width="13.00390625" style="191" customWidth="1"/>
    <col min="11" max="13" width="12.125" style="191" customWidth="1"/>
    <col min="14" max="14" width="13.375" style="191" customWidth="1"/>
    <col min="15" max="15" width="13.125" style="191" customWidth="1"/>
    <col min="16" max="16" width="15.125" style="191" customWidth="1"/>
    <col min="17" max="17" width="15.375" style="191" customWidth="1"/>
    <col min="18" max="18" width="18.125" style="191" customWidth="1"/>
    <col min="19" max="19" width="16.125" style="191" customWidth="1"/>
    <col min="20" max="20" width="20.875" style="191" customWidth="1"/>
    <col min="21" max="16384" width="10.875" style="191" customWidth="1"/>
  </cols>
  <sheetData>
    <row r="1" spans="1:20" ht="12.75">
      <c r="A1" s="780" t="s">
        <v>1370</v>
      </c>
      <c r="B1" s="780"/>
      <c r="C1" s="780"/>
      <c r="D1" s="780"/>
      <c r="E1" s="780"/>
      <c r="F1" s="780"/>
      <c r="G1" s="780"/>
      <c r="H1" s="780"/>
      <c r="I1" s="780"/>
      <c r="J1" s="780"/>
      <c r="K1" s="780"/>
      <c r="L1" s="780"/>
      <c r="M1" s="780"/>
      <c r="N1" s="780"/>
      <c r="O1" s="780"/>
      <c r="P1" s="780"/>
      <c r="Q1" s="780"/>
      <c r="R1" s="780"/>
      <c r="S1" s="780"/>
      <c r="T1" s="780"/>
    </row>
    <row r="2" spans="1:20" ht="12.75">
      <c r="A2" s="780" t="s">
        <v>1371</v>
      </c>
      <c r="B2" s="780"/>
      <c r="C2" s="780"/>
      <c r="D2" s="780"/>
      <c r="E2" s="780"/>
      <c r="F2" s="780"/>
      <c r="G2" s="780"/>
      <c r="H2" s="780"/>
      <c r="I2" s="780"/>
      <c r="J2" s="780"/>
      <c r="K2" s="780"/>
      <c r="L2" s="780"/>
      <c r="M2" s="780"/>
      <c r="N2" s="780"/>
      <c r="O2" s="780"/>
      <c r="P2" s="780"/>
      <c r="Q2" s="780"/>
      <c r="R2" s="780"/>
      <c r="S2" s="780"/>
      <c r="T2" s="780"/>
    </row>
    <row r="3" spans="1:20" ht="12.75">
      <c r="A3" s="780" t="s">
        <v>2092</v>
      </c>
      <c r="B3" s="780"/>
      <c r="C3" s="780"/>
      <c r="D3" s="780"/>
      <c r="E3" s="780"/>
      <c r="F3" s="780"/>
      <c r="G3" s="780"/>
      <c r="H3" s="780"/>
      <c r="I3" s="780"/>
      <c r="J3" s="780"/>
      <c r="K3" s="780"/>
      <c r="L3" s="780"/>
      <c r="M3" s="780"/>
      <c r="N3" s="780"/>
      <c r="O3" s="780"/>
      <c r="P3" s="780"/>
      <c r="Q3" s="780"/>
      <c r="R3" s="780"/>
      <c r="S3" s="780"/>
      <c r="T3" s="780"/>
    </row>
    <row r="4" spans="1:20" ht="12.75">
      <c r="A4" s="780" t="s">
        <v>2093</v>
      </c>
      <c r="B4" s="780"/>
      <c r="C4" s="780"/>
      <c r="D4" s="780"/>
      <c r="E4" s="780"/>
      <c r="F4" s="780"/>
      <c r="G4" s="780"/>
      <c r="H4" s="780"/>
      <c r="I4" s="780"/>
      <c r="J4" s="780"/>
      <c r="K4" s="780"/>
      <c r="L4" s="780"/>
      <c r="M4" s="780"/>
      <c r="N4" s="780"/>
      <c r="O4" s="780"/>
      <c r="P4" s="780"/>
      <c r="Q4" s="780"/>
      <c r="R4" s="780"/>
      <c r="S4" s="780"/>
      <c r="T4" s="780"/>
    </row>
    <row r="5" spans="1:20" ht="12.75">
      <c r="A5" s="780" t="s">
        <v>1370</v>
      </c>
      <c r="B5" s="780"/>
      <c r="C5" s="780"/>
      <c r="D5" s="780"/>
      <c r="E5" s="780"/>
      <c r="F5" s="780"/>
      <c r="G5" s="780"/>
      <c r="H5" s="780"/>
      <c r="I5" s="780"/>
      <c r="J5" s="780"/>
      <c r="K5" s="780"/>
      <c r="L5" s="780"/>
      <c r="M5" s="780"/>
      <c r="N5" s="780"/>
      <c r="O5" s="780"/>
      <c r="P5" s="780"/>
      <c r="Q5" s="780"/>
      <c r="R5" s="780"/>
      <c r="S5" s="780"/>
      <c r="T5" s="780"/>
    </row>
    <row r="6" spans="1:20" ht="16.5" customHeight="1">
      <c r="A6" s="780"/>
      <c r="B6" s="780"/>
      <c r="C6" s="780"/>
      <c r="D6" s="780"/>
      <c r="E6" s="780"/>
      <c r="F6" s="780"/>
      <c r="G6" s="780"/>
      <c r="H6" s="780"/>
      <c r="I6" s="780"/>
      <c r="J6" s="780"/>
      <c r="K6" s="780"/>
      <c r="L6" s="780"/>
      <c r="M6" s="780"/>
      <c r="N6" s="780"/>
      <c r="O6" s="780"/>
      <c r="P6" s="780"/>
      <c r="Q6" s="780"/>
      <c r="R6" s="780"/>
      <c r="S6" s="780"/>
      <c r="T6" s="780"/>
    </row>
    <row r="7" spans="1:20" ht="16.5" customHeight="1">
      <c r="A7" s="780"/>
      <c r="B7" s="780"/>
      <c r="C7" s="780"/>
      <c r="D7" s="780"/>
      <c r="E7" s="780"/>
      <c r="F7" s="780"/>
      <c r="G7" s="780"/>
      <c r="H7" s="780"/>
      <c r="I7" s="780"/>
      <c r="J7" s="780"/>
      <c r="K7" s="780"/>
      <c r="L7" s="780"/>
      <c r="M7" s="780"/>
      <c r="N7" s="780"/>
      <c r="O7" s="780"/>
      <c r="P7" s="780"/>
      <c r="Q7" s="780"/>
      <c r="R7" s="780"/>
      <c r="S7" s="780"/>
      <c r="T7" s="780"/>
    </row>
    <row r="8" spans="1:20" ht="12.75">
      <c r="A8" s="592" t="s">
        <v>2094</v>
      </c>
      <c r="B8" s="592" t="s">
        <v>2095</v>
      </c>
      <c r="C8" s="592" t="s">
        <v>2096</v>
      </c>
      <c r="D8" s="592" t="s">
        <v>2097</v>
      </c>
      <c r="E8" s="780" t="s">
        <v>2098</v>
      </c>
      <c r="F8" s="780"/>
      <c r="G8" s="780"/>
      <c r="H8" s="780"/>
      <c r="I8" s="780"/>
      <c r="J8" s="780" t="s">
        <v>2099</v>
      </c>
      <c r="K8" s="780"/>
      <c r="L8" s="780"/>
      <c r="M8" s="780"/>
      <c r="N8" s="780"/>
      <c r="O8" s="780"/>
      <c r="P8" s="780"/>
      <c r="Q8" s="780"/>
      <c r="R8" s="780"/>
      <c r="S8" s="100"/>
      <c r="T8" s="780" t="s">
        <v>2101</v>
      </c>
    </row>
    <row r="9" spans="1:20" ht="72" customHeight="1">
      <c r="A9" s="836"/>
      <c r="B9" s="592"/>
      <c r="C9" s="592"/>
      <c r="D9" s="592"/>
      <c r="E9" s="99" t="s">
        <v>2102</v>
      </c>
      <c r="F9" s="106" t="s">
        <v>2103</v>
      </c>
      <c r="G9" s="99" t="s">
        <v>2104</v>
      </c>
      <c r="H9" s="107" t="s">
        <v>2105</v>
      </c>
      <c r="I9" s="99" t="s">
        <v>2102</v>
      </c>
      <c r="J9" s="106" t="s">
        <v>2106</v>
      </c>
      <c r="K9" s="99" t="s">
        <v>2107</v>
      </c>
      <c r="L9" s="99" t="s">
        <v>2108</v>
      </c>
      <c r="M9" s="99" t="s">
        <v>2109</v>
      </c>
      <c r="N9" s="99" t="s">
        <v>2104</v>
      </c>
      <c r="O9" s="99" t="s">
        <v>2110</v>
      </c>
      <c r="P9" s="99">
        <v>2012</v>
      </c>
      <c r="Q9" s="99">
        <v>2013</v>
      </c>
      <c r="R9" s="99">
        <v>2014</v>
      </c>
      <c r="S9" s="99">
        <v>2015</v>
      </c>
      <c r="T9" s="780"/>
    </row>
    <row r="10" spans="1:20" ht="51">
      <c r="A10" s="560" t="s">
        <v>1238</v>
      </c>
      <c r="B10" s="560">
        <v>12.48</v>
      </c>
      <c r="C10" s="822"/>
      <c r="D10" s="549" t="s">
        <v>1239</v>
      </c>
      <c r="E10" s="549" t="s">
        <v>1240</v>
      </c>
      <c r="F10" s="570">
        <v>0</v>
      </c>
      <c r="G10" s="570">
        <v>7</v>
      </c>
      <c r="H10" s="14" t="s">
        <v>1241</v>
      </c>
      <c r="I10" s="14" t="s">
        <v>1242</v>
      </c>
      <c r="J10" s="2">
        <v>0</v>
      </c>
      <c r="K10" s="2">
        <v>1</v>
      </c>
      <c r="L10" s="2">
        <v>1</v>
      </c>
      <c r="M10" s="2">
        <v>1</v>
      </c>
      <c r="N10" s="2">
        <v>1</v>
      </c>
      <c r="O10" s="3">
        <f>+P10+Q10+R10+S10</f>
        <v>8175000</v>
      </c>
      <c r="P10" s="3">
        <f>1250000-(P11+P12+P13+P17+P18+P14+P15+P16)</f>
        <v>910000</v>
      </c>
      <c r="Q10" s="3">
        <f>2640000-(Q11-Q12-Q13-Q17-Q18+Q14+Q15+Q16)</f>
        <v>2725000</v>
      </c>
      <c r="R10" s="3">
        <f>2842000-(R11+R12+R13+R17+R18+R14+R15+R16)</f>
        <v>1867000</v>
      </c>
      <c r="S10" s="3">
        <f>3118000-(S11+S12+S13+S17+S18+S14+S15+S16)</f>
        <v>2673000</v>
      </c>
      <c r="T10" s="10" t="s">
        <v>1243</v>
      </c>
    </row>
    <row r="11" spans="1:20" ht="89.25">
      <c r="A11" s="619"/>
      <c r="B11" s="619"/>
      <c r="C11" s="586"/>
      <c r="D11" s="549"/>
      <c r="E11" s="549"/>
      <c r="F11" s="570"/>
      <c r="G11" s="570"/>
      <c r="H11" s="14" t="s">
        <v>1244</v>
      </c>
      <c r="I11" s="14" t="s">
        <v>1245</v>
      </c>
      <c r="J11" s="2">
        <v>3</v>
      </c>
      <c r="K11" s="2">
        <v>0</v>
      </c>
      <c r="L11" s="2">
        <v>2</v>
      </c>
      <c r="M11" s="2">
        <v>2</v>
      </c>
      <c r="N11" s="2">
        <v>2</v>
      </c>
      <c r="O11" s="3">
        <f aca="true" t="shared" si="0" ref="O11:O24">+P11+Q11+R11+S11</f>
        <v>550000</v>
      </c>
      <c r="P11" s="3">
        <v>50000</v>
      </c>
      <c r="Q11" s="3">
        <v>200000</v>
      </c>
      <c r="R11" s="3">
        <v>200000</v>
      </c>
      <c r="S11" s="3">
        <v>100000</v>
      </c>
      <c r="T11" s="10" t="s">
        <v>1243</v>
      </c>
    </row>
    <row r="12" spans="1:20" ht="63.75">
      <c r="A12" s="619"/>
      <c r="B12" s="619"/>
      <c r="C12" s="586"/>
      <c r="D12" s="14" t="s">
        <v>1246</v>
      </c>
      <c r="E12" s="14" t="s">
        <v>1247</v>
      </c>
      <c r="F12" s="2">
        <v>100</v>
      </c>
      <c r="G12" s="2">
        <v>100</v>
      </c>
      <c r="H12" s="14" t="s">
        <v>1248</v>
      </c>
      <c r="I12" s="14" t="s">
        <v>1249</v>
      </c>
      <c r="J12" s="2">
        <v>1</v>
      </c>
      <c r="K12" s="2">
        <v>2</v>
      </c>
      <c r="L12" s="2">
        <v>2</v>
      </c>
      <c r="M12" s="2">
        <v>2</v>
      </c>
      <c r="N12" s="2">
        <v>2</v>
      </c>
      <c r="O12" s="3">
        <f t="shared" si="0"/>
        <v>405000</v>
      </c>
      <c r="P12" s="3">
        <v>90000</v>
      </c>
      <c r="Q12" s="3">
        <v>120000</v>
      </c>
      <c r="R12" s="3">
        <v>100000</v>
      </c>
      <c r="S12" s="3">
        <v>95000</v>
      </c>
      <c r="T12" s="10" t="s">
        <v>1243</v>
      </c>
    </row>
    <row r="13" spans="1:20" ht="63.75">
      <c r="A13" s="619"/>
      <c r="B13" s="619"/>
      <c r="C13" s="586"/>
      <c r="D13" s="14" t="s">
        <v>1250</v>
      </c>
      <c r="E13" s="14" t="s">
        <v>1251</v>
      </c>
      <c r="F13" s="2">
        <v>404</v>
      </c>
      <c r="G13" s="2">
        <v>484</v>
      </c>
      <c r="H13" s="14" t="s">
        <v>1252</v>
      </c>
      <c r="I13" s="14" t="s">
        <v>1253</v>
      </c>
      <c r="J13" s="2">
        <v>1</v>
      </c>
      <c r="K13" s="2">
        <v>1</v>
      </c>
      <c r="L13" s="2">
        <v>1</v>
      </c>
      <c r="M13" s="2">
        <v>1</v>
      </c>
      <c r="N13" s="2">
        <v>1</v>
      </c>
      <c r="O13" s="3">
        <f t="shared" si="0"/>
        <v>600000</v>
      </c>
      <c r="P13" s="3">
        <v>150000</v>
      </c>
      <c r="Q13" s="3">
        <v>200000</v>
      </c>
      <c r="R13" s="3">
        <v>150000</v>
      </c>
      <c r="S13" s="3">
        <v>100000</v>
      </c>
      <c r="T13" s="10" t="s">
        <v>1243</v>
      </c>
    </row>
    <row r="14" spans="1:20" ht="38.25">
      <c r="A14" s="619"/>
      <c r="B14" s="619"/>
      <c r="C14" s="586"/>
      <c r="D14" s="560" t="s">
        <v>1254</v>
      </c>
      <c r="E14" s="560" t="s">
        <v>1255</v>
      </c>
      <c r="F14" s="661">
        <v>0</v>
      </c>
      <c r="G14" s="661">
        <v>1</v>
      </c>
      <c r="H14" s="10" t="s">
        <v>1256</v>
      </c>
      <c r="I14" s="10" t="s">
        <v>1257</v>
      </c>
      <c r="J14" s="2">
        <v>0</v>
      </c>
      <c r="K14" s="2">
        <v>20</v>
      </c>
      <c r="L14" s="2">
        <v>20</v>
      </c>
      <c r="M14" s="2">
        <v>20</v>
      </c>
      <c r="N14" s="2">
        <v>20</v>
      </c>
      <c r="O14" s="3">
        <f t="shared" si="0"/>
        <v>230000</v>
      </c>
      <c r="P14" s="3">
        <v>50000</v>
      </c>
      <c r="Q14" s="3">
        <v>55000</v>
      </c>
      <c r="R14" s="3">
        <v>55000</v>
      </c>
      <c r="S14" s="3">
        <v>70000</v>
      </c>
      <c r="T14" s="10" t="s">
        <v>1243</v>
      </c>
    </row>
    <row r="15" spans="1:20" ht="25.5">
      <c r="A15" s="619"/>
      <c r="B15" s="619"/>
      <c r="C15" s="586"/>
      <c r="D15" s="604"/>
      <c r="E15" s="604"/>
      <c r="F15" s="662"/>
      <c r="G15" s="662"/>
      <c r="H15" s="10" t="s">
        <v>1258</v>
      </c>
      <c r="I15" s="10" t="s">
        <v>1259</v>
      </c>
      <c r="J15" s="2">
        <v>0</v>
      </c>
      <c r="K15" s="2">
        <v>0</v>
      </c>
      <c r="L15" s="2">
        <v>13</v>
      </c>
      <c r="M15" s="2">
        <v>13</v>
      </c>
      <c r="N15" s="2">
        <v>13</v>
      </c>
      <c r="O15" s="3">
        <f t="shared" si="0"/>
        <v>100000</v>
      </c>
      <c r="P15" s="3">
        <v>0</v>
      </c>
      <c r="Q15" s="3">
        <v>100000</v>
      </c>
      <c r="R15" s="3">
        <v>0</v>
      </c>
      <c r="S15" s="3">
        <v>0</v>
      </c>
      <c r="T15" s="10" t="s">
        <v>1243</v>
      </c>
    </row>
    <row r="16" spans="1:20" ht="102">
      <c r="A16" s="619"/>
      <c r="B16" s="619"/>
      <c r="C16" s="586"/>
      <c r="D16" s="14" t="s">
        <v>1260</v>
      </c>
      <c r="E16" s="14" t="s">
        <v>1261</v>
      </c>
      <c r="F16" s="2">
        <v>0</v>
      </c>
      <c r="G16" s="2">
        <v>1</v>
      </c>
      <c r="H16" s="10" t="s">
        <v>44</v>
      </c>
      <c r="I16" s="10" t="s">
        <v>45</v>
      </c>
      <c r="J16" s="2">
        <v>0</v>
      </c>
      <c r="K16" s="2">
        <v>0</v>
      </c>
      <c r="L16" s="2">
        <v>0</v>
      </c>
      <c r="M16" s="2">
        <v>1</v>
      </c>
      <c r="N16" s="2">
        <v>1</v>
      </c>
      <c r="O16" s="3">
        <f t="shared" si="0"/>
        <v>400000</v>
      </c>
      <c r="P16" s="3">
        <v>0</v>
      </c>
      <c r="Q16" s="3">
        <v>0</v>
      </c>
      <c r="R16" s="3">
        <v>400000</v>
      </c>
      <c r="S16" s="3">
        <v>0</v>
      </c>
      <c r="T16" s="10" t="s">
        <v>1243</v>
      </c>
    </row>
    <row r="17" spans="1:20" ht="51">
      <c r="A17" s="619"/>
      <c r="B17" s="619"/>
      <c r="C17" s="586"/>
      <c r="D17" s="560" t="s">
        <v>46</v>
      </c>
      <c r="E17" s="560" t="s">
        <v>47</v>
      </c>
      <c r="F17" s="560">
        <v>8</v>
      </c>
      <c r="G17" s="560">
        <v>24</v>
      </c>
      <c r="H17" s="10" t="s">
        <v>48</v>
      </c>
      <c r="I17" s="10" t="s">
        <v>49</v>
      </c>
      <c r="J17" s="2">
        <v>0</v>
      </c>
      <c r="K17" s="2">
        <v>0</v>
      </c>
      <c r="L17" s="2">
        <v>1</v>
      </c>
      <c r="M17" s="2">
        <v>1</v>
      </c>
      <c r="N17" s="2">
        <v>1</v>
      </c>
      <c r="O17" s="3">
        <f t="shared" si="0"/>
        <v>60000</v>
      </c>
      <c r="P17" s="3">
        <v>0</v>
      </c>
      <c r="Q17" s="3">
        <v>60000</v>
      </c>
      <c r="R17" s="3">
        <v>0</v>
      </c>
      <c r="S17" s="3">
        <v>0</v>
      </c>
      <c r="T17" s="10" t="s">
        <v>1243</v>
      </c>
    </row>
    <row r="18" spans="1:20" ht="38.25">
      <c r="A18" s="604"/>
      <c r="B18" s="604"/>
      <c r="C18" s="823"/>
      <c r="D18" s="604"/>
      <c r="E18" s="604"/>
      <c r="F18" s="604"/>
      <c r="G18" s="604"/>
      <c r="H18" s="10" t="s">
        <v>50</v>
      </c>
      <c r="I18" s="10" t="s">
        <v>51</v>
      </c>
      <c r="J18" s="2">
        <v>0</v>
      </c>
      <c r="K18" s="2">
        <v>0</v>
      </c>
      <c r="L18" s="2">
        <v>500</v>
      </c>
      <c r="M18" s="2">
        <v>1100</v>
      </c>
      <c r="N18" s="2">
        <v>2000</v>
      </c>
      <c r="O18" s="3">
        <f t="shared" si="0"/>
        <v>210000</v>
      </c>
      <c r="P18" s="3">
        <v>0</v>
      </c>
      <c r="Q18" s="3">
        <v>60000</v>
      </c>
      <c r="R18" s="3">
        <v>70000</v>
      </c>
      <c r="S18" s="3">
        <v>80000</v>
      </c>
      <c r="T18" s="10" t="s">
        <v>1243</v>
      </c>
    </row>
    <row r="19" spans="1:20" ht="38.25">
      <c r="A19" s="549" t="s">
        <v>52</v>
      </c>
      <c r="B19" s="549">
        <v>3.48</v>
      </c>
      <c r="C19" s="721"/>
      <c r="D19" s="549" t="s">
        <v>1281</v>
      </c>
      <c r="E19" s="549" t="s">
        <v>1282</v>
      </c>
      <c r="F19" s="570">
        <v>70</v>
      </c>
      <c r="G19" s="570">
        <v>90</v>
      </c>
      <c r="H19" s="10" t="s">
        <v>1283</v>
      </c>
      <c r="I19" s="78" t="s">
        <v>1284</v>
      </c>
      <c r="J19" s="2">
        <v>0</v>
      </c>
      <c r="K19" s="2">
        <v>0</v>
      </c>
      <c r="L19" s="2">
        <v>100</v>
      </c>
      <c r="M19" s="2">
        <v>300</v>
      </c>
      <c r="N19" s="2">
        <v>500</v>
      </c>
      <c r="O19" s="3">
        <f t="shared" si="0"/>
        <v>345000</v>
      </c>
      <c r="P19" s="3">
        <f>600000-(P21+P22+P23+P24)</f>
        <v>50000</v>
      </c>
      <c r="Q19" s="3">
        <f>650000-(+Q21+Q22+Q23+Q24)</f>
        <v>50000</v>
      </c>
      <c r="R19" s="3">
        <f>745000-(R21+R22+R23+R24)</f>
        <v>95000</v>
      </c>
      <c r="S19" s="3">
        <f>750000-(+S21+S22+S23+S24)</f>
        <v>150000</v>
      </c>
      <c r="T19" s="10" t="s">
        <v>1243</v>
      </c>
    </row>
    <row r="20" spans="1:20" ht="63.75">
      <c r="A20" s="549"/>
      <c r="B20" s="549"/>
      <c r="C20" s="721"/>
      <c r="D20" s="549"/>
      <c r="E20" s="549"/>
      <c r="F20" s="570"/>
      <c r="G20" s="570"/>
      <c r="H20" s="14" t="s">
        <v>1285</v>
      </c>
      <c r="I20" s="14" t="s">
        <v>1286</v>
      </c>
      <c r="J20" s="2">
        <v>0</v>
      </c>
      <c r="K20" s="2">
        <v>0</v>
      </c>
      <c r="L20" s="2">
        <v>0</v>
      </c>
      <c r="M20" s="2">
        <v>30</v>
      </c>
      <c r="N20" s="2">
        <v>60</v>
      </c>
      <c r="O20" s="13">
        <f t="shared" si="0"/>
        <v>0</v>
      </c>
      <c r="P20" s="13">
        <v>0</v>
      </c>
      <c r="Q20" s="13">
        <v>0</v>
      </c>
      <c r="R20" s="13">
        <v>0</v>
      </c>
      <c r="S20" s="13">
        <v>0</v>
      </c>
      <c r="T20" s="10" t="s">
        <v>1243</v>
      </c>
    </row>
    <row r="21" spans="1:20" ht="89.25">
      <c r="A21" s="549"/>
      <c r="B21" s="549"/>
      <c r="C21" s="721"/>
      <c r="D21" s="549"/>
      <c r="E21" s="549"/>
      <c r="F21" s="570"/>
      <c r="G21" s="570"/>
      <c r="H21" s="14" t="s">
        <v>1287</v>
      </c>
      <c r="I21" s="14" t="s">
        <v>1288</v>
      </c>
      <c r="J21" s="2">
        <v>0</v>
      </c>
      <c r="K21" s="2">
        <v>0</v>
      </c>
      <c r="L21" s="2">
        <v>0</v>
      </c>
      <c r="M21" s="2">
        <v>1</v>
      </c>
      <c r="N21" s="2">
        <v>1</v>
      </c>
      <c r="O21" s="3">
        <f t="shared" si="0"/>
        <v>700000</v>
      </c>
      <c r="P21" s="3">
        <v>150000</v>
      </c>
      <c r="Q21" s="3">
        <v>150000</v>
      </c>
      <c r="R21" s="3">
        <v>300000</v>
      </c>
      <c r="S21" s="3">
        <v>100000</v>
      </c>
      <c r="T21" s="10" t="s">
        <v>1243</v>
      </c>
    </row>
    <row r="22" spans="1:20" ht="51">
      <c r="A22" s="549"/>
      <c r="B22" s="549"/>
      <c r="C22" s="721"/>
      <c r="D22" s="549"/>
      <c r="E22" s="549"/>
      <c r="F22" s="570"/>
      <c r="G22" s="570"/>
      <c r="H22" s="14" t="s">
        <v>1289</v>
      </c>
      <c r="I22" s="14" t="s">
        <v>1290</v>
      </c>
      <c r="J22" s="2">
        <v>1</v>
      </c>
      <c r="K22" s="2">
        <v>0</v>
      </c>
      <c r="L22" s="2">
        <v>0</v>
      </c>
      <c r="M22" s="2">
        <v>1</v>
      </c>
      <c r="N22" s="2">
        <v>1</v>
      </c>
      <c r="O22" s="3">
        <f t="shared" si="0"/>
        <v>700000</v>
      </c>
      <c r="P22" s="3">
        <v>100000</v>
      </c>
      <c r="Q22" s="3">
        <v>100000</v>
      </c>
      <c r="R22" s="3">
        <v>100000</v>
      </c>
      <c r="S22" s="3">
        <v>400000</v>
      </c>
      <c r="T22" s="10" t="s">
        <v>1243</v>
      </c>
    </row>
    <row r="23" spans="1:20" ht="51">
      <c r="A23" s="549"/>
      <c r="B23" s="549"/>
      <c r="C23" s="721"/>
      <c r="D23" s="549"/>
      <c r="E23" s="549"/>
      <c r="F23" s="570"/>
      <c r="G23" s="570"/>
      <c r="H23" s="14" t="s">
        <v>1291</v>
      </c>
      <c r="I23" s="14" t="s">
        <v>1292</v>
      </c>
      <c r="J23" s="2">
        <v>0</v>
      </c>
      <c r="K23" s="2">
        <v>0</v>
      </c>
      <c r="L23" s="2">
        <v>0</v>
      </c>
      <c r="M23" s="2">
        <v>30</v>
      </c>
      <c r="N23" s="2">
        <v>30</v>
      </c>
      <c r="O23" s="3">
        <f t="shared" si="0"/>
        <v>550000</v>
      </c>
      <c r="P23" s="3">
        <v>200000</v>
      </c>
      <c r="Q23" s="3">
        <v>200000</v>
      </c>
      <c r="R23" s="3">
        <v>150000</v>
      </c>
      <c r="S23" s="3">
        <v>0</v>
      </c>
      <c r="T23" s="10" t="s">
        <v>1243</v>
      </c>
    </row>
    <row r="24" spans="1:20" ht="38.25">
      <c r="A24" s="549"/>
      <c r="B24" s="549"/>
      <c r="C24" s="721"/>
      <c r="D24" s="549"/>
      <c r="E24" s="549"/>
      <c r="F24" s="570"/>
      <c r="G24" s="570"/>
      <c r="H24" s="14" t="s">
        <v>1293</v>
      </c>
      <c r="I24" s="14" t="s">
        <v>1294</v>
      </c>
      <c r="J24" s="2">
        <v>0</v>
      </c>
      <c r="K24" s="2">
        <v>0</v>
      </c>
      <c r="L24" s="2">
        <v>0</v>
      </c>
      <c r="M24" s="2">
        <v>0</v>
      </c>
      <c r="N24" s="2">
        <v>1</v>
      </c>
      <c r="O24" s="3">
        <f t="shared" si="0"/>
        <v>450000</v>
      </c>
      <c r="P24" s="3">
        <v>100000</v>
      </c>
      <c r="Q24" s="3">
        <v>150000</v>
      </c>
      <c r="R24" s="3">
        <v>100000</v>
      </c>
      <c r="S24" s="3">
        <v>100000</v>
      </c>
      <c r="T24" s="10" t="s">
        <v>1243</v>
      </c>
    </row>
    <row r="25" spans="1:20" ht="51">
      <c r="A25" s="549" t="s">
        <v>1295</v>
      </c>
      <c r="B25" s="549">
        <v>10.43</v>
      </c>
      <c r="C25" s="721"/>
      <c r="D25" s="549" t="s">
        <v>1296</v>
      </c>
      <c r="E25" s="549" t="s">
        <v>1297</v>
      </c>
      <c r="F25" s="570">
        <v>3</v>
      </c>
      <c r="G25" s="570">
        <v>5</v>
      </c>
      <c r="H25" s="14" t="s">
        <v>1298</v>
      </c>
      <c r="I25" s="14" t="s">
        <v>1299</v>
      </c>
      <c r="J25" s="2">
        <v>3</v>
      </c>
      <c r="K25" s="2">
        <v>0</v>
      </c>
      <c r="L25" s="2">
        <v>1</v>
      </c>
      <c r="M25" s="2">
        <v>1</v>
      </c>
      <c r="N25" s="2">
        <v>0</v>
      </c>
      <c r="O25" s="3">
        <f aca="true" t="shared" si="1" ref="O25:O35">+P25+Q25+R25+S25</f>
        <v>3078000</v>
      </c>
      <c r="P25" s="3">
        <f>1968000-(+P26+P27+P28+P30+P31+P32+P33+P34+P35)</f>
        <v>1623000</v>
      </c>
      <c r="Q25" s="3">
        <f>2027000-(+Q26+Q27+Q28+Q30+Q31+Q32+Q33+Q34+Q35)</f>
        <v>717000</v>
      </c>
      <c r="R25" s="3">
        <f>2088000-(R26+R27+R28+R30+R31+R32+R33+R34+R35)</f>
        <v>203000</v>
      </c>
      <c r="S25" s="3">
        <f>2150000-(+S26+S27+S28+S30+S31+S32+S33+S34+S35)</f>
        <v>535000</v>
      </c>
      <c r="T25" s="10" t="s">
        <v>1300</v>
      </c>
    </row>
    <row r="26" spans="1:20" ht="38.25">
      <c r="A26" s="549"/>
      <c r="B26" s="549"/>
      <c r="C26" s="721"/>
      <c r="D26" s="549"/>
      <c r="E26" s="549"/>
      <c r="F26" s="570"/>
      <c r="G26" s="570"/>
      <c r="H26" s="14" t="s">
        <v>1301</v>
      </c>
      <c r="I26" s="14" t="s">
        <v>1302</v>
      </c>
      <c r="J26" s="2">
        <v>3</v>
      </c>
      <c r="K26" s="2">
        <v>3</v>
      </c>
      <c r="L26" s="2">
        <v>3</v>
      </c>
      <c r="M26" s="2">
        <v>4</v>
      </c>
      <c r="N26" s="2">
        <v>5</v>
      </c>
      <c r="O26" s="3">
        <f t="shared" si="1"/>
        <v>550000</v>
      </c>
      <c r="P26" s="3">
        <v>100000</v>
      </c>
      <c r="Q26" s="3">
        <v>100000</v>
      </c>
      <c r="R26" s="3">
        <v>150000</v>
      </c>
      <c r="S26" s="3">
        <v>200000</v>
      </c>
      <c r="T26" s="10" t="s">
        <v>1300</v>
      </c>
    </row>
    <row r="27" spans="1:20" ht="38.25">
      <c r="A27" s="549"/>
      <c r="B27" s="549"/>
      <c r="C27" s="721"/>
      <c r="D27" s="14" t="s">
        <v>1303</v>
      </c>
      <c r="E27" s="14" t="s">
        <v>1304</v>
      </c>
      <c r="F27" s="2">
        <v>72</v>
      </c>
      <c r="G27" s="2">
        <v>114</v>
      </c>
      <c r="H27" s="2" t="s">
        <v>1305</v>
      </c>
      <c r="I27" s="10" t="s">
        <v>1306</v>
      </c>
      <c r="J27" s="2">
        <v>72</v>
      </c>
      <c r="K27" s="2">
        <v>57</v>
      </c>
      <c r="L27" s="2">
        <v>65</v>
      </c>
      <c r="M27" s="2">
        <v>80</v>
      </c>
      <c r="N27" s="2">
        <v>114</v>
      </c>
      <c r="O27" s="3">
        <f t="shared" si="1"/>
        <v>1080000</v>
      </c>
      <c r="P27" s="3">
        <v>110000</v>
      </c>
      <c r="Q27" s="3">
        <v>250000</v>
      </c>
      <c r="R27" s="3">
        <v>320000</v>
      </c>
      <c r="S27" s="3">
        <v>400000</v>
      </c>
      <c r="T27" s="10" t="s">
        <v>1300</v>
      </c>
    </row>
    <row r="28" spans="1:20" ht="51">
      <c r="A28" s="549"/>
      <c r="B28" s="549"/>
      <c r="C28" s="721"/>
      <c r="D28" s="560" t="s">
        <v>1307</v>
      </c>
      <c r="E28" s="560" t="s">
        <v>1308</v>
      </c>
      <c r="F28" s="661">
        <v>10</v>
      </c>
      <c r="G28" s="661">
        <v>13</v>
      </c>
      <c r="H28" s="2" t="s">
        <v>1309</v>
      </c>
      <c r="I28" s="10" t="s">
        <v>1310</v>
      </c>
      <c r="J28" s="2">
        <v>10</v>
      </c>
      <c r="K28" s="2">
        <v>0</v>
      </c>
      <c r="L28" s="2">
        <v>1</v>
      </c>
      <c r="M28" s="2">
        <v>1</v>
      </c>
      <c r="N28" s="2">
        <v>0</v>
      </c>
      <c r="O28" s="3">
        <f t="shared" si="1"/>
        <v>950000</v>
      </c>
      <c r="P28" s="3">
        <v>0</v>
      </c>
      <c r="Q28" s="3">
        <v>300000</v>
      </c>
      <c r="R28" s="3">
        <v>350000</v>
      </c>
      <c r="S28" s="3">
        <v>300000</v>
      </c>
      <c r="T28" s="10" t="s">
        <v>1300</v>
      </c>
    </row>
    <row r="29" spans="1:20" ht="89.25">
      <c r="A29" s="549"/>
      <c r="B29" s="549"/>
      <c r="C29" s="721"/>
      <c r="D29" s="604"/>
      <c r="E29" s="604"/>
      <c r="F29" s="662"/>
      <c r="G29" s="662"/>
      <c r="H29" s="2" t="s">
        <v>1311</v>
      </c>
      <c r="I29" s="10" t="s">
        <v>1312</v>
      </c>
      <c r="J29" s="2">
        <v>1</v>
      </c>
      <c r="K29" s="2">
        <v>1</v>
      </c>
      <c r="L29" s="2">
        <v>0</v>
      </c>
      <c r="M29" s="2">
        <v>0</v>
      </c>
      <c r="N29" s="2">
        <v>0</v>
      </c>
      <c r="O29" s="3">
        <f t="shared" si="1"/>
        <v>90000</v>
      </c>
      <c r="P29" s="3">
        <v>90000</v>
      </c>
      <c r="Q29" s="3">
        <v>0</v>
      </c>
      <c r="R29" s="3">
        <v>0</v>
      </c>
      <c r="S29" s="3">
        <v>0</v>
      </c>
      <c r="T29" s="10" t="s">
        <v>1300</v>
      </c>
    </row>
    <row r="30" spans="1:20" ht="76.5">
      <c r="A30" s="549"/>
      <c r="B30" s="549"/>
      <c r="C30" s="721"/>
      <c r="D30" s="14" t="s">
        <v>1313</v>
      </c>
      <c r="E30" s="14" t="s">
        <v>1314</v>
      </c>
      <c r="F30" s="2">
        <v>3</v>
      </c>
      <c r="G30" s="2">
        <v>5</v>
      </c>
      <c r="H30" s="2" t="s">
        <v>1315</v>
      </c>
      <c r="I30" s="10" t="s">
        <v>1316</v>
      </c>
      <c r="J30" s="2">
        <v>0</v>
      </c>
      <c r="K30" s="2">
        <v>0</v>
      </c>
      <c r="L30" s="2">
        <v>1</v>
      </c>
      <c r="M30" s="2">
        <v>2</v>
      </c>
      <c r="N30" s="2">
        <v>1</v>
      </c>
      <c r="O30" s="3">
        <f t="shared" si="1"/>
        <v>1900000</v>
      </c>
      <c r="P30" s="3">
        <v>0</v>
      </c>
      <c r="Q30" s="3">
        <v>500000</v>
      </c>
      <c r="R30" s="3">
        <v>900000</v>
      </c>
      <c r="S30" s="3">
        <v>500000</v>
      </c>
      <c r="T30" s="10" t="s">
        <v>1317</v>
      </c>
    </row>
    <row r="31" spans="1:20" ht="63.75">
      <c r="A31" s="549"/>
      <c r="B31" s="549"/>
      <c r="C31" s="721"/>
      <c r="D31" s="549" t="s">
        <v>1318</v>
      </c>
      <c r="E31" s="549" t="s">
        <v>1319</v>
      </c>
      <c r="F31" s="570">
        <v>2500</v>
      </c>
      <c r="G31" s="570">
        <v>3100</v>
      </c>
      <c r="H31" s="14" t="s">
        <v>1320</v>
      </c>
      <c r="I31" s="14" t="s">
        <v>1321</v>
      </c>
      <c r="J31" s="2">
        <v>2500</v>
      </c>
      <c r="K31" s="2">
        <v>50</v>
      </c>
      <c r="L31" s="2">
        <v>50</v>
      </c>
      <c r="M31" s="2">
        <v>50</v>
      </c>
      <c r="N31" s="2">
        <v>50</v>
      </c>
      <c r="O31" s="3">
        <f t="shared" si="1"/>
        <v>80000</v>
      </c>
      <c r="P31" s="3">
        <v>15000</v>
      </c>
      <c r="Q31" s="3">
        <v>20000</v>
      </c>
      <c r="R31" s="3">
        <v>20000</v>
      </c>
      <c r="S31" s="3">
        <v>25000</v>
      </c>
      <c r="T31" s="10" t="s">
        <v>1300</v>
      </c>
    </row>
    <row r="32" spans="1:20" ht="38.25">
      <c r="A32" s="549"/>
      <c r="B32" s="549"/>
      <c r="C32" s="721"/>
      <c r="D32" s="549"/>
      <c r="E32" s="549"/>
      <c r="F32" s="570"/>
      <c r="G32" s="570"/>
      <c r="H32" s="14" t="s">
        <v>1322</v>
      </c>
      <c r="I32" s="14" t="s">
        <v>1323</v>
      </c>
      <c r="J32" s="2">
        <v>1200</v>
      </c>
      <c r="K32" s="2">
        <v>100</v>
      </c>
      <c r="L32" s="2">
        <v>100</v>
      </c>
      <c r="M32" s="2">
        <v>100</v>
      </c>
      <c r="N32" s="2">
        <v>100</v>
      </c>
      <c r="O32" s="3">
        <f t="shared" si="1"/>
        <v>135000</v>
      </c>
      <c r="P32" s="3">
        <v>30000</v>
      </c>
      <c r="Q32" s="3">
        <v>30000</v>
      </c>
      <c r="R32" s="3">
        <v>35000</v>
      </c>
      <c r="S32" s="3">
        <v>40000</v>
      </c>
      <c r="T32" s="10" t="s">
        <v>1300</v>
      </c>
    </row>
    <row r="33" spans="1:20" ht="76.5">
      <c r="A33" s="549"/>
      <c r="B33" s="549"/>
      <c r="C33" s="721"/>
      <c r="D33" s="549"/>
      <c r="E33" s="549"/>
      <c r="F33" s="570"/>
      <c r="G33" s="570"/>
      <c r="H33" s="14" t="s">
        <v>1324</v>
      </c>
      <c r="I33" s="14" t="s">
        <v>1325</v>
      </c>
      <c r="J33" s="2">
        <v>300</v>
      </c>
      <c r="K33" s="2">
        <v>40</v>
      </c>
      <c r="L33" s="2">
        <v>80</v>
      </c>
      <c r="M33" s="2">
        <v>80</v>
      </c>
      <c r="N33" s="2">
        <v>100</v>
      </c>
      <c r="O33" s="3">
        <f t="shared" si="1"/>
        <v>210000</v>
      </c>
      <c r="P33" s="3">
        <v>30000</v>
      </c>
      <c r="Q33" s="3">
        <v>50000</v>
      </c>
      <c r="R33" s="3">
        <v>50000</v>
      </c>
      <c r="S33" s="3">
        <v>80000</v>
      </c>
      <c r="T33" s="10" t="s">
        <v>1300</v>
      </c>
    </row>
    <row r="34" spans="1:20" ht="51">
      <c r="A34" s="549"/>
      <c r="B34" s="549"/>
      <c r="C34" s="721"/>
      <c r="D34" s="14" t="s">
        <v>1326</v>
      </c>
      <c r="E34" s="14" t="s">
        <v>1327</v>
      </c>
      <c r="F34" s="2">
        <v>4</v>
      </c>
      <c r="G34" s="2">
        <v>8</v>
      </c>
      <c r="H34" s="2" t="s">
        <v>1328</v>
      </c>
      <c r="I34" s="10" t="s">
        <v>1329</v>
      </c>
      <c r="J34" s="2">
        <v>4</v>
      </c>
      <c r="K34" s="2">
        <v>1</v>
      </c>
      <c r="L34" s="2">
        <v>1</v>
      </c>
      <c r="M34" s="2">
        <v>1</v>
      </c>
      <c r="N34" s="2">
        <v>1</v>
      </c>
      <c r="O34" s="3">
        <f t="shared" si="1"/>
        <v>40000</v>
      </c>
      <c r="P34" s="3">
        <v>10000</v>
      </c>
      <c r="Q34" s="3">
        <v>10000</v>
      </c>
      <c r="R34" s="3">
        <v>10000</v>
      </c>
      <c r="S34" s="3">
        <v>10000</v>
      </c>
      <c r="T34" s="10" t="s">
        <v>1300</v>
      </c>
    </row>
    <row r="35" spans="1:20" ht="63.75">
      <c r="A35" s="549"/>
      <c r="B35" s="549"/>
      <c r="C35" s="721"/>
      <c r="D35" s="14" t="s">
        <v>1330</v>
      </c>
      <c r="E35" s="14" t="s">
        <v>1331</v>
      </c>
      <c r="F35" s="2">
        <v>0</v>
      </c>
      <c r="G35" s="2">
        <v>1</v>
      </c>
      <c r="H35" s="2" t="s">
        <v>1332</v>
      </c>
      <c r="I35" s="10" t="s">
        <v>1333</v>
      </c>
      <c r="J35" s="2">
        <v>1</v>
      </c>
      <c r="K35" s="2">
        <v>1</v>
      </c>
      <c r="L35" s="2">
        <v>1</v>
      </c>
      <c r="M35" s="2">
        <v>1</v>
      </c>
      <c r="N35" s="2">
        <v>1</v>
      </c>
      <c r="O35" s="3">
        <f t="shared" si="1"/>
        <v>210000</v>
      </c>
      <c r="P35" s="3">
        <v>50000</v>
      </c>
      <c r="Q35" s="3">
        <v>50000</v>
      </c>
      <c r="R35" s="3">
        <v>50000</v>
      </c>
      <c r="S35" s="3">
        <v>60000</v>
      </c>
      <c r="T35" s="10" t="s">
        <v>1300</v>
      </c>
    </row>
    <row r="36" spans="1:20" ht="38.25">
      <c r="A36" s="549" t="s">
        <v>1334</v>
      </c>
      <c r="B36" s="560"/>
      <c r="C36" s="822"/>
      <c r="D36" s="560" t="s">
        <v>1335</v>
      </c>
      <c r="E36" s="560" t="s">
        <v>1336</v>
      </c>
      <c r="F36" s="570">
        <v>4000</v>
      </c>
      <c r="G36" s="570">
        <v>2000</v>
      </c>
      <c r="H36" s="195" t="s">
        <v>1337</v>
      </c>
      <c r="I36" s="14" t="s">
        <v>2388</v>
      </c>
      <c r="J36" s="2"/>
      <c r="K36" s="79">
        <v>15000</v>
      </c>
      <c r="L36" s="79">
        <v>30000</v>
      </c>
      <c r="M36" s="79">
        <v>45000</v>
      </c>
      <c r="N36" s="79">
        <v>60000</v>
      </c>
      <c r="O36" s="3">
        <f>+P36+Q36+R36+S36</f>
        <v>1140000</v>
      </c>
      <c r="P36" s="3">
        <f>18*15000</f>
        <v>270000</v>
      </c>
      <c r="Q36" s="3">
        <v>280000</v>
      </c>
      <c r="R36" s="3">
        <v>290000</v>
      </c>
      <c r="S36" s="3">
        <v>300000</v>
      </c>
      <c r="T36" s="10" t="s">
        <v>1652</v>
      </c>
    </row>
    <row r="37" spans="1:20" ht="51">
      <c r="A37" s="549"/>
      <c r="B37" s="619"/>
      <c r="C37" s="586"/>
      <c r="D37" s="619"/>
      <c r="E37" s="619"/>
      <c r="F37" s="570"/>
      <c r="G37" s="570"/>
      <c r="H37" s="195" t="s">
        <v>1338</v>
      </c>
      <c r="I37" s="14" t="s">
        <v>1339</v>
      </c>
      <c r="J37" s="2"/>
      <c r="K37" s="2">
        <v>25000</v>
      </c>
      <c r="L37" s="2">
        <v>50000</v>
      </c>
      <c r="M37" s="2">
        <v>75000</v>
      </c>
      <c r="N37" s="2">
        <v>100000</v>
      </c>
      <c r="O37" s="3">
        <f>+P37+Q37+R37+S37</f>
        <v>158000</v>
      </c>
      <c r="P37" s="3">
        <v>38000</v>
      </c>
      <c r="Q37" s="3">
        <v>39000</v>
      </c>
      <c r="R37" s="3">
        <v>40000</v>
      </c>
      <c r="S37" s="3">
        <v>41000</v>
      </c>
      <c r="T37" s="10" t="s">
        <v>1652</v>
      </c>
    </row>
    <row r="38" spans="1:20" ht="25.5">
      <c r="A38" s="549"/>
      <c r="B38" s="619"/>
      <c r="C38" s="586"/>
      <c r="D38" s="619"/>
      <c r="E38" s="619"/>
      <c r="F38" s="570"/>
      <c r="G38" s="570"/>
      <c r="H38" s="195" t="s">
        <v>1340</v>
      </c>
      <c r="I38" s="14" t="s">
        <v>1341</v>
      </c>
      <c r="J38" s="2"/>
      <c r="K38" s="2">
        <v>300</v>
      </c>
      <c r="L38" s="2">
        <v>600</v>
      </c>
      <c r="M38" s="2">
        <v>900</v>
      </c>
      <c r="N38" s="2">
        <v>1200</v>
      </c>
      <c r="O38" s="3">
        <f>+P38+Q38+R38+S38</f>
        <v>252000</v>
      </c>
      <c r="P38" s="3">
        <f>200*300</f>
        <v>60000</v>
      </c>
      <c r="Q38" s="3">
        <v>62000</v>
      </c>
      <c r="R38" s="3">
        <v>64000</v>
      </c>
      <c r="S38" s="3">
        <v>66000</v>
      </c>
      <c r="T38" s="10" t="s">
        <v>1652</v>
      </c>
    </row>
    <row r="39" spans="1:20" ht="102">
      <c r="A39" s="549"/>
      <c r="B39" s="619"/>
      <c r="C39" s="586"/>
      <c r="D39" s="604"/>
      <c r="E39" s="604"/>
      <c r="F39" s="570"/>
      <c r="G39" s="570"/>
      <c r="H39" s="195" t="s">
        <v>1342</v>
      </c>
      <c r="I39" s="14" t="s">
        <v>1343</v>
      </c>
      <c r="J39" s="2"/>
      <c r="K39" s="2">
        <v>10</v>
      </c>
      <c r="L39" s="2">
        <v>30</v>
      </c>
      <c r="M39" s="2">
        <v>60</v>
      </c>
      <c r="N39" s="2">
        <v>100</v>
      </c>
      <c r="O39" s="3">
        <f>+P39+Q39+R39+S39</f>
        <v>280000</v>
      </c>
      <c r="P39" s="3">
        <v>40000</v>
      </c>
      <c r="Q39" s="3">
        <v>60000</v>
      </c>
      <c r="R39" s="3">
        <v>80000</v>
      </c>
      <c r="S39" s="3">
        <v>100000</v>
      </c>
      <c r="T39" s="10" t="s">
        <v>1652</v>
      </c>
    </row>
    <row r="40" spans="1:20" ht="85.5" customHeight="1">
      <c r="A40" s="549"/>
      <c r="B40" s="619"/>
      <c r="C40" s="586"/>
      <c r="D40" s="549" t="s">
        <v>1344</v>
      </c>
      <c r="E40" s="549" t="s">
        <v>1345</v>
      </c>
      <c r="F40" s="570">
        <v>80</v>
      </c>
      <c r="G40" s="570">
        <v>40</v>
      </c>
      <c r="H40" s="195" t="s">
        <v>1346</v>
      </c>
      <c r="I40" s="14" t="s">
        <v>2389</v>
      </c>
      <c r="J40" s="2"/>
      <c r="K40" s="2">
        <v>100</v>
      </c>
      <c r="L40" s="2">
        <v>200</v>
      </c>
      <c r="M40" s="2">
        <v>300</v>
      </c>
      <c r="N40" s="2">
        <v>400</v>
      </c>
      <c r="O40" s="3">
        <v>0</v>
      </c>
      <c r="P40" s="3" t="s">
        <v>2390</v>
      </c>
      <c r="Q40" s="3" t="s">
        <v>2390</v>
      </c>
      <c r="R40" s="3" t="s">
        <v>2390</v>
      </c>
      <c r="S40" s="3" t="s">
        <v>2390</v>
      </c>
      <c r="T40" s="10" t="s">
        <v>1652</v>
      </c>
    </row>
    <row r="41" spans="1:20" ht="85.5" customHeight="1">
      <c r="A41" s="549"/>
      <c r="B41" s="619"/>
      <c r="C41" s="586"/>
      <c r="D41" s="549"/>
      <c r="E41" s="549"/>
      <c r="F41" s="570"/>
      <c r="G41" s="570"/>
      <c r="H41" s="4" t="s">
        <v>1347</v>
      </c>
      <c r="I41" s="14" t="s">
        <v>2391</v>
      </c>
      <c r="J41" s="2"/>
      <c r="K41" s="2">
        <v>1</v>
      </c>
      <c r="L41" s="2">
        <v>2</v>
      </c>
      <c r="M41" s="2">
        <v>3</v>
      </c>
      <c r="N41" s="2">
        <v>4</v>
      </c>
      <c r="O41" s="3">
        <f>+P41+Q41+R41+S41</f>
        <v>4920000</v>
      </c>
      <c r="P41" s="3">
        <v>1200000</v>
      </c>
      <c r="Q41" s="3">
        <v>1220000</v>
      </c>
      <c r="R41" s="3">
        <v>1240000</v>
      </c>
      <c r="S41" s="3">
        <v>1260000</v>
      </c>
      <c r="T41" s="10" t="s">
        <v>1652</v>
      </c>
    </row>
    <row r="42" spans="1:20" ht="85.5" customHeight="1">
      <c r="A42" s="549"/>
      <c r="B42" s="619"/>
      <c r="C42" s="586"/>
      <c r="D42" s="549"/>
      <c r="E42" s="549"/>
      <c r="F42" s="570"/>
      <c r="G42" s="570"/>
      <c r="H42" s="195" t="s">
        <v>1348</v>
      </c>
      <c r="I42" s="14" t="s">
        <v>2392</v>
      </c>
      <c r="J42" s="2"/>
      <c r="K42" s="2">
        <v>5</v>
      </c>
      <c r="L42" s="2">
        <v>10</v>
      </c>
      <c r="M42" s="2">
        <v>15</v>
      </c>
      <c r="N42" s="2">
        <v>20</v>
      </c>
      <c r="O42" s="3">
        <f>+P42+Q42+R42+S42</f>
        <v>1260000</v>
      </c>
      <c r="P42" s="3">
        <v>300000</v>
      </c>
      <c r="Q42" s="3">
        <v>310000</v>
      </c>
      <c r="R42" s="3">
        <v>320000</v>
      </c>
      <c r="S42" s="3">
        <v>330000</v>
      </c>
      <c r="T42" s="10" t="s">
        <v>1652</v>
      </c>
    </row>
    <row r="43" spans="1:20" ht="85.5" customHeight="1">
      <c r="A43" s="549"/>
      <c r="B43" s="619"/>
      <c r="C43" s="586"/>
      <c r="D43" s="549" t="s">
        <v>1349</v>
      </c>
      <c r="E43" s="549" t="s">
        <v>2339</v>
      </c>
      <c r="F43" s="833">
        <v>0.32</v>
      </c>
      <c r="G43" s="833">
        <v>1</v>
      </c>
      <c r="H43" s="195" t="s">
        <v>2393</v>
      </c>
      <c r="I43" s="14" t="s">
        <v>2394</v>
      </c>
      <c r="J43" s="2"/>
      <c r="K43" s="2">
        <v>0</v>
      </c>
      <c r="L43" s="2">
        <v>1</v>
      </c>
      <c r="M43" s="2">
        <v>0</v>
      </c>
      <c r="N43" s="2">
        <v>0</v>
      </c>
      <c r="O43" s="3">
        <v>0</v>
      </c>
      <c r="P43" s="3">
        <v>0</v>
      </c>
      <c r="Q43" s="3" t="s">
        <v>2390</v>
      </c>
      <c r="R43" s="3">
        <v>0</v>
      </c>
      <c r="S43" s="3">
        <v>0</v>
      </c>
      <c r="T43" s="10" t="s">
        <v>1652</v>
      </c>
    </row>
    <row r="44" spans="1:20" ht="51">
      <c r="A44" s="549"/>
      <c r="B44" s="619"/>
      <c r="C44" s="586"/>
      <c r="D44" s="549"/>
      <c r="E44" s="549"/>
      <c r="F44" s="833"/>
      <c r="G44" s="833"/>
      <c r="H44" s="14" t="s">
        <v>2395</v>
      </c>
      <c r="I44" s="14" t="s">
        <v>2396</v>
      </c>
      <c r="J44" s="2"/>
      <c r="K44" s="2">
        <v>15</v>
      </c>
      <c r="L44" s="2">
        <v>30</v>
      </c>
      <c r="M44" s="2">
        <v>45</v>
      </c>
      <c r="N44" s="2">
        <v>60</v>
      </c>
      <c r="O44" s="3">
        <f>+P44+Q44+R44+S44</f>
        <v>1200000</v>
      </c>
      <c r="P44" s="3">
        <v>300000</v>
      </c>
      <c r="Q44" s="3">
        <v>300000</v>
      </c>
      <c r="R44" s="3">
        <v>300000</v>
      </c>
      <c r="S44" s="3">
        <v>300000</v>
      </c>
      <c r="T44" s="10" t="s">
        <v>1652</v>
      </c>
    </row>
    <row r="45" spans="1:20" ht="25.5">
      <c r="A45" s="549"/>
      <c r="B45" s="619"/>
      <c r="C45" s="586"/>
      <c r="D45" s="549"/>
      <c r="E45" s="549"/>
      <c r="F45" s="833"/>
      <c r="G45" s="833"/>
      <c r="H45" s="198" t="s">
        <v>2340</v>
      </c>
      <c r="I45" s="198" t="s">
        <v>2341</v>
      </c>
      <c r="J45" s="2">
        <v>6</v>
      </c>
      <c r="K45" s="2">
        <v>6</v>
      </c>
      <c r="L45" s="2">
        <v>12</v>
      </c>
      <c r="M45" s="2">
        <v>19</v>
      </c>
      <c r="N45" s="2">
        <v>25</v>
      </c>
      <c r="O45" s="3">
        <v>1000000</v>
      </c>
      <c r="P45" s="199">
        <v>243000</v>
      </c>
      <c r="Q45" s="199">
        <v>260000</v>
      </c>
      <c r="R45" s="199">
        <v>254000</v>
      </c>
      <c r="S45" s="199">
        <v>243000</v>
      </c>
      <c r="T45" s="822" t="s">
        <v>2399</v>
      </c>
    </row>
    <row r="46" spans="1:20" ht="51">
      <c r="A46" s="549"/>
      <c r="B46" s="619"/>
      <c r="C46" s="586"/>
      <c r="D46" s="549"/>
      <c r="E46" s="549"/>
      <c r="F46" s="833"/>
      <c r="G46" s="833"/>
      <c r="H46" s="198" t="s">
        <v>2342</v>
      </c>
      <c r="I46" s="198" t="s">
        <v>2343</v>
      </c>
      <c r="J46" s="2">
        <v>312</v>
      </c>
      <c r="K46" s="2">
        <v>83</v>
      </c>
      <c r="L46" s="2">
        <v>166</v>
      </c>
      <c r="M46" s="2">
        <v>249</v>
      </c>
      <c r="N46" s="2">
        <v>332</v>
      </c>
      <c r="O46" s="143">
        <v>480000</v>
      </c>
      <c r="P46" s="201">
        <v>120000</v>
      </c>
      <c r="Q46" s="201">
        <v>120000</v>
      </c>
      <c r="R46" s="201">
        <v>120000</v>
      </c>
      <c r="S46" s="201">
        <v>120000</v>
      </c>
      <c r="T46" s="823"/>
    </row>
    <row r="47" spans="1:20" ht="24" customHeight="1">
      <c r="A47" s="549"/>
      <c r="B47" s="619"/>
      <c r="C47" s="586"/>
      <c r="D47" s="619" t="s">
        <v>2344</v>
      </c>
      <c r="E47" s="619" t="s">
        <v>2345</v>
      </c>
      <c r="F47" s="832">
        <v>0</v>
      </c>
      <c r="G47" s="832">
        <v>1</v>
      </c>
      <c r="H47" s="198" t="s">
        <v>2400</v>
      </c>
      <c r="I47" s="198" t="s">
        <v>2401</v>
      </c>
      <c r="J47" s="2">
        <v>26</v>
      </c>
      <c r="K47" s="2">
        <v>5</v>
      </c>
      <c r="L47" s="2">
        <v>10</v>
      </c>
      <c r="M47" s="2">
        <v>15</v>
      </c>
      <c r="N47" s="2">
        <v>20</v>
      </c>
      <c r="O47" s="3">
        <v>2023865</v>
      </c>
      <c r="P47" s="199">
        <v>480000</v>
      </c>
      <c r="Q47" s="199">
        <v>496800</v>
      </c>
      <c r="R47" s="199">
        <v>514880</v>
      </c>
      <c r="S47" s="199">
        <v>532185</v>
      </c>
      <c r="T47" s="822" t="s">
        <v>2402</v>
      </c>
    </row>
    <row r="48" spans="1:20" ht="38.25">
      <c r="A48" s="549"/>
      <c r="B48" s="619"/>
      <c r="C48" s="586"/>
      <c r="D48" s="619"/>
      <c r="E48" s="619"/>
      <c r="F48" s="832"/>
      <c r="G48" s="832"/>
      <c r="H48" s="198" t="s">
        <v>2403</v>
      </c>
      <c r="I48" s="198" t="s">
        <v>2346</v>
      </c>
      <c r="J48" s="2">
        <v>41359</v>
      </c>
      <c r="K48" s="2">
        <v>11000</v>
      </c>
      <c r="L48" s="2">
        <v>22000</v>
      </c>
      <c r="M48" s="2">
        <v>33000</v>
      </c>
      <c r="N48" s="2">
        <v>44000</v>
      </c>
      <c r="O48" s="3">
        <v>4552138</v>
      </c>
      <c r="P48" s="199">
        <v>1080000</v>
      </c>
      <c r="Q48" s="199">
        <v>1117800</v>
      </c>
      <c r="R48" s="199">
        <v>1156923</v>
      </c>
      <c r="S48" s="199">
        <v>1197415</v>
      </c>
      <c r="T48" s="586"/>
    </row>
    <row r="49" spans="1:20" ht="60" customHeight="1">
      <c r="A49" s="549"/>
      <c r="B49" s="619"/>
      <c r="C49" s="586"/>
      <c r="D49" s="604"/>
      <c r="E49" s="604"/>
      <c r="F49" s="662"/>
      <c r="G49" s="662"/>
      <c r="H49" s="14" t="s">
        <v>2404</v>
      </c>
      <c r="I49" s="198" t="s">
        <v>2405</v>
      </c>
      <c r="J49" s="78">
        <v>6742</v>
      </c>
      <c r="K49" s="78">
        <v>1500</v>
      </c>
      <c r="L49" s="78">
        <v>3000</v>
      </c>
      <c r="M49" s="78">
        <v>4500</v>
      </c>
      <c r="N49" s="78">
        <v>6000</v>
      </c>
      <c r="O49" s="3">
        <v>3456254</v>
      </c>
      <c r="P49" s="200">
        <v>820000</v>
      </c>
      <c r="Q49" s="200">
        <v>848700</v>
      </c>
      <c r="R49" s="200">
        <v>878405</v>
      </c>
      <c r="S49" s="200">
        <v>909149</v>
      </c>
      <c r="T49" s="823"/>
    </row>
    <row r="50" spans="1:20" ht="76.5">
      <c r="A50" s="549"/>
      <c r="B50" s="604"/>
      <c r="C50" s="823"/>
      <c r="D50" s="14" t="s">
        <v>2347</v>
      </c>
      <c r="E50" s="14" t="s">
        <v>2348</v>
      </c>
      <c r="F50" s="2">
        <v>0</v>
      </c>
      <c r="G50" s="2">
        <v>24</v>
      </c>
      <c r="H50" s="195" t="s">
        <v>2397</v>
      </c>
      <c r="I50" s="14" t="s">
        <v>2398</v>
      </c>
      <c r="J50" s="2"/>
      <c r="K50" s="2">
        <v>6</v>
      </c>
      <c r="L50" s="2">
        <v>12</v>
      </c>
      <c r="M50" s="2">
        <v>18</v>
      </c>
      <c r="N50" s="2">
        <v>24</v>
      </c>
      <c r="O50" s="3">
        <f>+P50+Q50+R50+S50</f>
        <v>194000</v>
      </c>
      <c r="P50" s="3">
        <v>42000</v>
      </c>
      <c r="Q50" s="3">
        <v>45000</v>
      </c>
      <c r="R50" s="3">
        <v>50000</v>
      </c>
      <c r="S50" s="3">
        <v>57000</v>
      </c>
      <c r="T50" s="10" t="s">
        <v>1652</v>
      </c>
    </row>
    <row r="51" spans="1:20" ht="51">
      <c r="A51" s="549" t="s">
        <v>2349</v>
      </c>
      <c r="B51" s="560">
        <v>1.79</v>
      </c>
      <c r="C51" s="822"/>
      <c r="D51" s="560" t="s">
        <v>2350</v>
      </c>
      <c r="E51" s="560" t="s">
        <v>2351</v>
      </c>
      <c r="F51" s="661">
        <v>34</v>
      </c>
      <c r="G51" s="661">
        <v>31</v>
      </c>
      <c r="H51" s="116" t="s">
        <v>2352</v>
      </c>
      <c r="I51" s="10" t="s">
        <v>2353</v>
      </c>
      <c r="J51" s="2">
        <v>60</v>
      </c>
      <c r="K51" s="2">
        <v>100</v>
      </c>
      <c r="L51" s="2">
        <v>170</v>
      </c>
      <c r="M51" s="2">
        <v>170</v>
      </c>
      <c r="N51" s="2">
        <v>160</v>
      </c>
      <c r="O51" s="3">
        <f aca="true" t="shared" si="2" ref="O51:O61">+P51+Q51+R51+S51</f>
        <v>205000</v>
      </c>
      <c r="P51" s="3">
        <f>300000-(+P52+P53+P54+P55+P56+P57+P58+P59+P60+P61)</f>
        <v>15000</v>
      </c>
      <c r="Q51" s="3">
        <f>350000-(Q52+Q53+Q54+Q55+Q56+Q57+Q58+Q59+Q60+Q61)</f>
        <v>60000</v>
      </c>
      <c r="R51" s="3">
        <f>350000-(R52+R53+R54+R55+R56+R57+R58+R59+R60+R61)</f>
        <v>50000</v>
      </c>
      <c r="S51" s="3">
        <f>410000-(S52+S53+S54+S55+S56+S57+S58+S59+S60+S61)</f>
        <v>80000</v>
      </c>
      <c r="T51" s="10" t="s">
        <v>1243</v>
      </c>
    </row>
    <row r="52" spans="1:20" ht="51">
      <c r="A52" s="549"/>
      <c r="B52" s="619"/>
      <c r="C52" s="586"/>
      <c r="D52" s="604"/>
      <c r="E52" s="604"/>
      <c r="F52" s="662"/>
      <c r="G52" s="662"/>
      <c r="H52" s="2" t="s">
        <v>2354</v>
      </c>
      <c r="I52" s="10" t="s">
        <v>2355</v>
      </c>
      <c r="J52" s="2">
        <v>30</v>
      </c>
      <c r="K52" s="2">
        <v>13</v>
      </c>
      <c r="L52" s="2">
        <v>13</v>
      </c>
      <c r="M52" s="2">
        <v>13</v>
      </c>
      <c r="N52" s="2">
        <v>13</v>
      </c>
      <c r="O52" s="3">
        <f t="shared" si="2"/>
        <v>20000</v>
      </c>
      <c r="P52" s="3">
        <v>5000</v>
      </c>
      <c r="Q52" s="3">
        <v>5000</v>
      </c>
      <c r="R52" s="3">
        <v>5000</v>
      </c>
      <c r="S52" s="3">
        <v>5000</v>
      </c>
      <c r="T52" s="10" t="s">
        <v>1243</v>
      </c>
    </row>
    <row r="53" spans="1:20" ht="51">
      <c r="A53" s="549"/>
      <c r="B53" s="619"/>
      <c r="C53" s="586"/>
      <c r="D53" s="560" t="s">
        <v>2356</v>
      </c>
      <c r="E53" s="560" t="s">
        <v>2357</v>
      </c>
      <c r="F53" s="661">
        <v>134</v>
      </c>
      <c r="G53" s="661">
        <v>120</v>
      </c>
      <c r="H53" s="2" t="s">
        <v>2358</v>
      </c>
      <c r="I53" s="10" t="s">
        <v>2359</v>
      </c>
      <c r="J53" s="2">
        <v>1</v>
      </c>
      <c r="K53" s="2">
        <v>1</v>
      </c>
      <c r="L53" s="2">
        <v>1</v>
      </c>
      <c r="M53" s="2">
        <v>1</v>
      </c>
      <c r="N53" s="2">
        <v>1</v>
      </c>
      <c r="O53" s="3">
        <f t="shared" si="2"/>
        <v>200000</v>
      </c>
      <c r="P53" s="3">
        <v>50000</v>
      </c>
      <c r="Q53" s="3">
        <v>50000</v>
      </c>
      <c r="R53" s="3">
        <v>50000</v>
      </c>
      <c r="S53" s="3">
        <v>50000</v>
      </c>
      <c r="T53" s="10" t="s">
        <v>1243</v>
      </c>
    </row>
    <row r="54" spans="1:20" ht="38.25">
      <c r="A54" s="549"/>
      <c r="B54" s="619"/>
      <c r="C54" s="586"/>
      <c r="D54" s="604"/>
      <c r="E54" s="604" t="s">
        <v>2360</v>
      </c>
      <c r="F54" s="662"/>
      <c r="G54" s="662"/>
      <c r="H54" s="117" t="s">
        <v>2361</v>
      </c>
      <c r="I54" s="10" t="s">
        <v>2766</v>
      </c>
      <c r="J54" s="2">
        <v>48</v>
      </c>
      <c r="K54" s="2">
        <v>40</v>
      </c>
      <c r="L54" s="2">
        <v>40</v>
      </c>
      <c r="M54" s="2">
        <v>40</v>
      </c>
      <c r="N54" s="2">
        <v>40</v>
      </c>
      <c r="O54" s="3">
        <f t="shared" si="2"/>
        <v>80000</v>
      </c>
      <c r="P54" s="3">
        <v>20000</v>
      </c>
      <c r="Q54" s="3">
        <v>20000</v>
      </c>
      <c r="R54" s="3">
        <v>20000</v>
      </c>
      <c r="S54" s="3">
        <v>20000</v>
      </c>
      <c r="T54" s="10" t="s">
        <v>1243</v>
      </c>
    </row>
    <row r="55" spans="1:20" ht="51">
      <c r="A55" s="549"/>
      <c r="B55" s="619"/>
      <c r="C55" s="586"/>
      <c r="D55" s="560" t="s">
        <v>2767</v>
      </c>
      <c r="E55" s="560" t="s">
        <v>2768</v>
      </c>
      <c r="F55" s="661">
        <v>146</v>
      </c>
      <c r="G55" s="661">
        <v>130</v>
      </c>
      <c r="H55" s="2" t="s">
        <v>2368</v>
      </c>
      <c r="I55" s="10" t="s">
        <v>2359</v>
      </c>
      <c r="J55" s="2">
        <v>1</v>
      </c>
      <c r="K55" s="2">
        <v>1</v>
      </c>
      <c r="L55" s="2">
        <v>1</v>
      </c>
      <c r="M55" s="2">
        <v>1</v>
      </c>
      <c r="N55" s="2">
        <v>1</v>
      </c>
      <c r="O55" s="3">
        <f t="shared" si="2"/>
        <v>210000</v>
      </c>
      <c r="P55" s="3">
        <v>50000</v>
      </c>
      <c r="Q55" s="3">
        <v>50000</v>
      </c>
      <c r="R55" s="3">
        <v>50000</v>
      </c>
      <c r="S55" s="3">
        <v>60000</v>
      </c>
      <c r="T55" s="10" t="s">
        <v>1243</v>
      </c>
    </row>
    <row r="56" spans="1:20" ht="49.5" customHeight="1">
      <c r="A56" s="549"/>
      <c r="B56" s="619"/>
      <c r="C56" s="586"/>
      <c r="D56" s="604"/>
      <c r="E56" s="604"/>
      <c r="F56" s="662"/>
      <c r="G56" s="662"/>
      <c r="H56" s="2" t="s">
        <v>2369</v>
      </c>
      <c r="I56" s="10" t="s">
        <v>2370</v>
      </c>
      <c r="J56" s="2">
        <v>60</v>
      </c>
      <c r="K56" s="2">
        <v>60</v>
      </c>
      <c r="L56" s="2">
        <v>60</v>
      </c>
      <c r="M56" s="2">
        <v>60</v>
      </c>
      <c r="N56" s="2">
        <v>60</v>
      </c>
      <c r="O56" s="3">
        <f t="shared" si="2"/>
        <v>40000</v>
      </c>
      <c r="P56" s="3">
        <v>10000</v>
      </c>
      <c r="Q56" s="3">
        <v>10000</v>
      </c>
      <c r="R56" s="3">
        <v>10000</v>
      </c>
      <c r="S56" s="3">
        <v>10000</v>
      </c>
      <c r="T56" s="10" t="s">
        <v>1243</v>
      </c>
    </row>
    <row r="57" spans="1:20" ht="63.75">
      <c r="A57" s="549"/>
      <c r="B57" s="619"/>
      <c r="C57" s="586"/>
      <c r="D57" s="560" t="s">
        <v>2371</v>
      </c>
      <c r="E57" s="560" t="s">
        <v>2372</v>
      </c>
      <c r="F57" s="661">
        <v>1</v>
      </c>
      <c r="G57" s="661">
        <v>1</v>
      </c>
      <c r="H57" s="14" t="s">
        <v>2373</v>
      </c>
      <c r="I57" s="14" t="s">
        <v>3016</v>
      </c>
      <c r="J57" s="2">
        <v>1</v>
      </c>
      <c r="K57" s="2">
        <v>3</v>
      </c>
      <c r="L57" s="2">
        <v>3</v>
      </c>
      <c r="M57" s="2">
        <v>3</v>
      </c>
      <c r="N57" s="2">
        <v>3</v>
      </c>
      <c r="O57" s="3">
        <f t="shared" si="2"/>
        <v>90000</v>
      </c>
      <c r="P57" s="3">
        <v>20000</v>
      </c>
      <c r="Q57" s="3">
        <v>20000</v>
      </c>
      <c r="R57" s="3">
        <v>20000</v>
      </c>
      <c r="S57" s="3">
        <v>30000</v>
      </c>
      <c r="T57" s="10" t="s">
        <v>2374</v>
      </c>
    </row>
    <row r="58" spans="1:20" ht="51">
      <c r="A58" s="549"/>
      <c r="B58" s="619"/>
      <c r="C58" s="586"/>
      <c r="D58" s="604"/>
      <c r="E58" s="604"/>
      <c r="F58" s="662"/>
      <c r="G58" s="662"/>
      <c r="H58" s="14" t="s">
        <v>2375</v>
      </c>
      <c r="I58" s="14" t="s">
        <v>2359</v>
      </c>
      <c r="J58" s="2">
        <v>1</v>
      </c>
      <c r="K58" s="2">
        <v>1</v>
      </c>
      <c r="L58" s="2">
        <v>1</v>
      </c>
      <c r="M58" s="2">
        <v>1</v>
      </c>
      <c r="N58" s="2">
        <v>1</v>
      </c>
      <c r="O58" s="3">
        <f t="shared" si="2"/>
        <v>70000</v>
      </c>
      <c r="P58" s="3">
        <v>15000</v>
      </c>
      <c r="Q58" s="3">
        <v>15000</v>
      </c>
      <c r="R58" s="3">
        <v>20000</v>
      </c>
      <c r="S58" s="3">
        <v>20000</v>
      </c>
      <c r="T58" s="10" t="s">
        <v>1243</v>
      </c>
    </row>
    <row r="59" spans="1:20" ht="51">
      <c r="A59" s="549"/>
      <c r="B59" s="619"/>
      <c r="C59" s="586"/>
      <c r="D59" s="14" t="s">
        <v>2376</v>
      </c>
      <c r="E59" s="14" t="s">
        <v>2377</v>
      </c>
      <c r="F59" s="2">
        <v>12</v>
      </c>
      <c r="G59" s="2">
        <v>48</v>
      </c>
      <c r="H59" s="14" t="s">
        <v>2378</v>
      </c>
      <c r="I59" s="14" t="s">
        <v>2379</v>
      </c>
      <c r="J59" s="2">
        <v>4</v>
      </c>
      <c r="K59" s="2">
        <v>1</v>
      </c>
      <c r="L59" s="2">
        <v>2</v>
      </c>
      <c r="M59" s="2">
        <v>2</v>
      </c>
      <c r="N59" s="2">
        <v>3</v>
      </c>
      <c r="O59" s="3">
        <f t="shared" si="2"/>
        <v>95000</v>
      </c>
      <c r="P59" s="3">
        <v>15000</v>
      </c>
      <c r="Q59" s="3">
        <v>20000</v>
      </c>
      <c r="R59" s="3">
        <v>25000</v>
      </c>
      <c r="S59" s="3">
        <v>35000</v>
      </c>
      <c r="T59" s="10" t="s">
        <v>1243</v>
      </c>
    </row>
    <row r="60" spans="1:20" ht="51">
      <c r="A60" s="549"/>
      <c r="B60" s="619"/>
      <c r="C60" s="586"/>
      <c r="D60" s="14" t="s">
        <v>2380</v>
      </c>
      <c r="E60" s="14" t="s">
        <v>2381</v>
      </c>
      <c r="F60" s="2">
        <v>0</v>
      </c>
      <c r="G60" s="2">
        <v>4</v>
      </c>
      <c r="H60" s="14" t="s">
        <v>2382</v>
      </c>
      <c r="I60" s="14" t="s">
        <v>2383</v>
      </c>
      <c r="J60" s="2">
        <v>1</v>
      </c>
      <c r="K60" s="2">
        <v>1</v>
      </c>
      <c r="L60" s="2">
        <v>2</v>
      </c>
      <c r="M60" s="2">
        <v>3</v>
      </c>
      <c r="N60" s="2">
        <v>4</v>
      </c>
      <c r="O60" s="3">
        <f t="shared" si="2"/>
        <v>200000</v>
      </c>
      <c r="P60" s="3">
        <v>50000</v>
      </c>
      <c r="Q60" s="3">
        <v>50000</v>
      </c>
      <c r="R60" s="3">
        <v>50000</v>
      </c>
      <c r="S60" s="3">
        <v>50000</v>
      </c>
      <c r="T60" s="10" t="s">
        <v>1243</v>
      </c>
    </row>
    <row r="61" spans="1:20" ht="63.75">
      <c r="A61" s="549"/>
      <c r="B61" s="604"/>
      <c r="C61" s="823"/>
      <c r="D61" s="14" t="s">
        <v>2384</v>
      </c>
      <c r="E61" s="14" t="s">
        <v>2385</v>
      </c>
      <c r="F61" s="2">
        <v>1</v>
      </c>
      <c r="G61" s="2">
        <v>1</v>
      </c>
      <c r="H61" s="14" t="s">
        <v>2386</v>
      </c>
      <c r="I61" s="14" t="s">
        <v>2387</v>
      </c>
      <c r="J61" s="2">
        <v>1</v>
      </c>
      <c r="K61" s="2">
        <v>1</v>
      </c>
      <c r="L61" s="2">
        <v>1</v>
      </c>
      <c r="M61" s="2">
        <v>1</v>
      </c>
      <c r="N61" s="2">
        <v>1</v>
      </c>
      <c r="O61" s="3">
        <f t="shared" si="2"/>
        <v>200000</v>
      </c>
      <c r="P61" s="3">
        <v>50000</v>
      </c>
      <c r="Q61" s="3">
        <v>50000</v>
      </c>
      <c r="R61" s="3">
        <v>50000</v>
      </c>
      <c r="S61" s="3">
        <v>50000</v>
      </c>
      <c r="T61" s="10" t="s">
        <v>1243</v>
      </c>
    </row>
    <row r="62" spans="1:20" ht="51">
      <c r="A62" s="549" t="s">
        <v>2406</v>
      </c>
      <c r="B62" s="549">
        <v>0.83</v>
      </c>
      <c r="C62" s="721"/>
      <c r="D62" s="14" t="s">
        <v>2407</v>
      </c>
      <c r="E62" s="14" t="s">
        <v>2408</v>
      </c>
      <c r="F62" s="2">
        <v>911</v>
      </c>
      <c r="G62" s="2">
        <f>F62-180</f>
        <v>731</v>
      </c>
      <c r="H62" s="14" t="s">
        <v>1402</v>
      </c>
      <c r="I62" s="14" t="s">
        <v>2359</v>
      </c>
      <c r="J62" s="2">
        <v>0</v>
      </c>
      <c r="K62" s="2">
        <v>1</v>
      </c>
      <c r="L62" s="2">
        <v>1</v>
      </c>
      <c r="M62" s="2">
        <v>1</v>
      </c>
      <c r="N62" s="2">
        <v>1</v>
      </c>
      <c r="O62" s="3">
        <f aca="true" t="shared" si="3" ref="O62:O70">+P62+Q62+R62+S62</f>
        <v>12000</v>
      </c>
      <c r="P62" s="3">
        <f>150000-(SUM(P63:P92))</f>
        <v>5000</v>
      </c>
      <c r="Q62" s="3">
        <f>160000-(SUM(Q63:Q92))</f>
        <v>0</v>
      </c>
      <c r="R62" s="3">
        <f>168000-(SUM(R63:R92))</f>
        <v>0</v>
      </c>
      <c r="S62" s="3">
        <f>180000-(SUM(S63:S92))</f>
        <v>7000</v>
      </c>
      <c r="T62" s="10" t="s">
        <v>1403</v>
      </c>
    </row>
    <row r="63" spans="1:20" ht="38.25">
      <c r="A63" s="549"/>
      <c r="B63" s="549"/>
      <c r="C63" s="721"/>
      <c r="D63" s="14" t="s">
        <v>2409</v>
      </c>
      <c r="E63" s="14" t="s">
        <v>2410</v>
      </c>
      <c r="F63" s="2">
        <v>146</v>
      </c>
      <c r="G63" s="2">
        <v>130</v>
      </c>
      <c r="H63" s="14" t="s">
        <v>1404</v>
      </c>
      <c r="I63" s="14" t="s">
        <v>2359</v>
      </c>
      <c r="J63" s="2">
        <v>1</v>
      </c>
      <c r="K63" s="2">
        <v>1</v>
      </c>
      <c r="L63" s="2">
        <v>1</v>
      </c>
      <c r="M63" s="2">
        <v>1</v>
      </c>
      <c r="N63" s="2">
        <v>1</v>
      </c>
      <c r="O63" s="3">
        <f t="shared" si="3"/>
        <v>13000</v>
      </c>
      <c r="P63" s="3">
        <v>5000</v>
      </c>
      <c r="Q63" s="3">
        <v>0</v>
      </c>
      <c r="R63" s="3">
        <v>3000</v>
      </c>
      <c r="S63" s="3">
        <v>5000</v>
      </c>
      <c r="T63" s="10" t="s">
        <v>1403</v>
      </c>
    </row>
    <row r="64" spans="1:20" ht="115.5" customHeight="1">
      <c r="A64" s="549"/>
      <c r="B64" s="549"/>
      <c r="C64" s="721"/>
      <c r="D64" s="549" t="s">
        <v>2411</v>
      </c>
      <c r="E64" s="549" t="s">
        <v>2412</v>
      </c>
      <c r="F64" s="570">
        <v>0</v>
      </c>
      <c r="G64" s="570">
        <v>1</v>
      </c>
      <c r="H64" s="113" t="s">
        <v>1405</v>
      </c>
      <c r="I64" s="14" t="s">
        <v>3016</v>
      </c>
      <c r="J64" s="2">
        <v>0</v>
      </c>
      <c r="K64" s="2">
        <v>1</v>
      </c>
      <c r="L64" s="2">
        <v>2</v>
      </c>
      <c r="M64" s="2">
        <v>3</v>
      </c>
      <c r="N64" s="2">
        <v>4</v>
      </c>
      <c r="O64" s="3">
        <f t="shared" si="3"/>
        <v>13000</v>
      </c>
      <c r="P64" s="3">
        <v>5000</v>
      </c>
      <c r="Q64" s="3">
        <v>0</v>
      </c>
      <c r="R64" s="3">
        <v>3000</v>
      </c>
      <c r="S64" s="3">
        <v>5000</v>
      </c>
      <c r="T64" s="10" t="s">
        <v>1403</v>
      </c>
    </row>
    <row r="65" spans="1:20" ht="115.5" customHeight="1">
      <c r="A65" s="549"/>
      <c r="B65" s="549"/>
      <c r="C65" s="721"/>
      <c r="D65" s="549"/>
      <c r="E65" s="549"/>
      <c r="F65" s="570"/>
      <c r="G65" s="570"/>
      <c r="H65" s="14" t="s">
        <v>1406</v>
      </c>
      <c r="I65" s="14" t="s">
        <v>1407</v>
      </c>
      <c r="J65" s="2">
        <v>0</v>
      </c>
      <c r="K65" s="2">
        <v>0</v>
      </c>
      <c r="L65" s="2">
        <v>0</v>
      </c>
      <c r="M65" s="2">
        <v>0</v>
      </c>
      <c r="N65" s="2">
        <v>1</v>
      </c>
      <c r="O65" s="3">
        <f t="shared" si="3"/>
        <v>20000</v>
      </c>
      <c r="P65" s="3">
        <v>0</v>
      </c>
      <c r="Q65" s="3">
        <v>0</v>
      </c>
      <c r="R65" s="3">
        <v>0</v>
      </c>
      <c r="S65" s="3">
        <v>20000</v>
      </c>
      <c r="T65" s="10" t="s">
        <v>1403</v>
      </c>
    </row>
    <row r="66" spans="1:20" ht="115.5" customHeight="1">
      <c r="A66" s="549"/>
      <c r="B66" s="549"/>
      <c r="C66" s="721"/>
      <c r="D66" s="549"/>
      <c r="E66" s="549"/>
      <c r="F66" s="570"/>
      <c r="G66" s="570"/>
      <c r="H66" s="14" t="s">
        <v>1408</v>
      </c>
      <c r="I66" s="14" t="s">
        <v>1409</v>
      </c>
      <c r="J66" s="2">
        <v>0</v>
      </c>
      <c r="K66" s="2">
        <v>1</v>
      </c>
      <c r="L66" s="2">
        <v>1</v>
      </c>
      <c r="M66" s="2">
        <v>1</v>
      </c>
      <c r="N66" s="2">
        <v>1</v>
      </c>
      <c r="O66" s="3">
        <f t="shared" si="3"/>
        <v>13000</v>
      </c>
      <c r="P66" s="3">
        <v>5000</v>
      </c>
      <c r="Q66" s="3">
        <v>0</v>
      </c>
      <c r="R66" s="3">
        <v>3000</v>
      </c>
      <c r="S66" s="3">
        <v>5000</v>
      </c>
      <c r="T66" s="10" t="s">
        <v>1403</v>
      </c>
    </row>
    <row r="67" spans="1:20" ht="115.5" customHeight="1">
      <c r="A67" s="549"/>
      <c r="B67" s="549"/>
      <c r="C67" s="721"/>
      <c r="D67" s="549"/>
      <c r="E67" s="549"/>
      <c r="F67" s="570"/>
      <c r="G67" s="570"/>
      <c r="H67" s="14" t="s">
        <v>1410</v>
      </c>
      <c r="I67" s="14" t="s">
        <v>1411</v>
      </c>
      <c r="J67" s="2">
        <v>0</v>
      </c>
      <c r="K67" s="2">
        <v>0</v>
      </c>
      <c r="L67" s="2">
        <v>0</v>
      </c>
      <c r="M67" s="2">
        <v>1</v>
      </c>
      <c r="N67" s="2">
        <v>0</v>
      </c>
      <c r="O67" s="3">
        <f t="shared" si="3"/>
        <v>98000</v>
      </c>
      <c r="P67" s="3">
        <v>0</v>
      </c>
      <c r="Q67" s="3">
        <v>0</v>
      </c>
      <c r="R67" s="3">
        <v>93000</v>
      </c>
      <c r="S67" s="3">
        <v>5000</v>
      </c>
      <c r="T67" s="10" t="s">
        <v>1403</v>
      </c>
    </row>
    <row r="68" spans="1:20" ht="115.5" customHeight="1">
      <c r="A68" s="549"/>
      <c r="B68" s="549"/>
      <c r="C68" s="721"/>
      <c r="D68" s="549"/>
      <c r="E68" s="549"/>
      <c r="F68" s="570"/>
      <c r="G68" s="570"/>
      <c r="H68" s="14" t="s">
        <v>1412</v>
      </c>
      <c r="I68" s="14" t="s">
        <v>1413</v>
      </c>
      <c r="J68" s="2">
        <v>1</v>
      </c>
      <c r="K68" s="2">
        <v>1</v>
      </c>
      <c r="L68" s="2">
        <v>1</v>
      </c>
      <c r="M68" s="2">
        <v>1</v>
      </c>
      <c r="N68" s="2">
        <v>1</v>
      </c>
      <c r="O68" s="3">
        <f t="shared" si="3"/>
        <v>45000</v>
      </c>
      <c r="P68" s="3">
        <v>10000</v>
      </c>
      <c r="Q68" s="3">
        <v>15000</v>
      </c>
      <c r="R68" s="3">
        <v>10000</v>
      </c>
      <c r="S68" s="3">
        <v>10000</v>
      </c>
      <c r="T68" s="10" t="s">
        <v>1403</v>
      </c>
    </row>
    <row r="69" spans="1:20" ht="115.5" customHeight="1">
      <c r="A69" s="549"/>
      <c r="B69" s="549"/>
      <c r="C69" s="721"/>
      <c r="D69" s="549"/>
      <c r="E69" s="549"/>
      <c r="F69" s="570"/>
      <c r="G69" s="570"/>
      <c r="H69" s="14" t="s">
        <v>1414</v>
      </c>
      <c r="I69" s="14" t="s">
        <v>1415</v>
      </c>
      <c r="J69" s="2">
        <v>1</v>
      </c>
      <c r="K69" s="2">
        <v>1</v>
      </c>
      <c r="L69" s="2">
        <v>1</v>
      </c>
      <c r="M69" s="2">
        <v>1</v>
      </c>
      <c r="N69" s="2">
        <v>1</v>
      </c>
      <c r="O69" s="3">
        <f t="shared" si="3"/>
        <v>20000</v>
      </c>
      <c r="P69" s="3">
        <v>5000</v>
      </c>
      <c r="Q69" s="3">
        <v>5000</v>
      </c>
      <c r="R69" s="3">
        <v>5000</v>
      </c>
      <c r="S69" s="3">
        <v>5000</v>
      </c>
      <c r="T69" s="10" t="s">
        <v>1403</v>
      </c>
    </row>
    <row r="70" spans="1:20" ht="115.5" customHeight="1">
      <c r="A70" s="549"/>
      <c r="B70" s="549"/>
      <c r="C70" s="721"/>
      <c r="D70" s="549"/>
      <c r="E70" s="549"/>
      <c r="F70" s="570"/>
      <c r="G70" s="570"/>
      <c r="H70" s="14" t="s">
        <v>1416</v>
      </c>
      <c r="I70" s="14" t="s">
        <v>1417</v>
      </c>
      <c r="J70" s="2">
        <v>1</v>
      </c>
      <c r="K70" s="2">
        <v>1</v>
      </c>
      <c r="L70" s="2">
        <v>1</v>
      </c>
      <c r="M70" s="2">
        <v>1</v>
      </c>
      <c r="N70" s="2">
        <v>1</v>
      </c>
      <c r="O70" s="3">
        <f t="shared" si="3"/>
        <v>13000</v>
      </c>
      <c r="P70" s="3">
        <v>5000</v>
      </c>
      <c r="Q70" s="3">
        <v>0</v>
      </c>
      <c r="R70" s="3">
        <v>3000</v>
      </c>
      <c r="S70" s="3">
        <v>5000</v>
      </c>
      <c r="T70" s="10" t="s">
        <v>1403</v>
      </c>
    </row>
    <row r="71" spans="1:20" ht="115.5" customHeight="1">
      <c r="A71" s="549"/>
      <c r="B71" s="549"/>
      <c r="C71" s="721"/>
      <c r="D71" s="549" t="s">
        <v>2413</v>
      </c>
      <c r="E71" s="549" t="s">
        <v>2414</v>
      </c>
      <c r="F71" s="570">
        <v>1</v>
      </c>
      <c r="G71" s="570">
        <v>1</v>
      </c>
      <c r="H71" s="14" t="s">
        <v>1418</v>
      </c>
      <c r="I71" s="14" t="s">
        <v>1419</v>
      </c>
      <c r="J71" s="2">
        <v>0</v>
      </c>
      <c r="K71" s="2">
        <v>13</v>
      </c>
      <c r="L71" s="2">
        <v>13</v>
      </c>
      <c r="M71" s="2">
        <v>13</v>
      </c>
      <c r="N71" s="2">
        <v>13</v>
      </c>
      <c r="O71" s="3">
        <v>0</v>
      </c>
      <c r="P71" s="3">
        <v>0</v>
      </c>
      <c r="Q71" s="3">
        <v>0</v>
      </c>
      <c r="R71" s="3">
        <v>0</v>
      </c>
      <c r="S71" s="3">
        <v>0</v>
      </c>
      <c r="T71" s="10" t="s">
        <v>1420</v>
      </c>
    </row>
    <row r="72" spans="1:20" ht="115.5" customHeight="1">
      <c r="A72" s="549"/>
      <c r="B72" s="549"/>
      <c r="C72" s="721"/>
      <c r="D72" s="549"/>
      <c r="E72" s="549"/>
      <c r="F72" s="570"/>
      <c r="G72" s="570"/>
      <c r="H72" s="14" t="s">
        <v>1421</v>
      </c>
      <c r="I72" s="14" t="s">
        <v>1422</v>
      </c>
      <c r="J72" s="2">
        <v>0</v>
      </c>
      <c r="K72" s="2">
        <v>5</v>
      </c>
      <c r="L72" s="2">
        <v>5</v>
      </c>
      <c r="M72" s="2">
        <v>5</v>
      </c>
      <c r="N72" s="2">
        <v>5</v>
      </c>
      <c r="O72" s="3">
        <v>0</v>
      </c>
      <c r="P72" s="3">
        <v>0</v>
      </c>
      <c r="Q72" s="3">
        <v>0</v>
      </c>
      <c r="R72" s="3">
        <v>0</v>
      </c>
      <c r="S72" s="3">
        <v>0</v>
      </c>
      <c r="T72" s="10" t="s">
        <v>1420</v>
      </c>
    </row>
    <row r="73" spans="1:20" ht="115.5" customHeight="1">
      <c r="A73" s="549"/>
      <c r="B73" s="549"/>
      <c r="C73" s="721"/>
      <c r="D73" s="549"/>
      <c r="E73" s="549"/>
      <c r="F73" s="570"/>
      <c r="G73" s="570"/>
      <c r="H73" s="14" t="s">
        <v>1423</v>
      </c>
      <c r="I73" s="14" t="s">
        <v>1424</v>
      </c>
      <c r="J73" s="2">
        <v>1</v>
      </c>
      <c r="K73" s="2">
        <v>1</v>
      </c>
      <c r="L73" s="2">
        <v>1</v>
      </c>
      <c r="M73" s="2">
        <v>1</v>
      </c>
      <c r="N73" s="2">
        <v>1</v>
      </c>
      <c r="O73" s="3">
        <v>0</v>
      </c>
      <c r="P73" s="3">
        <v>0</v>
      </c>
      <c r="Q73" s="3">
        <v>0</v>
      </c>
      <c r="R73" s="3">
        <v>0</v>
      </c>
      <c r="S73" s="3">
        <v>0</v>
      </c>
      <c r="T73" s="10" t="s">
        <v>1420</v>
      </c>
    </row>
    <row r="74" spans="1:20" ht="115.5" customHeight="1">
      <c r="A74" s="549"/>
      <c r="B74" s="549"/>
      <c r="C74" s="721"/>
      <c r="D74" s="549" t="s">
        <v>2415</v>
      </c>
      <c r="E74" s="549" t="s">
        <v>2805</v>
      </c>
      <c r="F74" s="570">
        <v>0</v>
      </c>
      <c r="G74" s="570">
        <v>1</v>
      </c>
      <c r="H74" s="14" t="s">
        <v>1425</v>
      </c>
      <c r="I74" s="14" t="s">
        <v>1333</v>
      </c>
      <c r="J74" s="2">
        <v>0</v>
      </c>
      <c r="K74" s="2">
        <v>1</v>
      </c>
      <c r="L74" s="2">
        <v>1</v>
      </c>
      <c r="M74" s="2">
        <v>1</v>
      </c>
      <c r="N74" s="2">
        <v>1</v>
      </c>
      <c r="O74" s="3">
        <f aca="true" t="shared" si="4" ref="O74:O109">+P74+Q74+R74+S74</f>
        <v>12000</v>
      </c>
      <c r="P74" s="3">
        <v>5000</v>
      </c>
      <c r="Q74" s="3">
        <v>0</v>
      </c>
      <c r="R74" s="3">
        <v>2000</v>
      </c>
      <c r="S74" s="3">
        <v>5000</v>
      </c>
      <c r="T74" s="10" t="s">
        <v>1403</v>
      </c>
    </row>
    <row r="75" spans="1:20" ht="115.5" customHeight="1">
      <c r="A75" s="549"/>
      <c r="B75" s="549"/>
      <c r="C75" s="721"/>
      <c r="D75" s="549"/>
      <c r="E75" s="549"/>
      <c r="F75" s="570"/>
      <c r="G75" s="570"/>
      <c r="H75" s="14" t="s">
        <v>1426</v>
      </c>
      <c r="I75" s="14" t="s">
        <v>3016</v>
      </c>
      <c r="J75" s="2">
        <v>0</v>
      </c>
      <c r="K75" s="2">
        <v>2</v>
      </c>
      <c r="L75" s="2">
        <v>2</v>
      </c>
      <c r="M75" s="2">
        <v>2</v>
      </c>
      <c r="N75" s="2">
        <v>2</v>
      </c>
      <c r="O75" s="3">
        <f t="shared" si="4"/>
        <v>12000</v>
      </c>
      <c r="P75" s="3">
        <v>5000</v>
      </c>
      <c r="Q75" s="3">
        <v>0</v>
      </c>
      <c r="R75" s="3">
        <v>2000</v>
      </c>
      <c r="S75" s="3">
        <v>5000</v>
      </c>
      <c r="T75" s="10" t="s">
        <v>1403</v>
      </c>
    </row>
    <row r="76" spans="1:20" ht="52.5" customHeight="1">
      <c r="A76" s="549"/>
      <c r="B76" s="549"/>
      <c r="C76" s="721"/>
      <c r="D76" s="549"/>
      <c r="E76" s="549"/>
      <c r="F76" s="570"/>
      <c r="G76" s="570"/>
      <c r="H76" s="14" t="s">
        <v>1427</v>
      </c>
      <c r="I76" s="14" t="s">
        <v>1428</v>
      </c>
      <c r="J76" s="2">
        <v>0</v>
      </c>
      <c r="K76" s="2">
        <v>1</v>
      </c>
      <c r="L76" s="2">
        <v>0</v>
      </c>
      <c r="M76" s="2">
        <v>0</v>
      </c>
      <c r="N76" s="2">
        <v>0</v>
      </c>
      <c r="O76" s="3">
        <f t="shared" si="4"/>
        <v>20000</v>
      </c>
      <c r="P76" s="3">
        <v>20000</v>
      </c>
      <c r="Q76" s="3">
        <v>0</v>
      </c>
      <c r="R76" s="3">
        <v>0</v>
      </c>
      <c r="S76" s="3">
        <v>0</v>
      </c>
      <c r="T76" s="10" t="s">
        <v>1403</v>
      </c>
    </row>
    <row r="77" spans="1:20" ht="52.5" customHeight="1">
      <c r="A77" s="549"/>
      <c r="B77" s="549"/>
      <c r="C77" s="721"/>
      <c r="D77" s="549"/>
      <c r="E77" s="549"/>
      <c r="F77" s="570"/>
      <c r="G77" s="570"/>
      <c r="H77" s="14" t="s">
        <v>1429</v>
      </c>
      <c r="I77" s="14" t="s">
        <v>1430</v>
      </c>
      <c r="J77" s="2">
        <v>0</v>
      </c>
      <c r="K77" s="2">
        <v>0</v>
      </c>
      <c r="L77" s="2">
        <v>0</v>
      </c>
      <c r="M77" s="2">
        <v>3</v>
      </c>
      <c r="N77" s="2">
        <v>0</v>
      </c>
      <c r="O77" s="3">
        <f t="shared" si="4"/>
        <v>25000</v>
      </c>
      <c r="P77" s="3">
        <v>0</v>
      </c>
      <c r="Q77" s="3">
        <v>0</v>
      </c>
      <c r="R77" s="3">
        <v>0</v>
      </c>
      <c r="S77" s="3">
        <v>25000</v>
      </c>
      <c r="T77" s="10" t="s">
        <v>1403</v>
      </c>
    </row>
    <row r="78" spans="1:20" ht="79.5" customHeight="1">
      <c r="A78" s="549"/>
      <c r="B78" s="549"/>
      <c r="C78" s="721"/>
      <c r="D78" s="560" t="s">
        <v>2806</v>
      </c>
      <c r="E78" s="560" t="s">
        <v>2807</v>
      </c>
      <c r="F78" s="570">
        <v>0</v>
      </c>
      <c r="G78" s="570">
        <v>1</v>
      </c>
      <c r="H78" s="14" t="s">
        <v>1431</v>
      </c>
      <c r="I78" s="14" t="s">
        <v>1432</v>
      </c>
      <c r="J78" s="2">
        <v>0</v>
      </c>
      <c r="K78" s="2">
        <v>0</v>
      </c>
      <c r="L78" s="2">
        <v>1</v>
      </c>
      <c r="M78" s="2">
        <v>2</v>
      </c>
      <c r="N78" s="2">
        <v>3</v>
      </c>
      <c r="O78" s="3">
        <f t="shared" si="4"/>
        <v>7000</v>
      </c>
      <c r="P78" s="3">
        <v>0</v>
      </c>
      <c r="Q78" s="3">
        <v>0</v>
      </c>
      <c r="R78" s="3">
        <v>2000</v>
      </c>
      <c r="S78" s="3">
        <v>5000</v>
      </c>
      <c r="T78" s="10" t="s">
        <v>1403</v>
      </c>
    </row>
    <row r="79" spans="1:20" ht="52.5" customHeight="1">
      <c r="A79" s="549"/>
      <c r="B79" s="549"/>
      <c r="C79" s="721"/>
      <c r="D79" s="619"/>
      <c r="E79" s="619"/>
      <c r="F79" s="570"/>
      <c r="G79" s="570"/>
      <c r="H79" s="14" t="s">
        <v>1433</v>
      </c>
      <c r="I79" s="14" t="s">
        <v>1434</v>
      </c>
      <c r="J79" s="2">
        <v>0</v>
      </c>
      <c r="K79" s="2">
        <v>0</v>
      </c>
      <c r="L79" s="2">
        <v>1</v>
      </c>
      <c r="M79" s="2">
        <v>2</v>
      </c>
      <c r="N79" s="2">
        <v>3</v>
      </c>
      <c r="O79" s="3">
        <f t="shared" si="4"/>
        <v>7000</v>
      </c>
      <c r="P79" s="3">
        <v>0</v>
      </c>
      <c r="Q79" s="3">
        <v>0</v>
      </c>
      <c r="R79" s="3">
        <v>2000</v>
      </c>
      <c r="S79" s="3">
        <v>5000</v>
      </c>
      <c r="T79" s="10" t="s">
        <v>1403</v>
      </c>
    </row>
    <row r="80" spans="1:20" ht="52.5" customHeight="1">
      <c r="A80" s="549"/>
      <c r="B80" s="549"/>
      <c r="C80" s="721"/>
      <c r="D80" s="619"/>
      <c r="E80" s="619"/>
      <c r="F80" s="570"/>
      <c r="G80" s="570"/>
      <c r="H80" s="14" t="s">
        <v>1435</v>
      </c>
      <c r="I80" s="14" t="s">
        <v>1436</v>
      </c>
      <c r="J80" s="2">
        <v>0</v>
      </c>
      <c r="K80" s="2">
        <v>2</v>
      </c>
      <c r="L80" s="2">
        <v>2</v>
      </c>
      <c r="M80" s="2">
        <v>3</v>
      </c>
      <c r="N80" s="2">
        <v>3</v>
      </c>
      <c r="O80" s="3">
        <f t="shared" si="4"/>
        <v>10000</v>
      </c>
      <c r="P80" s="3">
        <v>5000</v>
      </c>
      <c r="Q80" s="3">
        <v>0</v>
      </c>
      <c r="R80" s="3">
        <v>2000</v>
      </c>
      <c r="S80" s="3">
        <v>3000</v>
      </c>
      <c r="T80" s="10" t="s">
        <v>1403</v>
      </c>
    </row>
    <row r="81" spans="1:20" ht="52.5" customHeight="1">
      <c r="A81" s="549"/>
      <c r="B81" s="549"/>
      <c r="C81" s="721"/>
      <c r="D81" s="549" t="s">
        <v>2808</v>
      </c>
      <c r="E81" s="549" t="s">
        <v>8</v>
      </c>
      <c r="F81" s="570">
        <v>100</v>
      </c>
      <c r="G81" s="570">
        <v>100</v>
      </c>
      <c r="H81" s="14" t="s">
        <v>1437</v>
      </c>
      <c r="I81" s="14" t="s">
        <v>1438</v>
      </c>
      <c r="J81" s="2">
        <v>0</v>
      </c>
      <c r="K81" s="2">
        <v>0</v>
      </c>
      <c r="L81" s="2">
        <v>1</v>
      </c>
      <c r="M81" s="2">
        <v>0</v>
      </c>
      <c r="N81" s="2">
        <v>0</v>
      </c>
      <c r="O81" s="3">
        <f t="shared" si="4"/>
        <v>140000</v>
      </c>
      <c r="P81" s="3">
        <v>0</v>
      </c>
      <c r="Q81" s="3">
        <v>140000</v>
      </c>
      <c r="R81" s="3">
        <v>0</v>
      </c>
      <c r="S81" s="3">
        <v>0</v>
      </c>
      <c r="T81" s="10" t="s">
        <v>1403</v>
      </c>
    </row>
    <row r="82" spans="1:20" ht="52.5" customHeight="1">
      <c r="A82" s="549"/>
      <c r="B82" s="549"/>
      <c r="C82" s="721"/>
      <c r="D82" s="549"/>
      <c r="E82" s="549"/>
      <c r="F82" s="570"/>
      <c r="G82" s="570"/>
      <c r="H82" s="14" t="s">
        <v>1439</v>
      </c>
      <c r="I82" s="14" t="s">
        <v>1440</v>
      </c>
      <c r="J82" s="2">
        <v>0</v>
      </c>
      <c r="K82" s="2">
        <v>1</v>
      </c>
      <c r="L82" s="2">
        <v>2</v>
      </c>
      <c r="M82" s="2">
        <v>3</v>
      </c>
      <c r="N82" s="2">
        <v>4</v>
      </c>
      <c r="O82" s="3">
        <v>0</v>
      </c>
      <c r="P82" s="3">
        <v>0</v>
      </c>
      <c r="Q82" s="3">
        <v>0</v>
      </c>
      <c r="R82" s="3">
        <v>0</v>
      </c>
      <c r="S82" s="3">
        <v>0</v>
      </c>
      <c r="T82" s="10" t="s">
        <v>1403</v>
      </c>
    </row>
    <row r="83" spans="1:20" ht="52.5" customHeight="1">
      <c r="A83" s="549"/>
      <c r="B83" s="549"/>
      <c r="C83" s="721"/>
      <c r="D83" s="549"/>
      <c r="E83" s="549"/>
      <c r="F83" s="570"/>
      <c r="G83" s="570"/>
      <c r="H83" s="14" t="s">
        <v>1441</v>
      </c>
      <c r="I83" s="14" t="s">
        <v>1442</v>
      </c>
      <c r="J83" s="2">
        <v>0</v>
      </c>
      <c r="K83" s="2">
        <v>0</v>
      </c>
      <c r="L83" s="2">
        <v>0</v>
      </c>
      <c r="M83" s="2">
        <v>1</v>
      </c>
      <c r="N83" s="2">
        <v>0</v>
      </c>
      <c r="O83" s="3">
        <f t="shared" si="4"/>
        <v>40000</v>
      </c>
      <c r="P83" s="3">
        <v>0</v>
      </c>
      <c r="Q83" s="3">
        <v>0</v>
      </c>
      <c r="R83" s="3">
        <v>35000</v>
      </c>
      <c r="S83" s="3">
        <v>5000</v>
      </c>
      <c r="T83" s="10" t="s">
        <v>1403</v>
      </c>
    </row>
    <row r="84" spans="1:20" ht="51">
      <c r="A84" s="549"/>
      <c r="B84" s="549"/>
      <c r="C84" s="721"/>
      <c r="D84" s="14" t="s">
        <v>9</v>
      </c>
      <c r="E84" s="14" t="s">
        <v>10</v>
      </c>
      <c r="F84" s="2">
        <v>0</v>
      </c>
      <c r="G84" s="2">
        <v>100</v>
      </c>
      <c r="H84" s="14" t="s">
        <v>1443</v>
      </c>
      <c r="I84" s="14" t="s">
        <v>1444</v>
      </c>
      <c r="J84" s="2">
        <v>0</v>
      </c>
      <c r="K84" s="2">
        <v>100</v>
      </c>
      <c r="L84" s="2">
        <v>150</v>
      </c>
      <c r="M84" s="2">
        <v>200</v>
      </c>
      <c r="N84" s="2">
        <v>150</v>
      </c>
      <c r="O84" s="3">
        <v>0</v>
      </c>
      <c r="P84" s="3">
        <v>0</v>
      </c>
      <c r="Q84" s="3">
        <v>0</v>
      </c>
      <c r="R84" s="3">
        <v>0</v>
      </c>
      <c r="S84" s="3">
        <v>0</v>
      </c>
      <c r="T84" s="10" t="s">
        <v>1403</v>
      </c>
    </row>
    <row r="85" spans="1:20" ht="51">
      <c r="A85" s="549"/>
      <c r="B85" s="549"/>
      <c r="C85" s="721"/>
      <c r="D85" s="14" t="s">
        <v>11</v>
      </c>
      <c r="E85" s="14" t="s">
        <v>12</v>
      </c>
      <c r="F85" s="192">
        <v>0</v>
      </c>
      <c r="G85" s="192">
        <v>1</v>
      </c>
      <c r="H85" s="14" t="s">
        <v>1445</v>
      </c>
      <c r="I85" s="14" t="s">
        <v>1446</v>
      </c>
      <c r="J85" s="2">
        <v>0</v>
      </c>
      <c r="K85" s="2">
        <v>1</v>
      </c>
      <c r="L85" s="2">
        <v>0</v>
      </c>
      <c r="M85" s="2">
        <v>0</v>
      </c>
      <c r="N85" s="2">
        <v>0</v>
      </c>
      <c r="O85" s="3">
        <f t="shared" si="4"/>
        <v>10000</v>
      </c>
      <c r="P85" s="3">
        <v>10000</v>
      </c>
      <c r="Q85" s="3">
        <v>0</v>
      </c>
      <c r="R85" s="3">
        <v>0</v>
      </c>
      <c r="S85" s="3">
        <v>0</v>
      </c>
      <c r="T85" s="10" t="s">
        <v>1403</v>
      </c>
    </row>
    <row r="86" spans="1:20" ht="89.25">
      <c r="A86" s="549"/>
      <c r="B86" s="549"/>
      <c r="C86" s="721"/>
      <c r="D86" s="14" t="s">
        <v>2420</v>
      </c>
      <c r="E86" s="14" t="s">
        <v>2421</v>
      </c>
      <c r="F86" s="2">
        <v>0</v>
      </c>
      <c r="G86" s="2">
        <v>1</v>
      </c>
      <c r="H86" s="14" t="s">
        <v>1447</v>
      </c>
      <c r="I86" s="14" t="s">
        <v>1448</v>
      </c>
      <c r="J86" s="2">
        <v>0</v>
      </c>
      <c r="K86" s="2">
        <v>1</v>
      </c>
      <c r="L86" s="2">
        <v>0</v>
      </c>
      <c r="M86" s="2">
        <v>0</v>
      </c>
      <c r="N86" s="2">
        <v>0</v>
      </c>
      <c r="O86" s="3">
        <f t="shared" si="4"/>
        <v>30000</v>
      </c>
      <c r="P86" s="3">
        <v>30000</v>
      </c>
      <c r="Q86" s="3">
        <v>0</v>
      </c>
      <c r="R86" s="3">
        <v>0</v>
      </c>
      <c r="S86" s="3">
        <v>0</v>
      </c>
      <c r="T86" s="10" t="s">
        <v>1403</v>
      </c>
    </row>
    <row r="87" spans="1:20" ht="38.25">
      <c r="A87" s="549"/>
      <c r="B87" s="549"/>
      <c r="C87" s="721"/>
      <c r="D87" s="560" t="s">
        <v>2422</v>
      </c>
      <c r="E87" s="14" t="s">
        <v>2423</v>
      </c>
      <c r="F87" s="2">
        <v>0</v>
      </c>
      <c r="G87" s="2">
        <v>1</v>
      </c>
      <c r="H87" s="560" t="s">
        <v>1449</v>
      </c>
      <c r="I87" s="560" t="s">
        <v>1450</v>
      </c>
      <c r="J87" s="661">
        <v>0</v>
      </c>
      <c r="K87" s="661">
        <v>1</v>
      </c>
      <c r="L87" s="661">
        <v>0</v>
      </c>
      <c r="M87" s="661">
        <v>0</v>
      </c>
      <c r="N87" s="661">
        <v>0</v>
      </c>
      <c r="O87" s="640">
        <f t="shared" si="4"/>
        <v>15000</v>
      </c>
      <c r="P87" s="834">
        <v>5000</v>
      </c>
      <c r="Q87" s="661">
        <v>0</v>
      </c>
      <c r="R87" s="661">
        <v>0</v>
      </c>
      <c r="S87" s="810">
        <v>10000</v>
      </c>
      <c r="T87" s="10" t="s">
        <v>1403</v>
      </c>
    </row>
    <row r="88" spans="1:20" ht="51">
      <c r="A88" s="549"/>
      <c r="B88" s="549"/>
      <c r="C88" s="721"/>
      <c r="D88" s="604"/>
      <c r="E88" s="14" t="s">
        <v>2424</v>
      </c>
      <c r="F88" s="2">
        <v>0</v>
      </c>
      <c r="G88" s="2">
        <v>1</v>
      </c>
      <c r="H88" s="604"/>
      <c r="I88" s="604"/>
      <c r="J88" s="662"/>
      <c r="K88" s="662"/>
      <c r="L88" s="662"/>
      <c r="M88" s="662"/>
      <c r="N88" s="662"/>
      <c r="O88" s="636"/>
      <c r="P88" s="835"/>
      <c r="Q88" s="662"/>
      <c r="R88" s="662"/>
      <c r="S88" s="812"/>
      <c r="T88" s="10" t="s">
        <v>1403</v>
      </c>
    </row>
    <row r="89" spans="1:20" ht="63.75">
      <c r="A89" s="549"/>
      <c r="B89" s="549"/>
      <c r="C89" s="721"/>
      <c r="D89" s="14" t="s">
        <v>2425</v>
      </c>
      <c r="E89" s="14" t="s">
        <v>2426</v>
      </c>
      <c r="F89" s="2">
        <v>1500</v>
      </c>
      <c r="G89" s="2">
        <f>+F89-225</f>
        <v>1275</v>
      </c>
      <c r="H89" s="14" t="s">
        <v>1451</v>
      </c>
      <c r="I89" s="14" t="s">
        <v>1452</v>
      </c>
      <c r="J89" s="2">
        <v>0</v>
      </c>
      <c r="K89" s="2">
        <v>5</v>
      </c>
      <c r="L89" s="2">
        <v>7</v>
      </c>
      <c r="M89" s="2">
        <v>10</v>
      </c>
      <c r="N89" s="2">
        <v>13</v>
      </c>
      <c r="O89" s="3">
        <f t="shared" si="4"/>
        <v>33000</v>
      </c>
      <c r="P89" s="3">
        <v>5000</v>
      </c>
      <c r="Q89" s="3">
        <v>0</v>
      </c>
      <c r="R89" s="3">
        <v>3000</v>
      </c>
      <c r="S89" s="3">
        <v>25000</v>
      </c>
      <c r="T89" s="10" t="s">
        <v>1403</v>
      </c>
    </row>
    <row r="90" spans="1:20" ht="51">
      <c r="A90" s="549"/>
      <c r="B90" s="549"/>
      <c r="C90" s="721"/>
      <c r="D90" s="14" t="s">
        <v>1396</v>
      </c>
      <c r="E90" s="14" t="s">
        <v>1397</v>
      </c>
      <c r="F90" s="2">
        <v>203</v>
      </c>
      <c r="G90" s="96">
        <v>162</v>
      </c>
      <c r="H90" s="14" t="s">
        <v>1453</v>
      </c>
      <c r="I90" s="14" t="s">
        <v>3016</v>
      </c>
      <c r="J90" s="2">
        <v>1</v>
      </c>
      <c r="K90" s="2">
        <v>1</v>
      </c>
      <c r="L90" s="2">
        <v>1</v>
      </c>
      <c r="M90" s="2">
        <v>1</v>
      </c>
      <c r="N90" s="2">
        <v>1</v>
      </c>
      <c r="O90" s="3">
        <f t="shared" si="4"/>
        <v>10000</v>
      </c>
      <c r="P90" s="3">
        <v>5000</v>
      </c>
      <c r="Q90" s="3">
        <v>0</v>
      </c>
      <c r="R90" s="3">
        <v>0</v>
      </c>
      <c r="S90" s="3">
        <v>5000</v>
      </c>
      <c r="T90" s="10" t="s">
        <v>1403</v>
      </c>
    </row>
    <row r="91" spans="1:20" ht="51">
      <c r="A91" s="549"/>
      <c r="B91" s="549"/>
      <c r="C91" s="721"/>
      <c r="D91" s="14" t="s">
        <v>1398</v>
      </c>
      <c r="E91" s="14" t="s">
        <v>1399</v>
      </c>
      <c r="F91" s="2">
        <v>451</v>
      </c>
      <c r="G91" s="2">
        <v>361</v>
      </c>
      <c r="H91" s="14" t="s">
        <v>1454</v>
      </c>
      <c r="I91" s="14" t="s">
        <v>1455</v>
      </c>
      <c r="J91" s="2">
        <v>1</v>
      </c>
      <c r="K91" s="2">
        <v>1</v>
      </c>
      <c r="L91" s="2">
        <v>1</v>
      </c>
      <c r="M91" s="2">
        <v>1</v>
      </c>
      <c r="N91" s="2">
        <v>1</v>
      </c>
      <c r="O91" s="3">
        <f t="shared" si="4"/>
        <v>10000</v>
      </c>
      <c r="P91" s="3">
        <v>5000</v>
      </c>
      <c r="Q91" s="3">
        <v>0</v>
      </c>
      <c r="R91" s="3">
        <v>0</v>
      </c>
      <c r="S91" s="3">
        <v>5000</v>
      </c>
      <c r="T91" s="10" t="s">
        <v>1403</v>
      </c>
    </row>
    <row r="92" spans="1:20" ht="63.75">
      <c r="A92" s="549"/>
      <c r="B92" s="549"/>
      <c r="C92" s="721"/>
      <c r="D92" s="14" t="s">
        <v>1400</v>
      </c>
      <c r="E92" s="14" t="s">
        <v>1401</v>
      </c>
      <c r="F92" s="117">
        <v>76</v>
      </c>
      <c r="G92" s="2">
        <v>46</v>
      </c>
      <c r="H92" s="14" t="s">
        <v>1456</v>
      </c>
      <c r="I92" s="14" t="s">
        <v>1457</v>
      </c>
      <c r="J92" s="2">
        <v>12</v>
      </c>
      <c r="K92" s="2">
        <v>5</v>
      </c>
      <c r="L92" s="2">
        <v>10</v>
      </c>
      <c r="M92" s="2">
        <v>15</v>
      </c>
      <c r="N92" s="2">
        <v>20</v>
      </c>
      <c r="O92" s="3">
        <f>+P92+S92</f>
        <v>30000</v>
      </c>
      <c r="P92" s="3">
        <v>15000</v>
      </c>
      <c r="Q92" s="3">
        <v>0</v>
      </c>
      <c r="R92" s="3">
        <v>0</v>
      </c>
      <c r="S92" s="3">
        <v>15000</v>
      </c>
      <c r="T92" s="10" t="s">
        <v>1403</v>
      </c>
    </row>
    <row r="93" spans="1:20" ht="51">
      <c r="A93" s="549" t="s">
        <v>1458</v>
      </c>
      <c r="B93" s="549">
        <v>0.81</v>
      </c>
      <c r="C93" s="721"/>
      <c r="D93" s="14" t="s">
        <v>1459</v>
      </c>
      <c r="E93" s="14" t="s">
        <v>1460</v>
      </c>
      <c r="F93" s="2">
        <v>0</v>
      </c>
      <c r="G93" s="2">
        <v>1</v>
      </c>
      <c r="H93" s="2" t="s">
        <v>1461</v>
      </c>
      <c r="I93" s="10" t="s">
        <v>3031</v>
      </c>
      <c r="J93" s="2">
        <v>10</v>
      </c>
      <c r="K93" s="2">
        <v>5</v>
      </c>
      <c r="L93" s="2">
        <v>7</v>
      </c>
      <c r="M93" s="2">
        <v>10</v>
      </c>
      <c r="N93" s="2">
        <v>13</v>
      </c>
      <c r="O93" s="3">
        <f t="shared" si="4"/>
        <v>220000</v>
      </c>
      <c r="P93" s="3">
        <f>150000-(SUM(P94:P96))</f>
        <v>80000</v>
      </c>
      <c r="Q93" s="3">
        <f>160000-(SUM(Q94:Q96))</f>
        <v>10000</v>
      </c>
      <c r="R93" s="3">
        <f>160000-(SUM(R94:R96))</f>
        <v>70000</v>
      </c>
      <c r="S93" s="3">
        <f>170000-(SUM(S94:S96))</f>
        <v>60000</v>
      </c>
      <c r="T93" s="10" t="s">
        <v>1243</v>
      </c>
    </row>
    <row r="94" spans="1:20" ht="51">
      <c r="A94" s="549"/>
      <c r="B94" s="549"/>
      <c r="C94" s="721"/>
      <c r="D94" s="14" t="s">
        <v>1462</v>
      </c>
      <c r="E94" s="14" t="s">
        <v>1463</v>
      </c>
      <c r="F94" s="2">
        <v>0</v>
      </c>
      <c r="G94" s="2">
        <v>1</v>
      </c>
      <c r="H94" s="2" t="s">
        <v>1464</v>
      </c>
      <c r="I94" s="10" t="s">
        <v>3016</v>
      </c>
      <c r="J94" s="2">
        <v>0</v>
      </c>
      <c r="K94" s="2">
        <v>5</v>
      </c>
      <c r="L94" s="2">
        <v>10</v>
      </c>
      <c r="M94" s="2">
        <v>10</v>
      </c>
      <c r="N94" s="2">
        <v>15</v>
      </c>
      <c r="O94" s="3">
        <f t="shared" si="4"/>
        <v>140000</v>
      </c>
      <c r="P94" s="3">
        <v>20000</v>
      </c>
      <c r="Q94" s="3">
        <v>30000</v>
      </c>
      <c r="R94" s="3">
        <v>40000</v>
      </c>
      <c r="S94" s="3">
        <v>50000</v>
      </c>
      <c r="T94" s="10" t="s">
        <v>1243</v>
      </c>
    </row>
    <row r="95" spans="1:20" ht="51">
      <c r="A95" s="549"/>
      <c r="B95" s="549"/>
      <c r="C95" s="721"/>
      <c r="D95" s="14" t="s">
        <v>1465</v>
      </c>
      <c r="E95" s="14" t="s">
        <v>1466</v>
      </c>
      <c r="F95" s="2">
        <v>0</v>
      </c>
      <c r="G95" s="2">
        <v>1</v>
      </c>
      <c r="H95" s="2" t="s">
        <v>1467</v>
      </c>
      <c r="I95" s="10" t="s">
        <v>1448</v>
      </c>
      <c r="J95" s="2">
        <v>0</v>
      </c>
      <c r="K95" s="2">
        <v>0</v>
      </c>
      <c r="L95" s="2">
        <v>1</v>
      </c>
      <c r="M95" s="2">
        <v>0</v>
      </c>
      <c r="N95" s="2">
        <v>0</v>
      </c>
      <c r="O95" s="3">
        <f t="shared" si="4"/>
        <v>80000</v>
      </c>
      <c r="P95" s="3">
        <v>0</v>
      </c>
      <c r="Q95" s="3">
        <v>80000</v>
      </c>
      <c r="R95" s="3">
        <v>0</v>
      </c>
      <c r="S95" s="3">
        <v>0</v>
      </c>
      <c r="T95" s="10" t="s">
        <v>1243</v>
      </c>
    </row>
    <row r="96" spans="1:20" ht="51">
      <c r="A96" s="549"/>
      <c r="B96" s="549"/>
      <c r="C96" s="721"/>
      <c r="D96" s="14" t="s">
        <v>1468</v>
      </c>
      <c r="E96" s="14" t="s">
        <v>1469</v>
      </c>
      <c r="F96" s="2">
        <v>1</v>
      </c>
      <c r="G96" s="2">
        <v>1</v>
      </c>
      <c r="H96" s="2" t="s">
        <v>1470</v>
      </c>
      <c r="I96" s="10" t="s">
        <v>1471</v>
      </c>
      <c r="J96" s="2">
        <v>1</v>
      </c>
      <c r="K96" s="2">
        <v>1</v>
      </c>
      <c r="L96" s="2">
        <v>1</v>
      </c>
      <c r="M96" s="2">
        <v>1</v>
      </c>
      <c r="N96" s="2">
        <v>1</v>
      </c>
      <c r="O96" s="3">
        <f t="shared" si="4"/>
        <v>200000</v>
      </c>
      <c r="P96" s="3">
        <v>50000</v>
      </c>
      <c r="Q96" s="3">
        <v>40000</v>
      </c>
      <c r="R96" s="3">
        <v>50000</v>
      </c>
      <c r="S96" s="3">
        <v>60000</v>
      </c>
      <c r="T96" s="10" t="s">
        <v>1243</v>
      </c>
    </row>
    <row r="97" spans="1:20" ht="63.75">
      <c r="A97" s="549" t="s">
        <v>1495</v>
      </c>
      <c r="B97" s="549">
        <v>0.29</v>
      </c>
      <c r="C97" s="721"/>
      <c r="D97" s="14" t="s">
        <v>1496</v>
      </c>
      <c r="E97" s="14" t="s">
        <v>2372</v>
      </c>
      <c r="F97" s="2">
        <v>0</v>
      </c>
      <c r="G97" s="2">
        <v>24</v>
      </c>
      <c r="H97" s="2" t="s">
        <v>1497</v>
      </c>
      <c r="I97" s="10" t="s">
        <v>3016</v>
      </c>
      <c r="J97" s="2">
        <v>0</v>
      </c>
      <c r="K97" s="2">
        <v>5</v>
      </c>
      <c r="L97" s="2">
        <v>5</v>
      </c>
      <c r="M97" s="2">
        <v>7</v>
      </c>
      <c r="N97" s="2">
        <v>7</v>
      </c>
      <c r="O97" s="3">
        <f t="shared" si="4"/>
        <v>120000</v>
      </c>
      <c r="P97" s="3">
        <f>150000-(SUM(P98:P102))</f>
        <v>50000</v>
      </c>
      <c r="Q97" s="3">
        <f>160000-(SUM(Q98:Q102))</f>
        <v>10000</v>
      </c>
      <c r="R97" s="3">
        <f>160000-(SUM(R98:R102))</f>
        <v>35000</v>
      </c>
      <c r="S97" s="3">
        <f>170000-(SUM(S98:S102))</f>
        <v>25000</v>
      </c>
      <c r="T97" s="10" t="s">
        <v>1243</v>
      </c>
    </row>
    <row r="98" spans="1:20" ht="63.75">
      <c r="A98" s="549"/>
      <c r="B98" s="549"/>
      <c r="C98" s="721"/>
      <c r="D98" s="14" t="s">
        <v>1498</v>
      </c>
      <c r="E98" s="14" t="s">
        <v>1499</v>
      </c>
      <c r="F98" s="2">
        <v>0</v>
      </c>
      <c r="G98" s="2">
        <v>1</v>
      </c>
      <c r="H98" s="2" t="s">
        <v>1500</v>
      </c>
      <c r="I98" s="10" t="s">
        <v>1501</v>
      </c>
      <c r="J98" s="2">
        <v>0</v>
      </c>
      <c r="K98" s="2">
        <v>0</v>
      </c>
      <c r="L98" s="2">
        <v>1</v>
      </c>
      <c r="M98" s="2">
        <v>0</v>
      </c>
      <c r="N98" s="2">
        <v>0</v>
      </c>
      <c r="O98" s="3">
        <f t="shared" si="4"/>
        <v>90000</v>
      </c>
      <c r="P98" s="3">
        <v>0</v>
      </c>
      <c r="Q98" s="3">
        <v>90000</v>
      </c>
      <c r="R98" s="3">
        <v>0</v>
      </c>
      <c r="S98" s="3">
        <v>0</v>
      </c>
      <c r="T98" s="10" t="s">
        <v>1403</v>
      </c>
    </row>
    <row r="99" spans="1:20" ht="51">
      <c r="A99" s="549"/>
      <c r="B99" s="549"/>
      <c r="C99" s="721"/>
      <c r="D99" s="14" t="s">
        <v>1502</v>
      </c>
      <c r="E99" s="14" t="s">
        <v>1503</v>
      </c>
      <c r="F99" s="2">
        <v>1</v>
      </c>
      <c r="G99" s="2">
        <v>1</v>
      </c>
      <c r="H99" s="2" t="s">
        <v>1504</v>
      </c>
      <c r="I99" s="10" t="s">
        <v>1505</v>
      </c>
      <c r="J99" s="2">
        <v>1</v>
      </c>
      <c r="K99" s="2">
        <v>1</v>
      </c>
      <c r="L99" s="2">
        <v>1</v>
      </c>
      <c r="M99" s="2">
        <v>1</v>
      </c>
      <c r="N99" s="2">
        <v>1</v>
      </c>
      <c r="O99" s="3">
        <f t="shared" si="4"/>
        <v>200000</v>
      </c>
      <c r="P99" s="3">
        <v>50000</v>
      </c>
      <c r="Q99" s="3">
        <v>20000</v>
      </c>
      <c r="R99" s="3">
        <v>60000</v>
      </c>
      <c r="S99" s="3">
        <v>70000</v>
      </c>
      <c r="T99" s="10" t="s">
        <v>1403</v>
      </c>
    </row>
    <row r="100" spans="1:20" ht="51">
      <c r="A100" s="549"/>
      <c r="B100" s="549"/>
      <c r="C100" s="721"/>
      <c r="D100" s="14" t="s">
        <v>1506</v>
      </c>
      <c r="E100" s="14" t="s">
        <v>1507</v>
      </c>
      <c r="F100" s="2">
        <v>0</v>
      </c>
      <c r="G100" s="2">
        <v>1</v>
      </c>
      <c r="H100" s="2" t="s">
        <v>1508</v>
      </c>
      <c r="I100" s="10" t="s">
        <v>2359</v>
      </c>
      <c r="J100" s="2">
        <v>0</v>
      </c>
      <c r="K100" s="2">
        <v>1</v>
      </c>
      <c r="L100" s="2">
        <v>1</v>
      </c>
      <c r="M100" s="2">
        <v>1</v>
      </c>
      <c r="N100" s="2">
        <v>1</v>
      </c>
      <c r="O100" s="3">
        <f t="shared" si="4"/>
        <v>40000</v>
      </c>
      <c r="P100" s="3">
        <v>10000</v>
      </c>
      <c r="Q100" s="3">
        <v>10000</v>
      </c>
      <c r="R100" s="3">
        <v>10000</v>
      </c>
      <c r="S100" s="3">
        <v>10000</v>
      </c>
      <c r="T100" s="10" t="s">
        <v>1403</v>
      </c>
    </row>
    <row r="101" spans="1:20" ht="63.75">
      <c r="A101" s="549"/>
      <c r="B101" s="549"/>
      <c r="C101" s="721"/>
      <c r="D101" s="14" t="s">
        <v>1509</v>
      </c>
      <c r="E101" s="14" t="s">
        <v>1510</v>
      </c>
      <c r="F101" s="2">
        <v>1</v>
      </c>
      <c r="G101" s="2">
        <v>1</v>
      </c>
      <c r="H101" s="2" t="s">
        <v>1511</v>
      </c>
      <c r="I101" s="10" t="s">
        <v>1323</v>
      </c>
      <c r="J101" s="2">
        <v>500</v>
      </c>
      <c r="K101" s="2">
        <v>150</v>
      </c>
      <c r="L101" s="2">
        <v>300</v>
      </c>
      <c r="M101" s="2">
        <v>450</v>
      </c>
      <c r="N101" s="2">
        <v>600</v>
      </c>
      <c r="O101" s="3">
        <f t="shared" si="4"/>
        <v>90000</v>
      </c>
      <c r="P101" s="3">
        <v>20000</v>
      </c>
      <c r="Q101" s="3">
        <v>20000</v>
      </c>
      <c r="R101" s="3">
        <v>25000</v>
      </c>
      <c r="S101" s="3">
        <v>25000</v>
      </c>
      <c r="T101" s="10" t="s">
        <v>1403</v>
      </c>
    </row>
    <row r="102" spans="1:20" ht="63.75">
      <c r="A102" s="549"/>
      <c r="B102" s="549"/>
      <c r="C102" s="721"/>
      <c r="D102" s="14" t="s">
        <v>1512</v>
      </c>
      <c r="E102" s="14" t="s">
        <v>1513</v>
      </c>
      <c r="F102" s="97">
        <v>0.32</v>
      </c>
      <c r="G102" s="97">
        <v>0.32</v>
      </c>
      <c r="H102" s="2" t="s">
        <v>1514</v>
      </c>
      <c r="I102" s="10" t="s">
        <v>1515</v>
      </c>
      <c r="J102" s="2">
        <v>6000</v>
      </c>
      <c r="K102" s="2">
        <v>500</v>
      </c>
      <c r="L102" s="2">
        <v>543</v>
      </c>
      <c r="M102" s="2">
        <v>900</v>
      </c>
      <c r="N102" s="2">
        <v>900</v>
      </c>
      <c r="O102" s="3">
        <f t="shared" si="4"/>
        <v>100000</v>
      </c>
      <c r="P102" s="3">
        <v>20000</v>
      </c>
      <c r="Q102" s="3">
        <v>10000</v>
      </c>
      <c r="R102" s="3">
        <v>30000</v>
      </c>
      <c r="S102" s="3">
        <v>40000</v>
      </c>
      <c r="T102" s="10" t="s">
        <v>1516</v>
      </c>
    </row>
    <row r="103" spans="1:20" ht="89.25">
      <c r="A103" s="549" t="s">
        <v>1517</v>
      </c>
      <c r="B103" s="549">
        <v>0.29</v>
      </c>
      <c r="C103" s="721"/>
      <c r="D103" s="14" t="s">
        <v>1518</v>
      </c>
      <c r="E103" s="14" t="s">
        <v>1519</v>
      </c>
      <c r="F103" s="2">
        <v>0</v>
      </c>
      <c r="G103" s="2">
        <v>1000</v>
      </c>
      <c r="H103" s="113" t="s">
        <v>1520</v>
      </c>
      <c r="I103" s="10" t="s">
        <v>1521</v>
      </c>
      <c r="J103" s="2">
        <v>0</v>
      </c>
      <c r="K103" s="2">
        <v>10</v>
      </c>
      <c r="L103" s="2">
        <v>10</v>
      </c>
      <c r="M103" s="2">
        <v>15</v>
      </c>
      <c r="N103" s="2">
        <v>15</v>
      </c>
      <c r="O103" s="3">
        <f t="shared" si="4"/>
        <v>31000</v>
      </c>
      <c r="P103" s="3">
        <f>50000-(SUM(P104:P109))</f>
        <v>9000</v>
      </c>
      <c r="Q103" s="3">
        <f>60000-(SUM(Q104:Q109))</f>
        <v>4000</v>
      </c>
      <c r="R103" s="3">
        <f>60000-(SUM(R104:R109))</f>
        <v>9000</v>
      </c>
      <c r="S103" s="3">
        <f>60000-(SUM(S104:S109))</f>
        <v>9000</v>
      </c>
      <c r="T103" s="10" t="s">
        <v>1522</v>
      </c>
    </row>
    <row r="104" spans="1:20" ht="63.75">
      <c r="A104" s="549"/>
      <c r="B104" s="549"/>
      <c r="C104" s="721"/>
      <c r="D104" s="14" t="s">
        <v>1523</v>
      </c>
      <c r="E104" s="14" t="s">
        <v>1524</v>
      </c>
      <c r="F104" s="2">
        <v>1</v>
      </c>
      <c r="G104" s="2">
        <v>1</v>
      </c>
      <c r="H104" s="113" t="s">
        <v>1525</v>
      </c>
      <c r="I104" s="10" t="s">
        <v>1526</v>
      </c>
      <c r="J104" s="2">
        <v>1</v>
      </c>
      <c r="K104" s="2">
        <v>0</v>
      </c>
      <c r="L104" s="2">
        <v>1</v>
      </c>
      <c r="M104" s="2">
        <v>0</v>
      </c>
      <c r="N104" s="2">
        <v>0</v>
      </c>
      <c r="O104" s="3">
        <f t="shared" si="4"/>
        <v>25000</v>
      </c>
      <c r="P104" s="3">
        <v>0</v>
      </c>
      <c r="Q104" s="3">
        <v>25000</v>
      </c>
      <c r="R104" s="3">
        <v>0</v>
      </c>
      <c r="S104" s="3">
        <v>0</v>
      </c>
      <c r="T104" s="10" t="s">
        <v>1522</v>
      </c>
    </row>
    <row r="105" spans="1:20" ht="51">
      <c r="A105" s="549"/>
      <c r="B105" s="549"/>
      <c r="C105" s="721"/>
      <c r="D105" s="560" t="s">
        <v>1527</v>
      </c>
      <c r="E105" s="560" t="s">
        <v>1528</v>
      </c>
      <c r="F105" s="661">
        <v>0</v>
      </c>
      <c r="G105" s="661">
        <v>1</v>
      </c>
      <c r="H105" s="113" t="s">
        <v>1529</v>
      </c>
      <c r="I105" s="10" t="s">
        <v>3016</v>
      </c>
      <c r="J105" s="2">
        <v>0</v>
      </c>
      <c r="K105" s="2">
        <v>1</v>
      </c>
      <c r="L105" s="2">
        <v>1</v>
      </c>
      <c r="M105" s="2">
        <v>1</v>
      </c>
      <c r="N105" s="2">
        <v>1</v>
      </c>
      <c r="O105" s="3">
        <f t="shared" si="4"/>
        <v>40000</v>
      </c>
      <c r="P105" s="3">
        <v>10000</v>
      </c>
      <c r="Q105" s="3">
        <v>10000</v>
      </c>
      <c r="R105" s="3">
        <v>10000</v>
      </c>
      <c r="S105" s="3">
        <v>10000</v>
      </c>
      <c r="T105" s="10" t="s">
        <v>1530</v>
      </c>
    </row>
    <row r="106" spans="1:20" ht="25.5">
      <c r="A106" s="549"/>
      <c r="B106" s="549"/>
      <c r="C106" s="721"/>
      <c r="D106" s="604"/>
      <c r="E106" s="604"/>
      <c r="F106" s="662"/>
      <c r="G106" s="662"/>
      <c r="H106" s="113" t="s">
        <v>1531</v>
      </c>
      <c r="I106" s="10" t="s">
        <v>1507</v>
      </c>
      <c r="J106" s="2">
        <v>0</v>
      </c>
      <c r="K106" s="2">
        <v>1</v>
      </c>
      <c r="L106" s="2">
        <v>1</v>
      </c>
      <c r="M106" s="2">
        <v>1</v>
      </c>
      <c r="N106" s="2">
        <v>1</v>
      </c>
      <c r="O106" s="3">
        <f t="shared" si="4"/>
        <v>4000</v>
      </c>
      <c r="P106" s="3">
        <v>1000</v>
      </c>
      <c r="Q106" s="3">
        <v>1000</v>
      </c>
      <c r="R106" s="3">
        <v>1000</v>
      </c>
      <c r="S106" s="3">
        <v>1000</v>
      </c>
      <c r="T106" s="10" t="s">
        <v>1530</v>
      </c>
    </row>
    <row r="107" spans="1:20" ht="51">
      <c r="A107" s="549"/>
      <c r="B107" s="549"/>
      <c r="C107" s="721"/>
      <c r="D107" s="14" t="s">
        <v>1532</v>
      </c>
      <c r="E107" s="14" t="s">
        <v>1533</v>
      </c>
      <c r="F107" s="2">
        <v>0</v>
      </c>
      <c r="G107" s="2">
        <v>13</v>
      </c>
      <c r="H107" s="113" t="s">
        <v>1534</v>
      </c>
      <c r="I107" s="10" t="s">
        <v>1535</v>
      </c>
      <c r="J107" s="2">
        <v>0</v>
      </c>
      <c r="K107" s="2">
        <v>13</v>
      </c>
      <c r="L107" s="2">
        <v>13</v>
      </c>
      <c r="M107" s="2">
        <v>13</v>
      </c>
      <c r="N107" s="2">
        <v>13</v>
      </c>
      <c r="O107" s="3">
        <f t="shared" si="4"/>
        <v>65000</v>
      </c>
      <c r="P107" s="3">
        <v>15000</v>
      </c>
      <c r="Q107" s="3">
        <v>10000</v>
      </c>
      <c r="R107" s="3">
        <v>20000</v>
      </c>
      <c r="S107" s="3">
        <v>20000</v>
      </c>
      <c r="T107" s="10" t="s">
        <v>1522</v>
      </c>
    </row>
    <row r="108" spans="1:20" ht="89.25">
      <c r="A108" s="549"/>
      <c r="B108" s="549"/>
      <c r="C108" s="721"/>
      <c r="D108" s="14" t="s">
        <v>1536</v>
      </c>
      <c r="E108" s="14" t="s">
        <v>1537</v>
      </c>
      <c r="F108" s="2">
        <v>0</v>
      </c>
      <c r="G108" s="2">
        <v>500</v>
      </c>
      <c r="H108" s="113" t="s">
        <v>1538</v>
      </c>
      <c r="I108" s="10" t="s">
        <v>1539</v>
      </c>
      <c r="J108" s="2">
        <v>0</v>
      </c>
      <c r="K108" s="2">
        <v>100</v>
      </c>
      <c r="L108" s="2">
        <v>100</v>
      </c>
      <c r="M108" s="2">
        <v>150</v>
      </c>
      <c r="N108" s="2">
        <v>150</v>
      </c>
      <c r="O108" s="3">
        <f t="shared" si="4"/>
        <v>45000</v>
      </c>
      <c r="P108" s="3">
        <v>10000</v>
      </c>
      <c r="Q108" s="3">
        <v>5000</v>
      </c>
      <c r="R108" s="3">
        <v>15000</v>
      </c>
      <c r="S108" s="3">
        <v>15000</v>
      </c>
      <c r="T108" s="10" t="s">
        <v>1403</v>
      </c>
    </row>
    <row r="109" spans="1:20" ht="63.75">
      <c r="A109" s="549"/>
      <c r="B109" s="549"/>
      <c r="C109" s="721"/>
      <c r="D109" s="14" t="s">
        <v>1540</v>
      </c>
      <c r="E109" s="14" t="s">
        <v>1541</v>
      </c>
      <c r="F109" s="2">
        <v>0</v>
      </c>
      <c r="G109" s="2">
        <v>1</v>
      </c>
      <c r="H109" s="113" t="s">
        <v>1542</v>
      </c>
      <c r="I109" s="10" t="s">
        <v>1543</v>
      </c>
      <c r="J109" s="2">
        <v>0</v>
      </c>
      <c r="K109" s="2">
        <v>1</v>
      </c>
      <c r="L109" s="2">
        <v>1</v>
      </c>
      <c r="M109" s="2">
        <v>1</v>
      </c>
      <c r="N109" s="2">
        <v>1</v>
      </c>
      <c r="O109" s="3">
        <f t="shared" si="4"/>
        <v>20000</v>
      </c>
      <c r="P109" s="3">
        <v>5000</v>
      </c>
      <c r="Q109" s="3">
        <v>5000</v>
      </c>
      <c r="R109" s="3">
        <v>5000</v>
      </c>
      <c r="S109" s="3">
        <v>5000</v>
      </c>
      <c r="T109" s="10" t="s">
        <v>1403</v>
      </c>
    </row>
    <row r="110" spans="1:20" ht="89.25">
      <c r="A110" s="549" t="s">
        <v>1544</v>
      </c>
      <c r="B110" s="549"/>
      <c r="C110" s="721"/>
      <c r="D110" s="549" t="s">
        <v>1545</v>
      </c>
      <c r="E110" s="549" t="s">
        <v>1546</v>
      </c>
      <c r="F110" s="570">
        <v>0</v>
      </c>
      <c r="G110" s="570">
        <v>100</v>
      </c>
      <c r="H110" s="194" t="s">
        <v>1547</v>
      </c>
      <c r="I110" s="14" t="s">
        <v>613</v>
      </c>
      <c r="J110" s="2">
        <v>77</v>
      </c>
      <c r="K110" s="2">
        <v>50</v>
      </c>
      <c r="L110" s="2">
        <v>50</v>
      </c>
      <c r="M110" s="2">
        <v>50</v>
      </c>
      <c r="N110" s="2">
        <v>50</v>
      </c>
      <c r="O110" s="13"/>
      <c r="P110" s="3"/>
      <c r="Q110" s="3"/>
      <c r="R110" s="3"/>
      <c r="S110" s="3"/>
      <c r="T110" s="822" t="s">
        <v>1977</v>
      </c>
    </row>
    <row r="111" spans="1:20" ht="38.25">
      <c r="A111" s="549"/>
      <c r="B111" s="549"/>
      <c r="C111" s="721"/>
      <c r="D111" s="549"/>
      <c r="E111" s="549"/>
      <c r="F111" s="570"/>
      <c r="G111" s="570"/>
      <c r="H111" s="194" t="s">
        <v>614</v>
      </c>
      <c r="I111" s="14" t="s">
        <v>615</v>
      </c>
      <c r="J111" s="2">
        <v>78</v>
      </c>
      <c r="K111" s="2">
        <v>50</v>
      </c>
      <c r="L111" s="2">
        <v>50</v>
      </c>
      <c r="M111" s="2">
        <v>50</v>
      </c>
      <c r="N111" s="2">
        <v>50</v>
      </c>
      <c r="O111" s="13"/>
      <c r="P111" s="3"/>
      <c r="Q111" s="3"/>
      <c r="R111" s="3"/>
      <c r="S111" s="3"/>
      <c r="T111" s="586"/>
    </row>
    <row r="112" spans="1:20" ht="51">
      <c r="A112" s="549"/>
      <c r="B112" s="549"/>
      <c r="C112" s="721"/>
      <c r="D112" s="194" t="s">
        <v>2634</v>
      </c>
      <c r="E112" s="14" t="s">
        <v>2635</v>
      </c>
      <c r="F112" s="2">
        <v>0</v>
      </c>
      <c r="G112" s="2">
        <v>110</v>
      </c>
      <c r="H112" s="113" t="s">
        <v>1550</v>
      </c>
      <c r="I112" s="10" t="s">
        <v>1551</v>
      </c>
      <c r="J112" s="2">
        <v>0.02</v>
      </c>
      <c r="K112" s="2">
        <v>150</v>
      </c>
      <c r="L112" s="2">
        <v>150</v>
      </c>
      <c r="M112" s="2">
        <v>150</v>
      </c>
      <c r="N112" s="2">
        <v>150</v>
      </c>
      <c r="O112" s="13"/>
      <c r="P112" s="3"/>
      <c r="Q112" s="3"/>
      <c r="R112" s="3"/>
      <c r="S112" s="3"/>
      <c r="T112" s="586"/>
    </row>
    <row r="113" spans="1:20" ht="51">
      <c r="A113" s="549"/>
      <c r="B113" s="549"/>
      <c r="C113" s="721"/>
      <c r="D113" s="194" t="s">
        <v>2636</v>
      </c>
      <c r="E113" s="194" t="s">
        <v>2637</v>
      </c>
      <c r="F113" s="2">
        <v>0</v>
      </c>
      <c r="G113" s="2">
        <v>58</v>
      </c>
      <c r="H113" s="113" t="s">
        <v>1550</v>
      </c>
      <c r="I113" s="10" t="s">
        <v>1551</v>
      </c>
      <c r="J113" s="2"/>
      <c r="K113" s="2">
        <v>150</v>
      </c>
      <c r="L113" s="2">
        <v>150</v>
      </c>
      <c r="M113" s="2">
        <v>150</v>
      </c>
      <c r="N113" s="2">
        <v>150</v>
      </c>
      <c r="O113" s="13"/>
      <c r="P113" s="3"/>
      <c r="Q113" s="3"/>
      <c r="R113" s="3"/>
      <c r="S113" s="3"/>
      <c r="T113" s="823"/>
    </row>
    <row r="114" spans="1:20" ht="51">
      <c r="A114" s="549" t="s">
        <v>2638</v>
      </c>
      <c r="B114" s="549">
        <v>0.28</v>
      </c>
      <c r="C114" s="721"/>
      <c r="D114" s="549" t="s">
        <v>2639</v>
      </c>
      <c r="E114" s="549" t="s">
        <v>2640</v>
      </c>
      <c r="F114" s="816">
        <v>15695</v>
      </c>
      <c r="G114" s="816">
        <v>20000</v>
      </c>
      <c r="H114" s="14" t="s">
        <v>2641</v>
      </c>
      <c r="I114" s="14" t="s">
        <v>2642</v>
      </c>
      <c r="J114" s="2">
        <v>37</v>
      </c>
      <c r="K114" s="2">
        <v>2</v>
      </c>
      <c r="L114" s="2">
        <v>4</v>
      </c>
      <c r="M114" s="2">
        <v>6</v>
      </c>
      <c r="N114" s="2">
        <v>8</v>
      </c>
      <c r="O114" s="3">
        <f>+P114+Q114+R114+S114</f>
        <v>40000</v>
      </c>
      <c r="P114" s="3">
        <f>50000-(SUM(P115:P118))</f>
        <v>10000</v>
      </c>
      <c r="Q114" s="3">
        <f>50000-(SUM(Q115:Q118))</f>
        <v>10000</v>
      </c>
      <c r="R114" s="3">
        <f>60000-(SUM(R115:R118))</f>
        <v>10000</v>
      </c>
      <c r="S114" s="3">
        <f>60000-(SUM(S115:S118))</f>
        <v>10000</v>
      </c>
      <c r="T114" s="10" t="s">
        <v>1403</v>
      </c>
    </row>
    <row r="115" spans="1:20" ht="63.75">
      <c r="A115" s="549"/>
      <c r="B115" s="549"/>
      <c r="C115" s="721"/>
      <c r="D115" s="549"/>
      <c r="E115" s="549"/>
      <c r="F115" s="816"/>
      <c r="G115" s="816"/>
      <c r="H115" s="14" t="s">
        <v>1564</v>
      </c>
      <c r="I115" s="14" t="s">
        <v>1565</v>
      </c>
      <c r="J115" s="2">
        <v>1</v>
      </c>
      <c r="K115" s="2">
        <v>1</v>
      </c>
      <c r="L115" s="2">
        <v>1</v>
      </c>
      <c r="M115" s="2">
        <v>2</v>
      </c>
      <c r="N115" s="2">
        <v>2</v>
      </c>
      <c r="O115" s="3">
        <f>+P115+Q115+R115+S115</f>
        <v>70000</v>
      </c>
      <c r="P115" s="3">
        <v>15000</v>
      </c>
      <c r="Q115" s="3">
        <v>15000</v>
      </c>
      <c r="R115" s="3">
        <v>20000</v>
      </c>
      <c r="S115" s="3">
        <v>20000</v>
      </c>
      <c r="T115" s="10" t="s">
        <v>1566</v>
      </c>
    </row>
    <row r="116" spans="1:20" ht="89.25">
      <c r="A116" s="549"/>
      <c r="B116" s="549"/>
      <c r="C116" s="721"/>
      <c r="D116" s="549"/>
      <c r="E116" s="549"/>
      <c r="F116" s="816"/>
      <c r="G116" s="816"/>
      <c r="H116" s="14" t="s">
        <v>1567</v>
      </c>
      <c r="I116" s="14" t="s">
        <v>1568</v>
      </c>
      <c r="J116" s="2">
        <v>0</v>
      </c>
      <c r="K116" s="2">
        <v>1</v>
      </c>
      <c r="L116" s="2">
        <v>2</v>
      </c>
      <c r="M116" s="2">
        <v>3</v>
      </c>
      <c r="N116" s="2">
        <v>4</v>
      </c>
      <c r="O116" s="3"/>
      <c r="P116" s="3"/>
      <c r="Q116" s="3"/>
      <c r="R116" s="3"/>
      <c r="S116" s="3"/>
      <c r="T116" s="10" t="s">
        <v>1977</v>
      </c>
    </row>
    <row r="117" spans="1:20" ht="51">
      <c r="A117" s="549"/>
      <c r="B117" s="549"/>
      <c r="C117" s="721"/>
      <c r="D117" s="549"/>
      <c r="E117" s="549"/>
      <c r="F117" s="816"/>
      <c r="G117" s="816"/>
      <c r="H117" s="14" t="s">
        <v>2643</v>
      </c>
      <c r="I117" s="14" t="s">
        <v>2644</v>
      </c>
      <c r="J117" s="2">
        <v>0</v>
      </c>
      <c r="K117" s="2">
        <v>1</v>
      </c>
      <c r="L117" s="2">
        <v>1</v>
      </c>
      <c r="M117" s="2">
        <v>1</v>
      </c>
      <c r="N117" s="2">
        <v>1</v>
      </c>
      <c r="O117" s="3">
        <f>+P117+Q117+R117+S117</f>
        <v>70000</v>
      </c>
      <c r="P117" s="3">
        <v>15000</v>
      </c>
      <c r="Q117" s="3">
        <v>15000</v>
      </c>
      <c r="R117" s="3">
        <v>20000</v>
      </c>
      <c r="S117" s="3">
        <v>20000</v>
      </c>
      <c r="T117" s="10" t="s">
        <v>1403</v>
      </c>
    </row>
    <row r="118" spans="1:20" ht="76.5">
      <c r="A118" s="549"/>
      <c r="B118" s="549"/>
      <c r="C118" s="721"/>
      <c r="D118" s="14" t="s">
        <v>2645</v>
      </c>
      <c r="E118" s="14" t="s">
        <v>2646</v>
      </c>
      <c r="F118" s="2">
        <v>0</v>
      </c>
      <c r="G118" s="2">
        <v>1</v>
      </c>
      <c r="H118" s="14" t="s">
        <v>1548</v>
      </c>
      <c r="I118" s="14" t="s">
        <v>1549</v>
      </c>
      <c r="J118" s="2">
        <v>0</v>
      </c>
      <c r="K118" s="2">
        <v>2</v>
      </c>
      <c r="L118" s="2">
        <v>4</v>
      </c>
      <c r="M118" s="2">
        <v>6</v>
      </c>
      <c r="N118" s="2">
        <v>8</v>
      </c>
      <c r="O118" s="3">
        <f>+P118+Q118+R118+S118</f>
        <v>40000</v>
      </c>
      <c r="P118" s="3">
        <v>10000</v>
      </c>
      <c r="Q118" s="3">
        <v>10000</v>
      </c>
      <c r="R118" s="3">
        <v>10000</v>
      </c>
      <c r="S118" s="3">
        <v>10000</v>
      </c>
      <c r="T118" s="10" t="s">
        <v>1403</v>
      </c>
    </row>
    <row r="119" spans="1:20" ht="63.75">
      <c r="A119" s="549" t="s">
        <v>1552</v>
      </c>
      <c r="B119" s="549"/>
      <c r="C119" s="721"/>
      <c r="D119" s="14" t="s">
        <v>1553</v>
      </c>
      <c r="E119" s="14" t="s">
        <v>1554</v>
      </c>
      <c r="F119" s="570"/>
      <c r="G119" s="570"/>
      <c r="H119" s="14" t="s">
        <v>1555</v>
      </c>
      <c r="I119" s="93" t="s">
        <v>1554</v>
      </c>
      <c r="J119" s="2"/>
      <c r="K119" s="2">
        <v>5</v>
      </c>
      <c r="L119" s="2">
        <v>10</v>
      </c>
      <c r="M119" s="2">
        <v>15</v>
      </c>
      <c r="N119" s="2">
        <v>20</v>
      </c>
      <c r="O119" s="13"/>
      <c r="P119" s="13"/>
      <c r="Q119" s="13"/>
      <c r="R119" s="13"/>
      <c r="S119" s="13"/>
      <c r="T119" s="560" t="s">
        <v>1977</v>
      </c>
    </row>
    <row r="120" spans="1:20" ht="76.5">
      <c r="A120" s="549"/>
      <c r="B120" s="549"/>
      <c r="C120" s="721"/>
      <c r="D120" s="14" t="s">
        <v>1556</v>
      </c>
      <c r="E120" s="14" t="s">
        <v>1557</v>
      </c>
      <c r="F120" s="570"/>
      <c r="G120" s="570"/>
      <c r="H120" s="193" t="s">
        <v>1558</v>
      </c>
      <c r="I120" s="93" t="s">
        <v>1559</v>
      </c>
      <c r="J120" s="2"/>
      <c r="K120" s="2">
        <v>0</v>
      </c>
      <c r="L120" s="2">
        <v>10</v>
      </c>
      <c r="M120" s="2">
        <v>15</v>
      </c>
      <c r="N120" s="2">
        <v>20</v>
      </c>
      <c r="O120" s="13"/>
      <c r="P120" s="13"/>
      <c r="Q120" s="13"/>
      <c r="R120" s="13"/>
      <c r="S120" s="13"/>
      <c r="T120" s="619"/>
    </row>
    <row r="121" spans="1:20" ht="51">
      <c r="A121" s="549"/>
      <c r="B121" s="549"/>
      <c r="C121" s="721"/>
      <c r="D121" s="14" t="s">
        <v>1560</v>
      </c>
      <c r="E121" s="14" t="s">
        <v>1561</v>
      </c>
      <c r="F121" s="570"/>
      <c r="G121" s="570"/>
      <c r="H121" s="193" t="s">
        <v>1562</v>
      </c>
      <c r="I121" s="93" t="s">
        <v>1563</v>
      </c>
      <c r="J121" s="2"/>
      <c r="K121" s="2">
        <v>1</v>
      </c>
      <c r="L121" s="2">
        <v>3</v>
      </c>
      <c r="M121" s="2">
        <v>4</v>
      </c>
      <c r="N121" s="2">
        <v>5</v>
      </c>
      <c r="O121" s="13"/>
      <c r="P121" s="13"/>
      <c r="Q121" s="13"/>
      <c r="R121" s="13"/>
      <c r="S121" s="13"/>
      <c r="T121" s="604"/>
    </row>
    <row r="122" spans="1:20" ht="38.25">
      <c r="A122" s="549" t="s">
        <v>1569</v>
      </c>
      <c r="B122" s="549"/>
      <c r="C122" s="721"/>
      <c r="D122" s="14" t="s">
        <v>1570</v>
      </c>
      <c r="E122" s="14" t="s">
        <v>1571</v>
      </c>
      <c r="F122" s="2"/>
      <c r="G122" s="2"/>
      <c r="H122" s="4" t="s">
        <v>1572</v>
      </c>
      <c r="I122" s="4" t="s">
        <v>1573</v>
      </c>
      <c r="J122" s="2">
        <v>40</v>
      </c>
      <c r="K122" s="2">
        <v>1</v>
      </c>
      <c r="L122" s="2">
        <v>2</v>
      </c>
      <c r="M122" s="2">
        <v>3</v>
      </c>
      <c r="N122" s="2">
        <v>4</v>
      </c>
      <c r="O122" s="3"/>
      <c r="P122" s="3"/>
      <c r="Q122" s="3"/>
      <c r="R122" s="3"/>
      <c r="S122" s="3"/>
      <c r="T122" s="560" t="s">
        <v>1977</v>
      </c>
    </row>
    <row r="123" spans="1:20" ht="38.25">
      <c r="A123" s="549"/>
      <c r="B123" s="549"/>
      <c r="C123" s="721"/>
      <c r="D123" s="549" t="s">
        <v>1574</v>
      </c>
      <c r="E123" s="549" t="s">
        <v>2640</v>
      </c>
      <c r="F123" s="570"/>
      <c r="G123" s="570"/>
      <c r="H123" s="14" t="s">
        <v>1575</v>
      </c>
      <c r="I123" s="14" t="s">
        <v>1576</v>
      </c>
      <c r="J123" s="661">
        <v>1</v>
      </c>
      <c r="K123" s="2">
        <v>1</v>
      </c>
      <c r="L123" s="2">
        <v>2</v>
      </c>
      <c r="M123" s="2">
        <v>3</v>
      </c>
      <c r="N123" s="2">
        <v>4</v>
      </c>
      <c r="O123" s="3"/>
      <c r="P123" s="3"/>
      <c r="Q123" s="3"/>
      <c r="R123" s="3"/>
      <c r="S123" s="3"/>
      <c r="T123" s="619"/>
    </row>
    <row r="124" spans="1:20" ht="63.75">
      <c r="A124" s="549"/>
      <c r="B124" s="549"/>
      <c r="C124" s="721"/>
      <c r="D124" s="549"/>
      <c r="E124" s="549"/>
      <c r="F124" s="570"/>
      <c r="G124" s="570"/>
      <c r="H124" s="14" t="s">
        <v>1577</v>
      </c>
      <c r="I124" s="14" t="s">
        <v>664</v>
      </c>
      <c r="J124" s="662"/>
      <c r="K124" s="2">
        <v>1</v>
      </c>
      <c r="L124" s="2">
        <v>2</v>
      </c>
      <c r="M124" s="2">
        <v>3</v>
      </c>
      <c r="N124" s="2">
        <v>4</v>
      </c>
      <c r="O124" s="3"/>
      <c r="P124" s="3"/>
      <c r="Q124" s="3"/>
      <c r="R124" s="3"/>
      <c r="S124" s="3"/>
      <c r="T124" s="619"/>
    </row>
    <row r="125" spans="1:20" ht="89.25">
      <c r="A125" s="549"/>
      <c r="B125" s="549"/>
      <c r="C125" s="721"/>
      <c r="D125" s="549" t="s">
        <v>665</v>
      </c>
      <c r="E125" s="549" t="s">
        <v>666</v>
      </c>
      <c r="F125" s="570"/>
      <c r="G125" s="570"/>
      <c r="H125" s="14" t="s">
        <v>667</v>
      </c>
      <c r="I125" s="14" t="s">
        <v>668</v>
      </c>
      <c r="J125" s="2" t="s">
        <v>669</v>
      </c>
      <c r="K125" s="2">
        <v>1</v>
      </c>
      <c r="L125" s="2">
        <v>4</v>
      </c>
      <c r="M125" s="2">
        <v>6</v>
      </c>
      <c r="N125" s="2">
        <v>8</v>
      </c>
      <c r="O125" s="3"/>
      <c r="P125" s="3"/>
      <c r="Q125" s="3"/>
      <c r="R125" s="3"/>
      <c r="S125" s="3"/>
      <c r="T125" s="619"/>
    </row>
    <row r="126" spans="1:20" ht="76.5">
      <c r="A126" s="549"/>
      <c r="B126" s="549"/>
      <c r="C126" s="721"/>
      <c r="D126" s="549"/>
      <c r="E126" s="549"/>
      <c r="F126" s="570"/>
      <c r="G126" s="570"/>
      <c r="H126" s="14" t="s">
        <v>670</v>
      </c>
      <c r="I126" s="14" t="s">
        <v>671</v>
      </c>
      <c r="J126" s="2">
        <v>1</v>
      </c>
      <c r="K126" s="2">
        <v>1</v>
      </c>
      <c r="L126" s="2">
        <v>2</v>
      </c>
      <c r="M126" s="2">
        <v>3</v>
      </c>
      <c r="N126" s="2">
        <v>5</v>
      </c>
      <c r="O126" s="3"/>
      <c r="P126" s="3"/>
      <c r="Q126" s="3"/>
      <c r="R126" s="3"/>
      <c r="S126" s="3"/>
      <c r="T126" s="619"/>
    </row>
    <row r="127" spans="1:20" ht="114.75">
      <c r="A127" s="549"/>
      <c r="B127" s="549"/>
      <c r="C127" s="721"/>
      <c r="D127" s="14" t="s">
        <v>672</v>
      </c>
      <c r="E127" s="14" t="s">
        <v>673</v>
      </c>
      <c r="F127" s="2"/>
      <c r="G127" s="2"/>
      <c r="H127" s="4" t="s">
        <v>674</v>
      </c>
      <c r="I127" s="4" t="s">
        <v>675</v>
      </c>
      <c r="J127" s="2"/>
      <c r="K127" s="2">
        <v>1</v>
      </c>
      <c r="L127" s="2">
        <v>2</v>
      </c>
      <c r="M127" s="2">
        <v>3</v>
      </c>
      <c r="N127" s="2">
        <v>5</v>
      </c>
      <c r="O127" s="3"/>
      <c r="P127" s="3"/>
      <c r="Q127" s="3"/>
      <c r="R127" s="3"/>
      <c r="S127" s="3"/>
      <c r="T127" s="619"/>
    </row>
    <row r="128" spans="1:20" ht="38.25">
      <c r="A128" s="549"/>
      <c r="B128" s="549"/>
      <c r="C128" s="721"/>
      <c r="D128" s="14" t="s">
        <v>676</v>
      </c>
      <c r="E128" s="14" t="s">
        <v>677</v>
      </c>
      <c r="F128" s="2" t="s">
        <v>678</v>
      </c>
      <c r="G128" s="2"/>
      <c r="H128" s="4" t="s">
        <v>679</v>
      </c>
      <c r="I128" s="4" t="s">
        <v>680</v>
      </c>
      <c r="J128" s="2">
        <v>19</v>
      </c>
      <c r="K128" s="2">
        <v>1</v>
      </c>
      <c r="L128" s="2">
        <v>1</v>
      </c>
      <c r="M128" s="2">
        <v>1</v>
      </c>
      <c r="N128" s="2">
        <v>1</v>
      </c>
      <c r="O128" s="3"/>
      <c r="P128" s="3"/>
      <c r="Q128" s="3"/>
      <c r="R128" s="3"/>
      <c r="S128" s="3"/>
      <c r="T128" s="619"/>
    </row>
    <row r="129" spans="1:20" ht="51">
      <c r="A129" s="549"/>
      <c r="B129" s="549"/>
      <c r="C129" s="721"/>
      <c r="D129" s="14" t="s">
        <v>681</v>
      </c>
      <c r="E129" s="14" t="s">
        <v>682</v>
      </c>
      <c r="F129" s="2">
        <v>14</v>
      </c>
      <c r="G129" s="2"/>
      <c r="H129" s="14" t="s">
        <v>53</v>
      </c>
      <c r="I129" s="14" t="s">
        <v>54</v>
      </c>
      <c r="J129" s="113">
        <v>14</v>
      </c>
      <c r="K129" s="113">
        <v>4</v>
      </c>
      <c r="L129" s="113">
        <v>8</v>
      </c>
      <c r="M129" s="113">
        <v>10</v>
      </c>
      <c r="N129" s="2">
        <v>10</v>
      </c>
      <c r="O129" s="3"/>
      <c r="P129" s="3"/>
      <c r="Q129" s="3"/>
      <c r="R129" s="3"/>
      <c r="S129" s="3"/>
      <c r="T129" s="619"/>
    </row>
    <row r="130" spans="1:20" ht="76.5">
      <c r="A130" s="549"/>
      <c r="B130" s="549"/>
      <c r="C130" s="721"/>
      <c r="D130" s="14" t="s">
        <v>55</v>
      </c>
      <c r="E130" s="14" t="s">
        <v>56</v>
      </c>
      <c r="F130" s="2">
        <v>40</v>
      </c>
      <c r="G130" s="2"/>
      <c r="H130" s="14" t="s">
        <v>55</v>
      </c>
      <c r="I130" s="14" t="s">
        <v>56</v>
      </c>
      <c r="J130" s="113">
        <v>40</v>
      </c>
      <c r="K130" s="113">
        <v>0</v>
      </c>
      <c r="L130" s="113">
        <v>50</v>
      </c>
      <c r="M130" s="113">
        <v>50</v>
      </c>
      <c r="N130" s="2">
        <v>50</v>
      </c>
      <c r="O130" s="3"/>
      <c r="P130" s="3"/>
      <c r="Q130" s="3"/>
      <c r="R130" s="3"/>
      <c r="S130" s="3"/>
      <c r="T130" s="604"/>
    </row>
    <row r="131" spans="1:20" ht="51">
      <c r="A131" s="549" t="s">
        <v>723</v>
      </c>
      <c r="B131" s="549"/>
      <c r="C131" s="721"/>
      <c r="D131" s="205" t="s">
        <v>57</v>
      </c>
      <c r="E131" s="205" t="s">
        <v>58</v>
      </c>
      <c r="F131" s="192">
        <v>1000</v>
      </c>
      <c r="G131" s="192">
        <v>1200</v>
      </c>
      <c r="H131" s="4" t="s">
        <v>59</v>
      </c>
      <c r="I131" s="4" t="s">
        <v>58</v>
      </c>
      <c r="J131" s="2">
        <v>1000</v>
      </c>
      <c r="K131" s="2">
        <v>200</v>
      </c>
      <c r="L131" s="2">
        <v>500</v>
      </c>
      <c r="M131" s="2">
        <v>900</v>
      </c>
      <c r="N131" s="2">
        <v>1200</v>
      </c>
      <c r="O131" s="3">
        <f aca="true" t="shared" si="5" ref="O131:O138">+P131+Q131+R131+S131</f>
        <v>720000</v>
      </c>
      <c r="P131" s="3">
        <v>150000</v>
      </c>
      <c r="Q131" s="3">
        <v>200000</v>
      </c>
      <c r="R131" s="3">
        <v>185000</v>
      </c>
      <c r="S131" s="3">
        <v>185000</v>
      </c>
      <c r="T131" s="640" t="s">
        <v>536</v>
      </c>
    </row>
    <row r="132" spans="1:20" ht="76.5">
      <c r="A132" s="549"/>
      <c r="B132" s="549"/>
      <c r="C132" s="721"/>
      <c r="D132" s="197" t="s">
        <v>60</v>
      </c>
      <c r="E132" s="30" t="s">
        <v>61</v>
      </c>
      <c r="F132" s="116">
        <v>12000</v>
      </c>
      <c r="G132" s="116">
        <v>12000</v>
      </c>
      <c r="H132" s="4" t="s">
        <v>62</v>
      </c>
      <c r="I132" s="4" t="s">
        <v>63</v>
      </c>
      <c r="J132" s="2">
        <v>4</v>
      </c>
      <c r="K132" s="2">
        <v>2</v>
      </c>
      <c r="L132" s="2">
        <v>4</v>
      </c>
      <c r="M132" s="2">
        <v>6</v>
      </c>
      <c r="N132" s="2">
        <v>8</v>
      </c>
      <c r="O132" s="3">
        <f t="shared" si="5"/>
        <v>95000</v>
      </c>
      <c r="P132" s="3">
        <v>20000</v>
      </c>
      <c r="Q132" s="3">
        <v>25000</v>
      </c>
      <c r="R132" s="3">
        <v>25000</v>
      </c>
      <c r="S132" s="3">
        <v>25000</v>
      </c>
      <c r="T132" s="641"/>
    </row>
    <row r="133" spans="1:20" ht="51">
      <c r="A133" s="549"/>
      <c r="B133" s="549"/>
      <c r="C133" s="721"/>
      <c r="D133" s="30" t="s">
        <v>707</v>
      </c>
      <c r="E133" s="30" t="s">
        <v>708</v>
      </c>
      <c r="F133" s="202">
        <v>500</v>
      </c>
      <c r="G133" s="202">
        <v>800</v>
      </c>
      <c r="H133" s="4" t="s">
        <v>709</v>
      </c>
      <c r="I133" s="4" t="s">
        <v>710</v>
      </c>
      <c r="J133" s="202">
        <v>0</v>
      </c>
      <c r="K133" s="202">
        <v>1</v>
      </c>
      <c r="L133" s="202">
        <v>3</v>
      </c>
      <c r="M133" s="202">
        <v>6</v>
      </c>
      <c r="N133" s="113">
        <v>8</v>
      </c>
      <c r="O133" s="3">
        <f t="shared" si="5"/>
        <v>220000</v>
      </c>
      <c r="P133" s="3">
        <v>45000</v>
      </c>
      <c r="Q133" s="3">
        <v>55000</v>
      </c>
      <c r="R133" s="3">
        <v>60000</v>
      </c>
      <c r="S133" s="3">
        <v>60000</v>
      </c>
      <c r="T133" s="641"/>
    </row>
    <row r="134" spans="1:20" ht="89.25">
      <c r="A134" s="549"/>
      <c r="B134" s="549"/>
      <c r="C134" s="721"/>
      <c r="D134" s="207" t="s">
        <v>711</v>
      </c>
      <c r="E134" s="30" t="s">
        <v>712</v>
      </c>
      <c r="F134" s="206">
        <v>3300</v>
      </c>
      <c r="G134" s="202">
        <v>5200</v>
      </c>
      <c r="H134" s="4" t="s">
        <v>713</v>
      </c>
      <c r="I134" s="4" t="s">
        <v>714</v>
      </c>
      <c r="J134" s="202">
        <v>3300</v>
      </c>
      <c r="K134" s="202">
        <v>1200</v>
      </c>
      <c r="L134" s="202">
        <v>2500</v>
      </c>
      <c r="M134" s="202">
        <v>3700</v>
      </c>
      <c r="N134" s="113">
        <v>5200</v>
      </c>
      <c r="O134" s="3">
        <f t="shared" si="5"/>
        <v>450000</v>
      </c>
      <c r="P134" s="3">
        <v>120000</v>
      </c>
      <c r="Q134" s="3">
        <v>110000</v>
      </c>
      <c r="R134" s="3">
        <v>110000</v>
      </c>
      <c r="S134" s="3">
        <v>110000</v>
      </c>
      <c r="T134" s="641"/>
    </row>
    <row r="135" spans="1:20" ht="25.5">
      <c r="A135" s="549"/>
      <c r="B135" s="549"/>
      <c r="C135" s="721"/>
      <c r="D135" s="30" t="s">
        <v>715</v>
      </c>
      <c r="E135" s="207" t="s">
        <v>716</v>
      </c>
      <c r="F135" s="202">
        <v>1</v>
      </c>
      <c r="G135" s="202">
        <v>1</v>
      </c>
      <c r="H135" s="4" t="s">
        <v>717</v>
      </c>
      <c r="I135" s="4" t="s">
        <v>718</v>
      </c>
      <c r="J135" s="202">
        <v>1</v>
      </c>
      <c r="K135" s="202">
        <v>1</v>
      </c>
      <c r="L135" s="202">
        <v>1</v>
      </c>
      <c r="M135" s="202">
        <v>1</v>
      </c>
      <c r="N135" s="113">
        <v>1</v>
      </c>
      <c r="O135" s="3">
        <f t="shared" si="5"/>
        <v>95000</v>
      </c>
      <c r="P135" s="3">
        <v>20000</v>
      </c>
      <c r="Q135" s="3">
        <v>25000</v>
      </c>
      <c r="R135" s="3">
        <v>25000</v>
      </c>
      <c r="S135" s="3">
        <v>25000</v>
      </c>
      <c r="T135" s="641"/>
    </row>
    <row r="136" spans="1:20" ht="51">
      <c r="A136" s="549"/>
      <c r="B136" s="549"/>
      <c r="C136" s="721"/>
      <c r="D136" s="30" t="s">
        <v>719</v>
      </c>
      <c r="E136" s="30" t="s">
        <v>720</v>
      </c>
      <c r="F136" s="202">
        <v>14</v>
      </c>
      <c r="G136" s="202">
        <v>1</v>
      </c>
      <c r="H136" s="4" t="s">
        <v>721</v>
      </c>
      <c r="I136" s="4" t="s">
        <v>722</v>
      </c>
      <c r="J136" s="202">
        <v>1</v>
      </c>
      <c r="K136" s="202">
        <v>0</v>
      </c>
      <c r="L136" s="202">
        <v>1</v>
      </c>
      <c r="M136" s="202">
        <v>1</v>
      </c>
      <c r="N136" s="113">
        <v>1</v>
      </c>
      <c r="O136" s="3">
        <f t="shared" si="5"/>
        <v>120000</v>
      </c>
      <c r="P136" s="3">
        <v>30000</v>
      </c>
      <c r="Q136" s="3">
        <v>30000</v>
      </c>
      <c r="R136" s="3">
        <v>30000</v>
      </c>
      <c r="S136" s="3">
        <v>30000</v>
      </c>
      <c r="T136" s="641"/>
    </row>
    <row r="137" spans="1:20" ht="76.5">
      <c r="A137" s="549"/>
      <c r="B137" s="549"/>
      <c r="C137" s="721"/>
      <c r="D137" s="30" t="s">
        <v>64</v>
      </c>
      <c r="E137" s="30" t="s">
        <v>65</v>
      </c>
      <c r="F137" s="202">
        <v>0</v>
      </c>
      <c r="G137" s="202">
        <v>2500</v>
      </c>
      <c r="H137" s="4" t="s">
        <v>66</v>
      </c>
      <c r="I137" s="4" t="s">
        <v>67</v>
      </c>
      <c r="J137" s="202">
        <v>0</v>
      </c>
      <c r="K137" s="202">
        <v>0</v>
      </c>
      <c r="L137" s="202">
        <v>3</v>
      </c>
      <c r="M137" s="202">
        <v>6</v>
      </c>
      <c r="N137" s="113">
        <v>8</v>
      </c>
      <c r="O137" s="3">
        <f t="shared" si="5"/>
        <v>120000</v>
      </c>
      <c r="P137" s="3">
        <v>15000</v>
      </c>
      <c r="Q137" s="3">
        <v>35000</v>
      </c>
      <c r="R137" s="3">
        <v>35000</v>
      </c>
      <c r="S137" s="3">
        <v>35000</v>
      </c>
      <c r="T137" s="641"/>
    </row>
    <row r="138" spans="1:20" ht="76.5">
      <c r="A138" s="549"/>
      <c r="B138" s="549"/>
      <c r="C138" s="721"/>
      <c r="D138" s="30" t="s">
        <v>68</v>
      </c>
      <c r="E138" s="30" t="s">
        <v>69</v>
      </c>
      <c r="F138" s="202">
        <v>37000</v>
      </c>
      <c r="G138" s="202">
        <v>60000</v>
      </c>
      <c r="H138" s="4" t="s">
        <v>705</v>
      </c>
      <c r="I138" s="4" t="s">
        <v>706</v>
      </c>
      <c r="J138" s="202">
        <v>0</v>
      </c>
      <c r="K138" s="202">
        <v>4</v>
      </c>
      <c r="L138" s="202">
        <v>8</v>
      </c>
      <c r="M138" s="202">
        <v>12</v>
      </c>
      <c r="N138" s="113">
        <v>16</v>
      </c>
      <c r="O138" s="3">
        <f t="shared" si="5"/>
        <v>440000</v>
      </c>
      <c r="P138" s="3">
        <v>100000</v>
      </c>
      <c r="Q138" s="3">
        <v>120000</v>
      </c>
      <c r="R138" s="3">
        <v>110000</v>
      </c>
      <c r="S138" s="3">
        <v>110000</v>
      </c>
      <c r="T138" s="636"/>
    </row>
    <row r="139" spans="1:20" ht="89.25">
      <c r="A139" s="549"/>
      <c r="B139" s="549"/>
      <c r="C139" s="721"/>
      <c r="D139" s="26" t="s">
        <v>724</v>
      </c>
      <c r="E139" s="26" t="s">
        <v>725</v>
      </c>
      <c r="F139" s="166"/>
      <c r="G139" s="166"/>
      <c r="H139" s="166"/>
      <c r="I139" s="166"/>
      <c r="J139" s="166"/>
      <c r="K139" s="166"/>
      <c r="L139" s="166"/>
      <c r="M139" s="166"/>
      <c r="N139" s="166"/>
      <c r="O139" s="166"/>
      <c r="P139" s="169"/>
      <c r="Q139" s="166"/>
      <c r="R139" s="166"/>
      <c r="S139" s="166"/>
      <c r="T139" s="166"/>
    </row>
    <row r="140" spans="1:20" ht="89.25">
      <c r="A140" s="549"/>
      <c r="B140" s="549"/>
      <c r="C140" s="721"/>
      <c r="D140" s="26" t="s">
        <v>726</v>
      </c>
      <c r="E140" s="26" t="s">
        <v>727</v>
      </c>
      <c r="F140" s="166" t="s">
        <v>642</v>
      </c>
      <c r="G140" s="166"/>
      <c r="H140" s="166"/>
      <c r="I140" s="166"/>
      <c r="J140" s="166"/>
      <c r="K140" s="166"/>
      <c r="L140" s="166"/>
      <c r="M140" s="166"/>
      <c r="N140" s="166"/>
      <c r="O140" s="166"/>
      <c r="P140" s="169"/>
      <c r="Q140" s="166"/>
      <c r="R140" s="166"/>
      <c r="S140" s="166"/>
      <c r="T140" s="166"/>
    </row>
    <row r="141" spans="1:20" ht="51">
      <c r="A141" s="549"/>
      <c r="B141" s="549"/>
      <c r="C141" s="721"/>
      <c r="D141" s="26" t="s">
        <v>728</v>
      </c>
      <c r="E141" s="26" t="s">
        <v>729</v>
      </c>
      <c r="F141" s="166"/>
      <c r="G141" s="166"/>
      <c r="H141" s="166"/>
      <c r="I141" s="166"/>
      <c r="J141" s="166"/>
      <c r="K141" s="166"/>
      <c r="L141" s="166"/>
      <c r="M141" s="166"/>
      <c r="N141" s="166"/>
      <c r="O141" s="166"/>
      <c r="P141" s="169"/>
      <c r="Q141" s="166"/>
      <c r="R141" s="166"/>
      <c r="S141" s="166"/>
      <c r="T141" s="166"/>
    </row>
    <row r="142" spans="1:20" ht="51">
      <c r="A142" s="549"/>
      <c r="B142" s="549"/>
      <c r="C142" s="721"/>
      <c r="D142" s="26" t="s">
        <v>730</v>
      </c>
      <c r="E142" s="26" t="s">
        <v>731</v>
      </c>
      <c r="F142" s="166"/>
      <c r="G142" s="166"/>
      <c r="H142" s="166"/>
      <c r="I142" s="166"/>
      <c r="J142" s="166"/>
      <c r="K142" s="166"/>
      <c r="L142" s="166"/>
      <c r="M142" s="166"/>
      <c r="N142" s="166"/>
      <c r="O142" s="166"/>
      <c r="P142" s="169"/>
      <c r="Q142" s="166"/>
      <c r="R142" s="166"/>
      <c r="S142" s="166"/>
      <c r="T142" s="166"/>
    </row>
    <row r="143" spans="1:20" ht="38.25">
      <c r="A143" s="549"/>
      <c r="B143" s="549"/>
      <c r="C143" s="721"/>
      <c r="D143" s="26" t="s">
        <v>732</v>
      </c>
      <c r="E143" s="26" t="s">
        <v>733</v>
      </c>
      <c r="F143" s="166"/>
      <c r="G143" s="166"/>
      <c r="H143" s="166"/>
      <c r="I143" s="166"/>
      <c r="J143" s="166"/>
      <c r="K143" s="166"/>
      <c r="L143" s="166"/>
      <c r="M143" s="166"/>
      <c r="N143" s="166"/>
      <c r="O143" s="166"/>
      <c r="P143" s="169"/>
      <c r="Q143" s="166"/>
      <c r="R143" s="166"/>
      <c r="S143" s="166"/>
      <c r="T143" s="166"/>
    </row>
    <row r="144" spans="1:20" ht="63.75">
      <c r="A144" s="549" t="s">
        <v>734</v>
      </c>
      <c r="B144" s="549"/>
      <c r="C144" s="721"/>
      <c r="D144" s="30" t="s">
        <v>735</v>
      </c>
      <c r="E144" s="30" t="s">
        <v>736</v>
      </c>
      <c r="F144" s="113">
        <v>0</v>
      </c>
      <c r="G144" s="113">
        <v>2400</v>
      </c>
      <c r="H144" s="4" t="s">
        <v>737</v>
      </c>
      <c r="I144" s="4" t="s">
        <v>710</v>
      </c>
      <c r="J144" s="113">
        <v>0</v>
      </c>
      <c r="K144" s="113">
        <v>4</v>
      </c>
      <c r="L144" s="113">
        <v>14</v>
      </c>
      <c r="M144" s="113">
        <v>23</v>
      </c>
      <c r="N144" s="113">
        <v>32</v>
      </c>
      <c r="O144" s="3">
        <f aca="true" t="shared" si="6" ref="O144:O155">+P144+Q144+R144+S144</f>
        <v>300000</v>
      </c>
      <c r="P144" s="3">
        <v>50000</v>
      </c>
      <c r="Q144" s="3">
        <v>70000</v>
      </c>
      <c r="R144" s="3">
        <v>90000</v>
      </c>
      <c r="S144" s="3">
        <v>90000</v>
      </c>
      <c r="T144" s="826" t="s">
        <v>536</v>
      </c>
    </row>
    <row r="145" spans="1:20" ht="51">
      <c r="A145" s="549"/>
      <c r="B145" s="549"/>
      <c r="C145" s="721"/>
      <c r="D145" s="30" t="s">
        <v>738</v>
      </c>
      <c r="E145" s="30" t="s">
        <v>736</v>
      </c>
      <c r="F145" s="113">
        <v>0</v>
      </c>
      <c r="G145" s="113">
        <v>400</v>
      </c>
      <c r="H145" s="4" t="s">
        <v>739</v>
      </c>
      <c r="I145" s="4" t="s">
        <v>710</v>
      </c>
      <c r="J145" s="113">
        <v>0</v>
      </c>
      <c r="K145" s="113">
        <v>2</v>
      </c>
      <c r="L145" s="113">
        <v>4</v>
      </c>
      <c r="M145" s="113">
        <v>6</v>
      </c>
      <c r="N145" s="113">
        <v>8</v>
      </c>
      <c r="O145" s="3">
        <f t="shared" si="6"/>
        <v>110000</v>
      </c>
      <c r="P145" s="3">
        <v>20000</v>
      </c>
      <c r="Q145" s="3">
        <v>27000</v>
      </c>
      <c r="R145" s="3">
        <v>30000</v>
      </c>
      <c r="S145" s="3">
        <v>33000</v>
      </c>
      <c r="T145" s="827"/>
    </row>
    <row r="146" spans="1:20" ht="102">
      <c r="A146" s="549"/>
      <c r="B146" s="549"/>
      <c r="C146" s="721"/>
      <c r="D146" s="30" t="s">
        <v>740</v>
      </c>
      <c r="E146" s="30" t="s">
        <v>741</v>
      </c>
      <c r="F146" s="113">
        <v>14</v>
      </c>
      <c r="G146" s="113">
        <v>16</v>
      </c>
      <c r="H146" s="4" t="s">
        <v>742</v>
      </c>
      <c r="I146" s="4" t="s">
        <v>743</v>
      </c>
      <c r="J146" s="113">
        <v>14</v>
      </c>
      <c r="K146" s="113">
        <v>2</v>
      </c>
      <c r="L146" s="113">
        <v>8</v>
      </c>
      <c r="M146" s="113">
        <v>11</v>
      </c>
      <c r="N146" s="113">
        <v>16</v>
      </c>
      <c r="O146" s="3">
        <f t="shared" si="6"/>
        <v>413000</v>
      </c>
      <c r="P146" s="3">
        <v>70000</v>
      </c>
      <c r="Q146" s="3">
        <v>120000</v>
      </c>
      <c r="R146" s="3">
        <v>110000</v>
      </c>
      <c r="S146" s="3">
        <v>113000</v>
      </c>
      <c r="T146" s="827"/>
    </row>
    <row r="147" spans="1:20" ht="76.5">
      <c r="A147" s="549"/>
      <c r="B147" s="549"/>
      <c r="C147" s="721"/>
      <c r="D147" s="30" t="s">
        <v>751</v>
      </c>
      <c r="E147" s="30" t="s">
        <v>752</v>
      </c>
      <c r="F147" s="113">
        <v>6400</v>
      </c>
      <c r="G147" s="113">
        <v>8000</v>
      </c>
      <c r="H147" s="4" t="s">
        <v>753</v>
      </c>
      <c r="I147" s="4" t="s">
        <v>754</v>
      </c>
      <c r="J147" s="113">
        <v>6400</v>
      </c>
      <c r="K147" s="113">
        <v>1000</v>
      </c>
      <c r="L147" s="113">
        <v>3500</v>
      </c>
      <c r="M147" s="113">
        <v>6000</v>
      </c>
      <c r="N147" s="113">
        <v>9000</v>
      </c>
      <c r="O147" s="3">
        <f t="shared" si="6"/>
        <v>503000</v>
      </c>
      <c r="P147" s="3">
        <f>65*1000</f>
        <v>65000</v>
      </c>
      <c r="Q147" s="3">
        <v>135000</v>
      </c>
      <c r="R147" s="3">
        <v>157000</v>
      </c>
      <c r="S147" s="3">
        <v>146000</v>
      </c>
      <c r="T147" s="827"/>
    </row>
    <row r="148" spans="1:20" ht="51">
      <c r="A148" s="549"/>
      <c r="B148" s="549"/>
      <c r="C148" s="721"/>
      <c r="D148" s="30" t="s">
        <v>755</v>
      </c>
      <c r="E148" s="30" t="s">
        <v>756</v>
      </c>
      <c r="F148" s="113">
        <v>0</v>
      </c>
      <c r="G148" s="113">
        <v>7000</v>
      </c>
      <c r="H148" s="4" t="s">
        <v>757</v>
      </c>
      <c r="I148" s="4" t="s">
        <v>758</v>
      </c>
      <c r="J148" s="113">
        <v>0</v>
      </c>
      <c r="K148" s="113">
        <v>0</v>
      </c>
      <c r="L148" s="113">
        <v>1</v>
      </c>
      <c r="M148" s="113">
        <v>1</v>
      </c>
      <c r="N148" s="113">
        <v>1</v>
      </c>
      <c r="O148" s="3">
        <f t="shared" si="6"/>
        <v>42000</v>
      </c>
      <c r="P148" s="3">
        <v>0</v>
      </c>
      <c r="Q148" s="3">
        <v>20000</v>
      </c>
      <c r="R148" s="3">
        <v>11000</v>
      </c>
      <c r="S148" s="3">
        <f aca="true" t="shared" si="7" ref="S148:S155">+R148</f>
        <v>11000</v>
      </c>
      <c r="T148" s="827"/>
    </row>
    <row r="149" spans="1:20" ht="76.5">
      <c r="A149" s="549"/>
      <c r="B149" s="549"/>
      <c r="C149" s="721"/>
      <c r="D149" s="30" t="s">
        <v>759</v>
      </c>
      <c r="E149" s="30" t="s">
        <v>760</v>
      </c>
      <c r="F149" s="113">
        <v>0</v>
      </c>
      <c r="G149" s="113">
        <v>1</v>
      </c>
      <c r="H149" s="4" t="s">
        <v>761</v>
      </c>
      <c r="I149" s="4" t="s">
        <v>762</v>
      </c>
      <c r="J149" s="113">
        <v>0</v>
      </c>
      <c r="K149" s="113">
        <v>0</v>
      </c>
      <c r="L149" s="113">
        <v>1</v>
      </c>
      <c r="M149" s="113">
        <v>1</v>
      </c>
      <c r="N149" s="113">
        <v>1</v>
      </c>
      <c r="O149" s="3">
        <f t="shared" si="6"/>
        <v>35000</v>
      </c>
      <c r="P149" s="3">
        <v>0</v>
      </c>
      <c r="Q149" s="3">
        <v>15000</v>
      </c>
      <c r="R149" s="3">
        <v>10000</v>
      </c>
      <c r="S149" s="3">
        <f t="shared" si="7"/>
        <v>10000</v>
      </c>
      <c r="T149" s="827"/>
    </row>
    <row r="150" spans="1:20" ht="63.75">
      <c r="A150" s="549"/>
      <c r="B150" s="549"/>
      <c r="C150" s="721"/>
      <c r="D150" s="30" t="s">
        <v>763</v>
      </c>
      <c r="E150" s="30" t="s">
        <v>764</v>
      </c>
      <c r="F150" s="113">
        <v>0</v>
      </c>
      <c r="G150" s="113">
        <v>1</v>
      </c>
      <c r="H150" s="4" t="s">
        <v>765</v>
      </c>
      <c r="I150" s="4" t="s">
        <v>766</v>
      </c>
      <c r="J150" s="113">
        <v>0</v>
      </c>
      <c r="K150" s="113">
        <v>1</v>
      </c>
      <c r="L150" s="113">
        <v>4</v>
      </c>
      <c r="M150" s="113">
        <v>6</v>
      </c>
      <c r="N150" s="113">
        <v>8</v>
      </c>
      <c r="O150" s="3">
        <f t="shared" si="6"/>
        <v>188000</v>
      </c>
      <c r="P150" s="3">
        <v>47000</v>
      </c>
      <c r="Q150" s="3">
        <v>47000</v>
      </c>
      <c r="R150" s="3">
        <v>47000</v>
      </c>
      <c r="S150" s="3">
        <f t="shared" si="7"/>
        <v>47000</v>
      </c>
      <c r="T150" s="827"/>
    </row>
    <row r="151" spans="1:20" ht="89.25">
      <c r="A151" s="549"/>
      <c r="B151" s="549"/>
      <c r="C151" s="721"/>
      <c r="D151" s="30" t="s">
        <v>767</v>
      </c>
      <c r="E151" s="30" t="s">
        <v>150</v>
      </c>
      <c r="F151" s="113">
        <v>0</v>
      </c>
      <c r="G151" s="6">
        <v>1</v>
      </c>
      <c r="H151" s="4" t="s">
        <v>768</v>
      </c>
      <c r="I151" s="4" t="s">
        <v>769</v>
      </c>
      <c r="J151" s="113">
        <v>0</v>
      </c>
      <c r="K151" s="113">
        <v>0</v>
      </c>
      <c r="L151" s="113">
        <v>1</v>
      </c>
      <c r="M151" s="113">
        <v>1</v>
      </c>
      <c r="N151" s="113">
        <v>1</v>
      </c>
      <c r="O151" s="3">
        <f t="shared" si="6"/>
        <v>16000</v>
      </c>
      <c r="P151" s="3">
        <v>0</v>
      </c>
      <c r="Q151" s="3">
        <v>12000</v>
      </c>
      <c r="R151" s="3">
        <v>2000</v>
      </c>
      <c r="S151" s="3">
        <f t="shared" si="7"/>
        <v>2000</v>
      </c>
      <c r="T151" s="827"/>
    </row>
    <row r="152" spans="1:20" ht="63.75">
      <c r="A152" s="549"/>
      <c r="B152" s="549"/>
      <c r="C152" s="721"/>
      <c r="D152" s="30" t="s">
        <v>770</v>
      </c>
      <c r="E152" s="30" t="s">
        <v>771</v>
      </c>
      <c r="F152" s="113">
        <v>0</v>
      </c>
      <c r="G152" s="6">
        <v>0.4</v>
      </c>
      <c r="H152" s="4" t="s">
        <v>772</v>
      </c>
      <c r="I152" s="4" t="s">
        <v>773</v>
      </c>
      <c r="J152" s="113">
        <v>0</v>
      </c>
      <c r="K152" s="113">
        <v>1</v>
      </c>
      <c r="L152" s="113">
        <v>3</v>
      </c>
      <c r="M152" s="113">
        <v>6</v>
      </c>
      <c r="N152" s="113">
        <v>8</v>
      </c>
      <c r="O152" s="3">
        <f t="shared" si="6"/>
        <v>29000</v>
      </c>
      <c r="P152" s="3">
        <v>5000</v>
      </c>
      <c r="Q152" s="3">
        <v>8000</v>
      </c>
      <c r="R152" s="3">
        <v>8000</v>
      </c>
      <c r="S152" s="3">
        <f t="shared" si="7"/>
        <v>8000</v>
      </c>
      <c r="T152" s="827"/>
    </row>
    <row r="153" spans="1:20" ht="63.75">
      <c r="A153" s="549"/>
      <c r="B153" s="549"/>
      <c r="C153" s="721"/>
      <c r="D153" s="30" t="s">
        <v>774</v>
      </c>
      <c r="E153" s="30" t="s">
        <v>775</v>
      </c>
      <c r="F153" s="113">
        <v>0</v>
      </c>
      <c r="G153" s="113">
        <v>120</v>
      </c>
      <c r="H153" s="4" t="s">
        <v>776</v>
      </c>
      <c r="I153" s="4" t="s">
        <v>777</v>
      </c>
      <c r="J153" s="113">
        <v>0</v>
      </c>
      <c r="K153" s="113">
        <v>30</v>
      </c>
      <c r="L153" s="113">
        <v>50</v>
      </c>
      <c r="M153" s="113">
        <v>90</v>
      </c>
      <c r="N153" s="113">
        <v>120</v>
      </c>
      <c r="O153" s="3">
        <f t="shared" si="6"/>
        <v>110000</v>
      </c>
      <c r="P153" s="3">
        <v>25000</v>
      </c>
      <c r="Q153" s="3">
        <v>25000</v>
      </c>
      <c r="R153" s="3">
        <v>30000</v>
      </c>
      <c r="S153" s="3">
        <f t="shared" si="7"/>
        <v>30000</v>
      </c>
      <c r="T153" s="827"/>
    </row>
    <row r="154" spans="1:20" ht="76.5">
      <c r="A154" s="549"/>
      <c r="B154" s="549"/>
      <c r="C154" s="721"/>
      <c r="D154" s="30" t="s">
        <v>778</v>
      </c>
      <c r="E154" s="30" t="s">
        <v>779</v>
      </c>
      <c r="F154" s="113">
        <v>0</v>
      </c>
      <c r="G154" s="113">
        <v>400</v>
      </c>
      <c r="H154" s="4" t="s">
        <v>780</v>
      </c>
      <c r="I154" s="4" t="s">
        <v>781</v>
      </c>
      <c r="J154" s="113">
        <v>0</v>
      </c>
      <c r="K154" s="113">
        <v>1</v>
      </c>
      <c r="L154" s="113">
        <v>4</v>
      </c>
      <c r="M154" s="113">
        <v>6</v>
      </c>
      <c r="N154" s="113">
        <v>8</v>
      </c>
      <c r="O154" s="3">
        <f t="shared" si="6"/>
        <v>56000</v>
      </c>
      <c r="P154" s="3">
        <v>13000</v>
      </c>
      <c r="Q154" s="3">
        <v>13000</v>
      </c>
      <c r="R154" s="3">
        <v>15000</v>
      </c>
      <c r="S154" s="3">
        <f t="shared" si="7"/>
        <v>15000</v>
      </c>
      <c r="T154" s="827"/>
    </row>
    <row r="155" spans="1:20" ht="63.75">
      <c r="A155" s="549"/>
      <c r="B155" s="549"/>
      <c r="C155" s="721"/>
      <c r="D155" s="198" t="s">
        <v>782</v>
      </c>
      <c r="E155" s="198" t="s">
        <v>783</v>
      </c>
      <c r="F155" s="208">
        <v>0</v>
      </c>
      <c r="G155" s="113">
        <v>1</v>
      </c>
      <c r="H155" s="4" t="s">
        <v>148</v>
      </c>
      <c r="I155" s="4" t="s">
        <v>149</v>
      </c>
      <c r="J155" s="113">
        <v>0</v>
      </c>
      <c r="K155" s="113">
        <v>2</v>
      </c>
      <c r="L155" s="113">
        <v>6</v>
      </c>
      <c r="M155" s="113">
        <v>11</v>
      </c>
      <c r="N155" s="113">
        <v>16</v>
      </c>
      <c r="O155" s="3">
        <f t="shared" si="6"/>
        <v>33000</v>
      </c>
      <c r="P155" s="3">
        <v>5000</v>
      </c>
      <c r="Q155" s="3">
        <v>8000</v>
      </c>
      <c r="R155" s="3">
        <v>10000</v>
      </c>
      <c r="S155" s="3">
        <f t="shared" si="7"/>
        <v>10000</v>
      </c>
      <c r="T155" s="828"/>
    </row>
    <row r="156" spans="1:20" ht="127.5">
      <c r="A156" s="560" t="s">
        <v>151</v>
      </c>
      <c r="B156" s="560"/>
      <c r="C156" s="822"/>
      <c r="D156" s="197" t="s">
        <v>152</v>
      </c>
      <c r="E156" s="197" t="s">
        <v>153</v>
      </c>
      <c r="F156" s="209">
        <v>4400</v>
      </c>
      <c r="G156" s="209">
        <v>8000</v>
      </c>
      <c r="H156" s="4" t="s">
        <v>154</v>
      </c>
      <c r="I156" s="4" t="s">
        <v>155</v>
      </c>
      <c r="J156" s="202">
        <v>5</v>
      </c>
      <c r="K156" s="202">
        <v>4</v>
      </c>
      <c r="L156" s="202">
        <v>8</v>
      </c>
      <c r="M156" s="202">
        <v>12</v>
      </c>
      <c r="N156" s="202">
        <v>16</v>
      </c>
      <c r="O156" s="143">
        <f>+P156+Q156+R156+S156</f>
        <v>6013000</v>
      </c>
      <c r="P156" s="3">
        <v>1500000</v>
      </c>
      <c r="Q156" s="143">
        <v>1442000</v>
      </c>
      <c r="R156" s="3">
        <v>1504000</v>
      </c>
      <c r="S156" s="3">
        <v>1567000</v>
      </c>
      <c r="T156" s="829" t="s">
        <v>536</v>
      </c>
    </row>
    <row r="157" spans="1:20" ht="51">
      <c r="A157" s="619"/>
      <c r="B157" s="619"/>
      <c r="C157" s="586"/>
      <c r="D157" s="30" t="s">
        <v>156</v>
      </c>
      <c r="E157" s="30" t="s">
        <v>153</v>
      </c>
      <c r="F157" s="202">
        <v>200</v>
      </c>
      <c r="G157" s="202">
        <v>260</v>
      </c>
      <c r="H157" s="4" t="s">
        <v>157</v>
      </c>
      <c r="I157" s="4" t="s">
        <v>158</v>
      </c>
      <c r="J157" s="202">
        <v>6</v>
      </c>
      <c r="K157" s="202">
        <v>5</v>
      </c>
      <c r="L157" s="202">
        <v>7</v>
      </c>
      <c r="M157" s="202">
        <v>7</v>
      </c>
      <c r="N157" s="202">
        <v>7</v>
      </c>
      <c r="O157" s="143">
        <f>+P157+Q157+R157+S157</f>
        <v>2508000</v>
      </c>
      <c r="P157" s="3">
        <v>600000</v>
      </c>
      <c r="Q157" s="3">
        <v>618000</v>
      </c>
      <c r="R157" s="3">
        <v>637000</v>
      </c>
      <c r="S157" s="3">
        <v>653000</v>
      </c>
      <c r="T157" s="830"/>
    </row>
    <row r="158" spans="1:20" ht="89.25">
      <c r="A158" s="619"/>
      <c r="B158" s="619"/>
      <c r="C158" s="586"/>
      <c r="D158" s="30" t="s">
        <v>159</v>
      </c>
      <c r="E158" s="30" t="s">
        <v>153</v>
      </c>
      <c r="F158" s="202">
        <v>20000</v>
      </c>
      <c r="G158" s="202">
        <v>25200</v>
      </c>
      <c r="H158" s="4" t="s">
        <v>160</v>
      </c>
      <c r="I158" s="4" t="s">
        <v>161</v>
      </c>
      <c r="J158" s="3">
        <v>16</v>
      </c>
      <c r="K158" s="3">
        <v>4</v>
      </c>
      <c r="L158" s="3">
        <v>8</v>
      </c>
      <c r="M158" s="3">
        <v>12</v>
      </c>
      <c r="N158" s="3">
        <v>16</v>
      </c>
      <c r="O158" s="143">
        <f aca="true" t="shared" si="8" ref="O158:O163">+P158+Q158+R158+S158</f>
        <v>811000</v>
      </c>
      <c r="P158" s="3">
        <v>241000</v>
      </c>
      <c r="Q158" s="3">
        <v>200000</v>
      </c>
      <c r="R158" s="3">
        <v>200000</v>
      </c>
      <c r="S158" s="3">
        <v>170000</v>
      </c>
      <c r="T158" s="830"/>
    </row>
    <row r="159" spans="1:20" ht="38.25">
      <c r="A159" s="619"/>
      <c r="B159" s="619"/>
      <c r="C159" s="586"/>
      <c r="D159" s="30" t="s">
        <v>162</v>
      </c>
      <c r="E159" s="30" t="s">
        <v>163</v>
      </c>
      <c r="F159" s="202">
        <v>0</v>
      </c>
      <c r="G159" s="202">
        <v>2</v>
      </c>
      <c r="H159" s="4" t="s">
        <v>164</v>
      </c>
      <c r="I159" s="4" t="s">
        <v>165</v>
      </c>
      <c r="J159" s="3">
        <v>0</v>
      </c>
      <c r="K159" s="3">
        <v>1</v>
      </c>
      <c r="L159" s="3">
        <v>2</v>
      </c>
      <c r="M159" s="3">
        <v>2</v>
      </c>
      <c r="N159" s="3">
        <v>2</v>
      </c>
      <c r="O159" s="143">
        <f t="shared" si="8"/>
        <v>80000</v>
      </c>
      <c r="P159" s="3">
        <v>30000</v>
      </c>
      <c r="Q159" s="3">
        <v>50000</v>
      </c>
      <c r="R159" s="3">
        <v>0</v>
      </c>
      <c r="S159" s="3">
        <v>0</v>
      </c>
      <c r="T159" s="830"/>
    </row>
    <row r="160" spans="1:20" ht="76.5">
      <c r="A160" s="619"/>
      <c r="B160" s="619"/>
      <c r="C160" s="586"/>
      <c r="D160" s="820" t="s">
        <v>166</v>
      </c>
      <c r="E160" s="820" t="s">
        <v>525</v>
      </c>
      <c r="F160" s="824">
        <v>0</v>
      </c>
      <c r="G160" s="824">
        <v>1</v>
      </c>
      <c r="H160" s="4" t="s">
        <v>526</v>
      </c>
      <c r="I160" s="4" t="s">
        <v>527</v>
      </c>
      <c r="J160" s="3">
        <v>0</v>
      </c>
      <c r="K160" s="3">
        <v>1</v>
      </c>
      <c r="L160" s="3">
        <v>1</v>
      </c>
      <c r="M160" s="3">
        <v>1</v>
      </c>
      <c r="N160" s="3">
        <v>1</v>
      </c>
      <c r="O160" s="143">
        <f t="shared" si="8"/>
        <v>60000</v>
      </c>
      <c r="P160" s="3">
        <v>40000</v>
      </c>
      <c r="Q160" s="3">
        <v>10000</v>
      </c>
      <c r="R160" s="3">
        <v>5000</v>
      </c>
      <c r="S160" s="3">
        <f>+R160</f>
        <v>5000</v>
      </c>
      <c r="T160" s="830"/>
    </row>
    <row r="161" spans="1:20" ht="51">
      <c r="A161" s="619"/>
      <c r="B161" s="619"/>
      <c r="C161" s="586"/>
      <c r="D161" s="821"/>
      <c r="E161" s="821"/>
      <c r="F161" s="825"/>
      <c r="G161" s="825"/>
      <c r="H161" s="4" t="s">
        <v>528</v>
      </c>
      <c r="I161" s="4" t="s">
        <v>529</v>
      </c>
      <c r="J161" s="3">
        <v>0</v>
      </c>
      <c r="K161" s="3">
        <v>0</v>
      </c>
      <c r="L161" s="3">
        <v>1</v>
      </c>
      <c r="M161" s="3">
        <v>1</v>
      </c>
      <c r="N161" s="3">
        <v>1</v>
      </c>
      <c r="O161" s="143">
        <f t="shared" si="8"/>
        <v>65000</v>
      </c>
      <c r="P161" s="3">
        <v>0</v>
      </c>
      <c r="Q161" s="3">
        <v>50000</v>
      </c>
      <c r="R161" s="3">
        <v>15000</v>
      </c>
      <c r="S161" s="3">
        <v>0</v>
      </c>
      <c r="T161" s="830"/>
    </row>
    <row r="162" spans="1:20" ht="51">
      <c r="A162" s="619"/>
      <c r="B162" s="619"/>
      <c r="C162" s="586"/>
      <c r="D162" s="30" t="s">
        <v>530</v>
      </c>
      <c r="E162" s="30" t="s">
        <v>153</v>
      </c>
      <c r="F162" s="202">
        <v>0</v>
      </c>
      <c r="G162" s="202">
        <v>1920</v>
      </c>
      <c r="H162" s="4" t="s">
        <v>531</v>
      </c>
      <c r="I162" s="4" t="s">
        <v>532</v>
      </c>
      <c r="J162" s="3">
        <v>0</v>
      </c>
      <c r="K162" s="3">
        <v>12</v>
      </c>
      <c r="L162" s="3">
        <v>24</v>
      </c>
      <c r="M162" s="3">
        <v>36</v>
      </c>
      <c r="N162" s="3">
        <v>48</v>
      </c>
      <c r="O162" s="143">
        <f t="shared" si="8"/>
        <v>661000</v>
      </c>
      <c r="P162" s="3">
        <v>100000</v>
      </c>
      <c r="Q162" s="3">
        <v>150000</v>
      </c>
      <c r="R162" s="3">
        <v>231000</v>
      </c>
      <c r="S162" s="3">
        <v>180000</v>
      </c>
      <c r="T162" s="830"/>
    </row>
    <row r="163" spans="1:20" ht="63.75">
      <c r="A163" s="604"/>
      <c r="B163" s="604"/>
      <c r="C163" s="823"/>
      <c r="D163" s="30" t="s">
        <v>533</v>
      </c>
      <c r="E163" s="30" t="s">
        <v>534</v>
      </c>
      <c r="F163" s="202">
        <v>0</v>
      </c>
      <c r="G163" s="202">
        <v>1</v>
      </c>
      <c r="H163" s="4" t="s">
        <v>535</v>
      </c>
      <c r="I163" s="4" t="s">
        <v>149</v>
      </c>
      <c r="J163" s="3">
        <v>0</v>
      </c>
      <c r="K163" s="3">
        <v>0</v>
      </c>
      <c r="L163" s="3">
        <v>1</v>
      </c>
      <c r="M163" s="3">
        <v>1</v>
      </c>
      <c r="N163" s="3">
        <v>1</v>
      </c>
      <c r="O163" s="143">
        <f t="shared" si="8"/>
        <v>40000</v>
      </c>
      <c r="P163" s="3">
        <v>0</v>
      </c>
      <c r="Q163" s="3">
        <v>20000</v>
      </c>
      <c r="R163" s="3">
        <v>10000</v>
      </c>
      <c r="S163" s="3">
        <v>10000</v>
      </c>
      <c r="T163" s="831"/>
    </row>
    <row r="164" spans="1:20" ht="38.25">
      <c r="A164" s="560" t="s">
        <v>537</v>
      </c>
      <c r="B164" s="549"/>
      <c r="C164" s="721"/>
      <c r="D164" s="30" t="s">
        <v>538</v>
      </c>
      <c r="E164" s="30" t="s">
        <v>539</v>
      </c>
      <c r="F164" s="202">
        <v>4</v>
      </c>
      <c r="G164" s="202">
        <v>8</v>
      </c>
      <c r="H164" s="4" t="s">
        <v>540</v>
      </c>
      <c r="I164" s="4" t="s">
        <v>541</v>
      </c>
      <c r="J164" s="3">
        <v>4</v>
      </c>
      <c r="K164" s="3">
        <v>2</v>
      </c>
      <c r="L164" s="3">
        <v>4</v>
      </c>
      <c r="M164" s="3">
        <v>6</v>
      </c>
      <c r="N164" s="3">
        <v>8</v>
      </c>
      <c r="O164" s="143">
        <f aca="true" t="shared" si="9" ref="O164:O169">+P164+Q164+R164+S164</f>
        <v>205000</v>
      </c>
      <c r="P164" s="3">
        <v>50000</v>
      </c>
      <c r="Q164" s="143">
        <v>50000</v>
      </c>
      <c r="R164" s="143">
        <f aca="true" t="shared" si="10" ref="R164:R169">+Q164</f>
        <v>50000</v>
      </c>
      <c r="S164" s="143">
        <v>55000</v>
      </c>
      <c r="T164" s="640" t="s">
        <v>536</v>
      </c>
    </row>
    <row r="165" spans="1:20" ht="76.5">
      <c r="A165" s="619"/>
      <c r="B165" s="549"/>
      <c r="C165" s="721"/>
      <c r="D165" s="30" t="s">
        <v>542</v>
      </c>
      <c r="E165" s="30" t="s">
        <v>543</v>
      </c>
      <c r="F165" s="202">
        <v>0</v>
      </c>
      <c r="G165" s="202">
        <v>120</v>
      </c>
      <c r="H165" s="4" t="s">
        <v>544</v>
      </c>
      <c r="I165" s="4" t="s">
        <v>545</v>
      </c>
      <c r="J165" s="3">
        <v>0</v>
      </c>
      <c r="K165" s="3">
        <v>30</v>
      </c>
      <c r="L165" s="3">
        <v>60</v>
      </c>
      <c r="M165" s="3">
        <v>90</v>
      </c>
      <c r="N165" s="3">
        <v>120</v>
      </c>
      <c r="O165" s="143">
        <f t="shared" si="9"/>
        <v>683000</v>
      </c>
      <c r="P165" s="3">
        <v>83000</v>
      </c>
      <c r="Q165" s="3">
        <v>200000</v>
      </c>
      <c r="R165" s="3">
        <f t="shared" si="10"/>
        <v>200000</v>
      </c>
      <c r="S165" s="3">
        <v>200000</v>
      </c>
      <c r="T165" s="641"/>
    </row>
    <row r="166" spans="1:20" ht="63.75">
      <c r="A166" s="619"/>
      <c r="B166" s="549"/>
      <c r="C166" s="721"/>
      <c r="D166" s="820" t="s">
        <v>546</v>
      </c>
      <c r="E166" s="820" t="s">
        <v>153</v>
      </c>
      <c r="F166" s="824">
        <v>0</v>
      </c>
      <c r="G166" s="824">
        <v>440</v>
      </c>
      <c r="H166" s="4" t="s">
        <v>547</v>
      </c>
      <c r="I166" s="4" t="s">
        <v>548</v>
      </c>
      <c r="J166" s="3">
        <v>0</v>
      </c>
      <c r="K166" s="3">
        <v>100</v>
      </c>
      <c r="L166" s="3">
        <v>200</v>
      </c>
      <c r="M166" s="3">
        <v>300</v>
      </c>
      <c r="N166" s="3">
        <v>400</v>
      </c>
      <c r="O166" s="143">
        <f t="shared" si="9"/>
        <v>192000</v>
      </c>
      <c r="P166" s="3">
        <v>12000</v>
      </c>
      <c r="Q166" s="3">
        <v>60000</v>
      </c>
      <c r="R166" s="3">
        <f t="shared" si="10"/>
        <v>60000</v>
      </c>
      <c r="S166" s="3">
        <v>60000</v>
      </c>
      <c r="T166" s="641"/>
    </row>
    <row r="167" spans="1:20" ht="25.5">
      <c r="A167" s="619"/>
      <c r="B167" s="549"/>
      <c r="C167" s="721"/>
      <c r="D167" s="821"/>
      <c r="E167" s="821"/>
      <c r="F167" s="825"/>
      <c r="G167" s="825"/>
      <c r="H167" s="4" t="s">
        <v>549</v>
      </c>
      <c r="I167" s="4" t="s">
        <v>550</v>
      </c>
      <c r="J167" s="143">
        <v>40</v>
      </c>
      <c r="K167" s="3">
        <v>10</v>
      </c>
      <c r="L167" s="3">
        <v>20</v>
      </c>
      <c r="M167" s="3">
        <v>30</v>
      </c>
      <c r="N167" s="3">
        <v>40</v>
      </c>
      <c r="O167" s="143">
        <f t="shared" si="9"/>
        <v>90000</v>
      </c>
      <c r="P167" s="3">
        <v>15000</v>
      </c>
      <c r="Q167" s="3">
        <v>30000</v>
      </c>
      <c r="R167" s="3">
        <f t="shared" si="10"/>
        <v>30000</v>
      </c>
      <c r="S167" s="3">
        <v>15000</v>
      </c>
      <c r="T167" s="641"/>
    </row>
    <row r="168" spans="1:20" ht="89.25">
      <c r="A168" s="619"/>
      <c r="B168" s="549"/>
      <c r="C168" s="721"/>
      <c r="D168" s="30" t="s">
        <v>551</v>
      </c>
      <c r="E168" s="30" t="s">
        <v>552</v>
      </c>
      <c r="F168" s="202">
        <v>0</v>
      </c>
      <c r="G168" s="137">
        <v>90000</v>
      </c>
      <c r="H168" s="4" t="s">
        <v>553</v>
      </c>
      <c r="I168" s="4" t="s">
        <v>554</v>
      </c>
      <c r="J168" s="3">
        <v>0</v>
      </c>
      <c r="K168" s="3">
        <v>4</v>
      </c>
      <c r="L168" s="3">
        <v>8</v>
      </c>
      <c r="M168" s="3">
        <v>12</v>
      </c>
      <c r="N168" s="3">
        <v>16</v>
      </c>
      <c r="O168" s="143">
        <f t="shared" si="9"/>
        <v>140000</v>
      </c>
      <c r="P168" s="3">
        <v>20000</v>
      </c>
      <c r="Q168" s="3">
        <v>50000</v>
      </c>
      <c r="R168" s="3">
        <f t="shared" si="10"/>
        <v>50000</v>
      </c>
      <c r="S168" s="3">
        <v>20000</v>
      </c>
      <c r="T168" s="641"/>
    </row>
    <row r="169" spans="1:20" ht="76.5">
      <c r="A169" s="604"/>
      <c r="B169" s="549"/>
      <c r="C169" s="721"/>
      <c r="D169" s="30" t="s">
        <v>555</v>
      </c>
      <c r="E169" s="30" t="s">
        <v>556</v>
      </c>
      <c r="F169" s="202">
        <v>400</v>
      </c>
      <c r="G169" s="202">
        <v>440</v>
      </c>
      <c r="H169" s="4" t="s">
        <v>557</v>
      </c>
      <c r="I169" s="4" t="s">
        <v>558</v>
      </c>
      <c r="J169" s="3">
        <v>0</v>
      </c>
      <c r="K169" s="3">
        <v>100</v>
      </c>
      <c r="L169" s="3">
        <v>220</v>
      </c>
      <c r="M169" s="3">
        <v>320</v>
      </c>
      <c r="N169" s="3">
        <v>440</v>
      </c>
      <c r="O169" s="143">
        <f t="shared" si="9"/>
        <v>340000</v>
      </c>
      <c r="P169" s="3">
        <v>20000</v>
      </c>
      <c r="Q169" s="3">
        <v>110000</v>
      </c>
      <c r="R169" s="3">
        <f t="shared" si="10"/>
        <v>110000</v>
      </c>
      <c r="S169" s="3">
        <v>100000</v>
      </c>
      <c r="T169" s="636"/>
    </row>
    <row r="170" spans="1:20" ht="89.25">
      <c r="A170" s="560" t="s">
        <v>559</v>
      </c>
      <c r="B170" s="560"/>
      <c r="C170" s="822"/>
      <c r="D170" s="820" t="s">
        <v>560</v>
      </c>
      <c r="E170" s="820" t="s">
        <v>561</v>
      </c>
      <c r="F170" s="824">
        <v>720</v>
      </c>
      <c r="G170" s="824">
        <v>600</v>
      </c>
      <c r="H170" s="4" t="s">
        <v>562</v>
      </c>
      <c r="I170" s="4" t="s">
        <v>563</v>
      </c>
      <c r="J170" s="3">
        <v>720</v>
      </c>
      <c r="K170" s="3">
        <v>100</v>
      </c>
      <c r="L170" s="3">
        <v>500</v>
      </c>
      <c r="M170" s="3">
        <v>650</v>
      </c>
      <c r="N170" s="3">
        <v>800</v>
      </c>
      <c r="O170" s="143">
        <f aca="true" t="shared" si="11" ref="O170:O178">+P170+Q170+R170+S170</f>
        <v>795000</v>
      </c>
      <c r="P170" s="3">
        <v>60000</v>
      </c>
      <c r="Q170" s="3">
        <v>245000</v>
      </c>
      <c r="R170" s="3">
        <f>+Q170</f>
        <v>245000</v>
      </c>
      <c r="S170" s="3">
        <f>+R170</f>
        <v>245000</v>
      </c>
      <c r="T170" s="640" t="s">
        <v>536</v>
      </c>
    </row>
    <row r="171" spans="1:20" ht="51">
      <c r="A171" s="619"/>
      <c r="B171" s="619"/>
      <c r="C171" s="586"/>
      <c r="D171" s="821"/>
      <c r="E171" s="821"/>
      <c r="F171" s="825"/>
      <c r="G171" s="825"/>
      <c r="H171" s="4" t="s">
        <v>564</v>
      </c>
      <c r="I171" s="4" t="s">
        <v>565</v>
      </c>
      <c r="J171" s="3">
        <v>0</v>
      </c>
      <c r="K171" s="3">
        <v>0</v>
      </c>
      <c r="L171" s="3">
        <v>1</v>
      </c>
      <c r="M171" s="3">
        <v>1</v>
      </c>
      <c r="N171" s="3">
        <v>1</v>
      </c>
      <c r="O171" s="143">
        <f t="shared" si="11"/>
        <v>60000</v>
      </c>
      <c r="P171" s="3">
        <v>0</v>
      </c>
      <c r="Q171" s="3">
        <v>50000</v>
      </c>
      <c r="R171" s="3">
        <v>10000</v>
      </c>
      <c r="S171" s="3">
        <v>0</v>
      </c>
      <c r="T171" s="641"/>
    </row>
    <row r="172" spans="1:20" ht="38.25">
      <c r="A172" s="619"/>
      <c r="B172" s="619"/>
      <c r="C172" s="586"/>
      <c r="D172" s="30" t="s">
        <v>566</v>
      </c>
      <c r="E172" s="30" t="s">
        <v>561</v>
      </c>
      <c r="F172" s="202">
        <v>920</v>
      </c>
      <c r="G172" s="202">
        <v>800</v>
      </c>
      <c r="H172" s="4" t="s">
        <v>567</v>
      </c>
      <c r="I172" s="4" t="s">
        <v>710</v>
      </c>
      <c r="J172" s="3">
        <v>0</v>
      </c>
      <c r="K172" s="3">
        <v>3</v>
      </c>
      <c r="L172" s="3">
        <v>7</v>
      </c>
      <c r="M172" s="3">
        <v>11</v>
      </c>
      <c r="N172" s="3">
        <v>16</v>
      </c>
      <c r="O172" s="143">
        <f t="shared" si="11"/>
        <v>170000</v>
      </c>
      <c r="P172" s="3">
        <v>30000</v>
      </c>
      <c r="Q172" s="3">
        <v>40000</v>
      </c>
      <c r="R172" s="3">
        <v>50000</v>
      </c>
      <c r="S172" s="3">
        <v>50000</v>
      </c>
      <c r="T172" s="641"/>
    </row>
    <row r="173" spans="1:20" ht="25.5">
      <c r="A173" s="619"/>
      <c r="B173" s="619"/>
      <c r="C173" s="586"/>
      <c r="D173" s="30" t="s">
        <v>568</v>
      </c>
      <c r="E173" s="30" t="s">
        <v>569</v>
      </c>
      <c r="F173" s="202">
        <v>0</v>
      </c>
      <c r="G173" s="202">
        <v>20</v>
      </c>
      <c r="H173" s="4" t="s">
        <v>570</v>
      </c>
      <c r="I173" s="4" t="s">
        <v>571</v>
      </c>
      <c r="J173" s="3">
        <v>0</v>
      </c>
      <c r="K173" s="3">
        <v>6</v>
      </c>
      <c r="L173" s="3">
        <v>12</v>
      </c>
      <c r="M173" s="3">
        <v>18</v>
      </c>
      <c r="N173" s="3">
        <v>20</v>
      </c>
      <c r="O173" s="143">
        <f t="shared" si="11"/>
        <v>145000</v>
      </c>
      <c r="P173" s="3">
        <v>30000</v>
      </c>
      <c r="Q173" s="3">
        <v>30000</v>
      </c>
      <c r="R173" s="3">
        <v>40000</v>
      </c>
      <c r="S173" s="3">
        <v>45000</v>
      </c>
      <c r="T173" s="641"/>
    </row>
    <row r="174" spans="1:20" ht="102">
      <c r="A174" s="619"/>
      <c r="B174" s="619"/>
      <c r="C174" s="586"/>
      <c r="D174" s="30" t="s">
        <v>572</v>
      </c>
      <c r="E174" s="30" t="s">
        <v>573</v>
      </c>
      <c r="F174" s="202">
        <v>0</v>
      </c>
      <c r="G174" s="128">
        <v>1</v>
      </c>
      <c r="H174" s="4" t="s">
        <v>574</v>
      </c>
      <c r="I174" s="4" t="s">
        <v>575</v>
      </c>
      <c r="J174" s="3">
        <v>0</v>
      </c>
      <c r="K174" s="3">
        <v>1</v>
      </c>
      <c r="L174" s="3">
        <v>3</v>
      </c>
      <c r="M174" s="3">
        <v>6</v>
      </c>
      <c r="N174" s="3">
        <v>8</v>
      </c>
      <c r="O174" s="143">
        <f t="shared" si="11"/>
        <v>125000</v>
      </c>
      <c r="P174" s="3">
        <v>20000</v>
      </c>
      <c r="Q174" s="3">
        <v>35000</v>
      </c>
      <c r="R174" s="3">
        <f>+Q174</f>
        <v>35000</v>
      </c>
      <c r="S174" s="3">
        <v>35000</v>
      </c>
      <c r="T174" s="641"/>
    </row>
    <row r="175" spans="1:20" ht="63.75">
      <c r="A175" s="619"/>
      <c r="B175" s="619"/>
      <c r="C175" s="586"/>
      <c r="D175" s="30" t="s">
        <v>576</v>
      </c>
      <c r="E175" s="30" t="s">
        <v>577</v>
      </c>
      <c r="F175" s="202">
        <v>0</v>
      </c>
      <c r="G175" s="202">
        <v>8</v>
      </c>
      <c r="H175" s="4" t="s">
        <v>578</v>
      </c>
      <c r="I175" s="4" t="s">
        <v>532</v>
      </c>
      <c r="J175" s="3">
        <v>0</v>
      </c>
      <c r="K175" s="3">
        <v>1</v>
      </c>
      <c r="L175" s="3">
        <v>3</v>
      </c>
      <c r="M175" s="3">
        <v>6</v>
      </c>
      <c r="N175" s="3">
        <v>8</v>
      </c>
      <c r="O175" s="143">
        <f t="shared" si="11"/>
        <v>120000</v>
      </c>
      <c r="P175" s="3">
        <v>30000</v>
      </c>
      <c r="Q175" s="3">
        <v>30000</v>
      </c>
      <c r="R175" s="3">
        <f>+Q175</f>
        <v>30000</v>
      </c>
      <c r="S175" s="3">
        <v>30000</v>
      </c>
      <c r="T175" s="641"/>
    </row>
    <row r="176" spans="1:20" ht="63.75">
      <c r="A176" s="619"/>
      <c r="B176" s="619"/>
      <c r="C176" s="586"/>
      <c r="D176" s="30" t="s">
        <v>579</v>
      </c>
      <c r="E176" s="30" t="s">
        <v>580</v>
      </c>
      <c r="F176" s="202">
        <v>0</v>
      </c>
      <c r="G176" s="202">
        <v>35</v>
      </c>
      <c r="H176" s="4" t="s">
        <v>581</v>
      </c>
      <c r="I176" s="4" t="s">
        <v>532</v>
      </c>
      <c r="J176" s="3">
        <v>0</v>
      </c>
      <c r="K176" s="3">
        <v>2</v>
      </c>
      <c r="L176" s="3">
        <v>4</v>
      </c>
      <c r="M176" s="3">
        <v>6</v>
      </c>
      <c r="N176" s="3">
        <v>8</v>
      </c>
      <c r="O176" s="143">
        <f t="shared" si="11"/>
        <v>125000</v>
      </c>
      <c r="P176" s="3">
        <v>30000</v>
      </c>
      <c r="Q176" s="3">
        <v>30000</v>
      </c>
      <c r="R176" s="3">
        <v>35000</v>
      </c>
      <c r="S176" s="3">
        <v>30000</v>
      </c>
      <c r="T176" s="641"/>
    </row>
    <row r="177" spans="1:20" ht="63.75">
      <c r="A177" s="619"/>
      <c r="B177" s="619"/>
      <c r="C177" s="586"/>
      <c r="D177" s="30" t="s">
        <v>1800</v>
      </c>
      <c r="E177" s="30" t="s">
        <v>1801</v>
      </c>
      <c r="F177" s="202">
        <v>0</v>
      </c>
      <c r="G177" s="202">
        <v>4</v>
      </c>
      <c r="H177" s="4" t="s">
        <v>1802</v>
      </c>
      <c r="I177" s="4" t="s">
        <v>743</v>
      </c>
      <c r="J177" s="3">
        <v>0</v>
      </c>
      <c r="K177" s="3">
        <v>0</v>
      </c>
      <c r="L177" s="3">
        <v>1</v>
      </c>
      <c r="M177" s="3">
        <v>2</v>
      </c>
      <c r="N177" s="3">
        <v>4</v>
      </c>
      <c r="O177" s="143">
        <f t="shared" si="11"/>
        <v>110000</v>
      </c>
      <c r="P177" s="3">
        <v>0</v>
      </c>
      <c r="Q177" s="3">
        <v>30000</v>
      </c>
      <c r="R177" s="3">
        <v>35000</v>
      </c>
      <c r="S177" s="3">
        <v>45000</v>
      </c>
      <c r="T177" s="641"/>
    </row>
    <row r="178" spans="1:20" ht="114.75">
      <c r="A178" s="604"/>
      <c r="B178" s="604"/>
      <c r="C178" s="823"/>
      <c r="D178" s="30" t="s">
        <v>1803</v>
      </c>
      <c r="E178" s="30" t="s">
        <v>1806</v>
      </c>
      <c r="F178" s="202">
        <v>1200</v>
      </c>
      <c r="G178" s="202">
        <v>4000</v>
      </c>
      <c r="H178" s="4" t="s">
        <v>1804</v>
      </c>
      <c r="I178" s="4" t="s">
        <v>1805</v>
      </c>
      <c r="J178" s="3">
        <v>0</v>
      </c>
      <c r="K178" s="3">
        <v>3</v>
      </c>
      <c r="L178" s="3">
        <v>6</v>
      </c>
      <c r="M178" s="3">
        <v>9</v>
      </c>
      <c r="N178" s="3">
        <v>12</v>
      </c>
      <c r="O178" s="143">
        <f t="shared" si="11"/>
        <v>250000</v>
      </c>
      <c r="P178" s="3">
        <v>50000</v>
      </c>
      <c r="Q178" s="3">
        <v>60000</v>
      </c>
      <c r="R178" s="3">
        <v>70000</v>
      </c>
      <c r="S178" s="3">
        <v>70000</v>
      </c>
      <c r="T178" s="641"/>
    </row>
    <row r="179" spans="1:20" ht="38.25">
      <c r="A179" s="549" t="s">
        <v>1807</v>
      </c>
      <c r="B179" s="549"/>
      <c r="C179" s="721"/>
      <c r="D179" s="14" t="s">
        <v>1808</v>
      </c>
      <c r="E179" s="14" t="s">
        <v>1809</v>
      </c>
      <c r="F179" s="202">
        <f>205+809+587+2726+50+34+28+25+35+40</f>
        <v>4539</v>
      </c>
      <c r="G179" s="203">
        <v>1</v>
      </c>
      <c r="H179" s="4"/>
      <c r="I179" s="4" t="s">
        <v>1810</v>
      </c>
      <c r="J179" s="3">
        <v>4539</v>
      </c>
      <c r="K179" s="97">
        <v>0.5</v>
      </c>
      <c r="L179" s="97">
        <v>1</v>
      </c>
      <c r="M179" s="97">
        <v>1</v>
      </c>
      <c r="N179" s="97">
        <v>1</v>
      </c>
      <c r="O179" s="3">
        <f aca="true" t="shared" si="12" ref="O179:O189">+P179+Q179+R179+S179</f>
        <v>1460000</v>
      </c>
      <c r="P179" s="3">
        <v>320000</v>
      </c>
      <c r="Q179" s="3">
        <v>370000</v>
      </c>
      <c r="R179" s="3">
        <v>385000</v>
      </c>
      <c r="S179" s="3">
        <f>+R179</f>
        <v>385000</v>
      </c>
      <c r="T179" s="641"/>
    </row>
    <row r="180" spans="1:20" ht="102">
      <c r="A180" s="549"/>
      <c r="B180" s="549"/>
      <c r="C180" s="721"/>
      <c r="D180" s="14" t="s">
        <v>1811</v>
      </c>
      <c r="E180" s="14" t="s">
        <v>1812</v>
      </c>
      <c r="F180" s="210">
        <v>0</v>
      </c>
      <c r="G180" s="210">
        <v>40</v>
      </c>
      <c r="H180" s="4" t="s">
        <v>1813</v>
      </c>
      <c r="I180" s="4" t="s">
        <v>1814</v>
      </c>
      <c r="J180" s="3">
        <v>0</v>
      </c>
      <c r="K180" s="3">
        <v>10</v>
      </c>
      <c r="L180" s="3">
        <v>20</v>
      </c>
      <c r="M180" s="3">
        <v>30</v>
      </c>
      <c r="N180" s="3">
        <v>40</v>
      </c>
      <c r="O180" s="3">
        <f t="shared" si="12"/>
        <v>385000</v>
      </c>
      <c r="P180" s="3">
        <v>90000</v>
      </c>
      <c r="Q180" s="3">
        <v>90000</v>
      </c>
      <c r="R180" s="3">
        <v>100000</v>
      </c>
      <c r="S180" s="3">
        <v>105000</v>
      </c>
      <c r="T180" s="641"/>
    </row>
    <row r="181" spans="1:20" ht="76.5">
      <c r="A181" s="549"/>
      <c r="B181" s="549"/>
      <c r="C181" s="721"/>
      <c r="D181" s="14" t="s">
        <v>1815</v>
      </c>
      <c r="E181" s="14" t="s">
        <v>1816</v>
      </c>
      <c r="F181" s="137">
        <v>0.01</v>
      </c>
      <c r="G181" s="137">
        <v>1</v>
      </c>
      <c r="H181" s="4" t="s">
        <v>1817</v>
      </c>
      <c r="I181" s="4" t="s">
        <v>1818</v>
      </c>
      <c r="J181" s="3">
        <v>0</v>
      </c>
      <c r="K181" s="3">
        <v>0</v>
      </c>
      <c r="L181" s="3">
        <v>1</v>
      </c>
      <c r="M181" s="3">
        <v>1</v>
      </c>
      <c r="N181" s="3">
        <v>1</v>
      </c>
      <c r="O181" s="3">
        <f t="shared" si="12"/>
        <v>50000</v>
      </c>
      <c r="P181" s="3">
        <v>0</v>
      </c>
      <c r="Q181" s="3">
        <v>30000</v>
      </c>
      <c r="R181" s="3">
        <v>10000</v>
      </c>
      <c r="S181" s="3">
        <f>+R181</f>
        <v>10000</v>
      </c>
      <c r="T181" s="641"/>
    </row>
    <row r="182" spans="1:20" ht="89.25">
      <c r="A182" s="549"/>
      <c r="B182" s="549"/>
      <c r="C182" s="721"/>
      <c r="D182" s="14" t="s">
        <v>899</v>
      </c>
      <c r="E182" s="14" t="s">
        <v>900</v>
      </c>
      <c r="F182" s="137">
        <v>0</v>
      </c>
      <c r="G182" s="137">
        <v>1</v>
      </c>
      <c r="H182" s="4" t="s">
        <v>901</v>
      </c>
      <c r="I182" s="4" t="s">
        <v>902</v>
      </c>
      <c r="J182" s="3">
        <v>0</v>
      </c>
      <c r="K182" s="3">
        <v>0</v>
      </c>
      <c r="L182" s="3">
        <v>1</v>
      </c>
      <c r="M182" s="3">
        <v>1</v>
      </c>
      <c r="N182" s="3">
        <v>1</v>
      </c>
      <c r="O182" s="3">
        <f t="shared" si="12"/>
        <v>35000</v>
      </c>
      <c r="P182" s="3">
        <v>0</v>
      </c>
      <c r="Q182" s="3">
        <v>15000</v>
      </c>
      <c r="R182" s="3">
        <v>10000</v>
      </c>
      <c r="S182" s="3">
        <f>+R182</f>
        <v>10000</v>
      </c>
      <c r="T182" s="641"/>
    </row>
    <row r="183" spans="1:20" ht="63.75">
      <c r="A183" s="549"/>
      <c r="B183" s="549"/>
      <c r="C183" s="721"/>
      <c r="D183" s="14" t="s">
        <v>903</v>
      </c>
      <c r="E183" s="99" t="s">
        <v>1834</v>
      </c>
      <c r="F183" s="202">
        <v>0</v>
      </c>
      <c r="G183" s="203">
        <v>1</v>
      </c>
      <c r="H183" s="4" t="s">
        <v>904</v>
      </c>
      <c r="I183" s="4" t="s">
        <v>532</v>
      </c>
      <c r="J183" s="3">
        <v>0</v>
      </c>
      <c r="K183" s="3">
        <v>1</v>
      </c>
      <c r="L183" s="3">
        <v>3</v>
      </c>
      <c r="M183" s="3">
        <v>5</v>
      </c>
      <c r="N183" s="3">
        <v>7</v>
      </c>
      <c r="O183" s="3">
        <f t="shared" si="12"/>
        <v>160000</v>
      </c>
      <c r="P183" s="3">
        <v>40000</v>
      </c>
      <c r="Q183" s="3">
        <f aca="true" t="shared" si="13" ref="Q183:R185">+P183</f>
        <v>40000</v>
      </c>
      <c r="R183" s="3">
        <f t="shared" si="13"/>
        <v>40000</v>
      </c>
      <c r="S183" s="3">
        <f>+R183</f>
        <v>40000</v>
      </c>
      <c r="T183" s="641"/>
    </row>
    <row r="184" spans="1:20" ht="25.5">
      <c r="A184" s="549"/>
      <c r="B184" s="549"/>
      <c r="C184" s="721"/>
      <c r="D184" s="14" t="s">
        <v>2889</v>
      </c>
      <c r="E184" s="14" t="s">
        <v>2890</v>
      </c>
      <c r="F184" s="202">
        <v>0</v>
      </c>
      <c r="G184" s="202">
        <v>1</v>
      </c>
      <c r="H184" s="4" t="s">
        <v>2891</v>
      </c>
      <c r="I184" s="4" t="s">
        <v>2892</v>
      </c>
      <c r="J184" s="3">
        <v>0</v>
      </c>
      <c r="K184" s="3">
        <v>4</v>
      </c>
      <c r="L184" s="3">
        <v>8</v>
      </c>
      <c r="M184" s="3">
        <v>12</v>
      </c>
      <c r="N184" s="3">
        <v>16</v>
      </c>
      <c r="O184" s="3">
        <f t="shared" si="12"/>
        <v>120000</v>
      </c>
      <c r="P184" s="3">
        <v>30000</v>
      </c>
      <c r="Q184" s="3">
        <f t="shared" si="13"/>
        <v>30000</v>
      </c>
      <c r="R184" s="3">
        <f t="shared" si="13"/>
        <v>30000</v>
      </c>
      <c r="S184" s="3">
        <f>+R184</f>
        <v>30000</v>
      </c>
      <c r="T184" s="641"/>
    </row>
    <row r="185" spans="1:20" ht="63.75">
      <c r="A185" s="549"/>
      <c r="B185" s="549"/>
      <c r="C185" s="721"/>
      <c r="D185" s="204" t="s">
        <v>2893</v>
      </c>
      <c r="E185" s="126" t="s">
        <v>2894</v>
      </c>
      <c r="F185" s="202">
        <v>0</v>
      </c>
      <c r="G185" s="202">
        <v>1</v>
      </c>
      <c r="H185" s="14" t="s">
        <v>1819</v>
      </c>
      <c r="I185" s="14" t="s">
        <v>1820</v>
      </c>
      <c r="J185" s="3">
        <v>0</v>
      </c>
      <c r="K185" s="3">
        <v>1</v>
      </c>
      <c r="L185" s="3">
        <v>2</v>
      </c>
      <c r="M185" s="3">
        <v>3</v>
      </c>
      <c r="N185" s="3">
        <v>4</v>
      </c>
      <c r="O185" s="3">
        <f t="shared" si="12"/>
        <v>100000</v>
      </c>
      <c r="P185" s="3">
        <v>25000</v>
      </c>
      <c r="Q185" s="3">
        <f t="shared" si="13"/>
        <v>25000</v>
      </c>
      <c r="R185" s="3">
        <f t="shared" si="13"/>
        <v>25000</v>
      </c>
      <c r="S185" s="3">
        <f>+R185</f>
        <v>25000</v>
      </c>
      <c r="T185" s="641"/>
    </row>
    <row r="186" spans="1:20" ht="114.75">
      <c r="A186" s="549"/>
      <c r="B186" s="549"/>
      <c r="C186" s="721"/>
      <c r="D186" s="14" t="s">
        <v>1821</v>
      </c>
      <c r="E186" s="14" t="s">
        <v>1835</v>
      </c>
      <c r="F186" s="202">
        <v>1000</v>
      </c>
      <c r="G186" s="203">
        <v>1</v>
      </c>
      <c r="H186" s="4" t="s">
        <v>1822</v>
      </c>
      <c r="I186" s="4" t="s">
        <v>1823</v>
      </c>
      <c r="J186" s="3">
        <v>0</v>
      </c>
      <c r="K186" s="3">
        <v>250</v>
      </c>
      <c r="L186" s="3">
        <v>750</v>
      </c>
      <c r="M186" s="3">
        <v>1000</v>
      </c>
      <c r="N186" s="3">
        <v>1250</v>
      </c>
      <c r="O186" s="3">
        <f t="shared" si="12"/>
        <v>550000</v>
      </c>
      <c r="P186" s="3">
        <v>130000</v>
      </c>
      <c r="Q186" s="3">
        <v>135000</v>
      </c>
      <c r="R186" s="3">
        <f>+Q186</f>
        <v>135000</v>
      </c>
      <c r="S186" s="3">
        <v>150000</v>
      </c>
      <c r="T186" s="641"/>
    </row>
    <row r="187" spans="1:20" ht="38.25">
      <c r="A187" s="549"/>
      <c r="B187" s="549"/>
      <c r="C187" s="721"/>
      <c r="D187" s="14" t="s">
        <v>1824</v>
      </c>
      <c r="E187" s="14" t="s">
        <v>1825</v>
      </c>
      <c r="F187" s="137">
        <v>15</v>
      </c>
      <c r="G187" s="137">
        <v>20</v>
      </c>
      <c r="H187" s="4" t="s">
        <v>1826</v>
      </c>
      <c r="I187" s="4" t="s">
        <v>710</v>
      </c>
      <c r="J187" s="3">
        <v>15</v>
      </c>
      <c r="K187" s="3">
        <v>1</v>
      </c>
      <c r="L187" s="3">
        <v>4</v>
      </c>
      <c r="M187" s="3">
        <v>7</v>
      </c>
      <c r="N187" s="3">
        <v>10</v>
      </c>
      <c r="O187" s="3">
        <f t="shared" si="12"/>
        <v>120000</v>
      </c>
      <c r="P187" s="3">
        <v>30000</v>
      </c>
      <c r="Q187" s="3">
        <f>+P187</f>
        <v>30000</v>
      </c>
      <c r="R187" s="3">
        <f>+Q187</f>
        <v>30000</v>
      </c>
      <c r="S187" s="3">
        <f aca="true" t="shared" si="14" ref="S187:S193">+R187</f>
        <v>30000</v>
      </c>
      <c r="T187" s="641"/>
    </row>
    <row r="188" spans="1:20" ht="76.5">
      <c r="A188" s="549"/>
      <c r="B188" s="549"/>
      <c r="C188" s="721"/>
      <c r="D188" s="204" t="s">
        <v>1827</v>
      </c>
      <c r="E188" s="14" t="s">
        <v>1828</v>
      </c>
      <c r="F188" s="211">
        <v>30000</v>
      </c>
      <c r="G188" s="212">
        <v>1</v>
      </c>
      <c r="H188" s="14" t="s">
        <v>1829</v>
      </c>
      <c r="I188" s="14" t="s">
        <v>1830</v>
      </c>
      <c r="J188" s="3" t="e">
        <f>+#REF!</f>
        <v>#REF!</v>
      </c>
      <c r="K188" s="97">
        <v>0.2</v>
      </c>
      <c r="L188" s="97">
        <v>0.5</v>
      </c>
      <c r="M188" s="97">
        <v>0.75</v>
      </c>
      <c r="N188" s="97">
        <v>1</v>
      </c>
      <c r="O188" s="3">
        <f t="shared" si="12"/>
        <v>100000</v>
      </c>
      <c r="P188" s="3">
        <v>25000</v>
      </c>
      <c r="Q188" s="3">
        <f>+P188</f>
        <v>25000</v>
      </c>
      <c r="R188" s="3">
        <f>+Q188</f>
        <v>25000</v>
      </c>
      <c r="S188" s="3">
        <f t="shared" si="14"/>
        <v>25000</v>
      </c>
      <c r="T188" s="641"/>
    </row>
    <row r="189" spans="1:20" ht="89.25">
      <c r="A189" s="549"/>
      <c r="B189" s="549"/>
      <c r="C189" s="721"/>
      <c r="D189" s="14" t="s">
        <v>1831</v>
      </c>
      <c r="E189" s="14" t="s">
        <v>1831</v>
      </c>
      <c r="F189" s="137">
        <v>0</v>
      </c>
      <c r="G189" s="137">
        <v>1</v>
      </c>
      <c r="H189" s="14" t="s">
        <v>1832</v>
      </c>
      <c r="I189" s="78" t="s">
        <v>1833</v>
      </c>
      <c r="J189" s="3">
        <v>0</v>
      </c>
      <c r="K189" s="3">
        <v>1</v>
      </c>
      <c r="L189" s="3">
        <v>2</v>
      </c>
      <c r="M189" s="3">
        <v>3</v>
      </c>
      <c r="N189" s="3">
        <v>4</v>
      </c>
      <c r="O189" s="3">
        <f t="shared" si="12"/>
        <v>40000</v>
      </c>
      <c r="P189" s="3">
        <v>10000</v>
      </c>
      <c r="Q189" s="3">
        <f>+P189</f>
        <v>10000</v>
      </c>
      <c r="R189" s="3">
        <f>+Q189</f>
        <v>10000</v>
      </c>
      <c r="S189" s="3">
        <f t="shared" si="14"/>
        <v>10000</v>
      </c>
      <c r="T189" s="636"/>
    </row>
    <row r="190" spans="1:20" ht="25.5">
      <c r="A190" s="560" t="s">
        <v>1836</v>
      </c>
      <c r="B190" s="549"/>
      <c r="C190" s="721"/>
      <c r="D190" s="30" t="s">
        <v>1837</v>
      </c>
      <c r="E190" s="30" t="s">
        <v>1838</v>
      </c>
      <c r="F190" s="78">
        <v>1</v>
      </c>
      <c r="G190" s="159">
        <v>3000</v>
      </c>
      <c r="H190" s="78" t="s">
        <v>1839</v>
      </c>
      <c r="I190" s="78" t="s">
        <v>1840</v>
      </c>
      <c r="J190" s="3">
        <v>1</v>
      </c>
      <c r="K190" s="143">
        <v>1</v>
      </c>
      <c r="L190" s="3">
        <v>2</v>
      </c>
      <c r="M190" s="3">
        <v>3</v>
      </c>
      <c r="N190" s="3">
        <v>4</v>
      </c>
      <c r="O190" s="143">
        <f aca="true" t="shared" si="15" ref="O190:O197">+P190+Q190+R190+S190</f>
        <v>80000</v>
      </c>
      <c r="P190" s="3">
        <v>20000</v>
      </c>
      <c r="Q190" s="3">
        <v>20000</v>
      </c>
      <c r="R190" s="3">
        <f>+Q190</f>
        <v>20000</v>
      </c>
      <c r="S190" s="3">
        <f t="shared" si="14"/>
        <v>20000</v>
      </c>
      <c r="T190" s="817" t="s">
        <v>536</v>
      </c>
    </row>
    <row r="191" spans="1:20" ht="89.25">
      <c r="A191" s="619"/>
      <c r="B191" s="549"/>
      <c r="C191" s="721"/>
      <c r="D191" s="30" t="s">
        <v>1841</v>
      </c>
      <c r="E191" s="30" t="s">
        <v>1842</v>
      </c>
      <c r="F191" s="78">
        <v>0</v>
      </c>
      <c r="G191" s="213">
        <v>1</v>
      </c>
      <c r="H191" s="198" t="s">
        <v>1843</v>
      </c>
      <c r="I191" s="14" t="s">
        <v>1844</v>
      </c>
      <c r="J191" s="3">
        <v>0</v>
      </c>
      <c r="K191" s="3">
        <v>0</v>
      </c>
      <c r="L191" s="3">
        <v>1</v>
      </c>
      <c r="M191" s="3">
        <v>1</v>
      </c>
      <c r="N191" s="3">
        <v>1</v>
      </c>
      <c r="O191" s="143">
        <f t="shared" si="15"/>
        <v>280000</v>
      </c>
      <c r="P191" s="3">
        <v>0</v>
      </c>
      <c r="Q191" s="3">
        <v>200000</v>
      </c>
      <c r="R191" s="3">
        <v>40000</v>
      </c>
      <c r="S191" s="3">
        <f t="shared" si="14"/>
        <v>40000</v>
      </c>
      <c r="T191" s="818"/>
    </row>
    <row r="192" spans="1:20" ht="25.5">
      <c r="A192" s="619"/>
      <c r="B192" s="549"/>
      <c r="C192" s="721"/>
      <c r="D192" s="30" t="s">
        <v>1845</v>
      </c>
      <c r="E192" s="30" t="s">
        <v>1846</v>
      </c>
      <c r="F192" s="78">
        <v>0</v>
      </c>
      <c r="G192" s="159">
        <v>12000</v>
      </c>
      <c r="H192" s="78" t="s">
        <v>1847</v>
      </c>
      <c r="I192" s="78" t="s">
        <v>2678</v>
      </c>
      <c r="J192" s="143"/>
      <c r="K192" s="3">
        <v>6</v>
      </c>
      <c r="L192" s="3">
        <v>12</v>
      </c>
      <c r="M192" s="3">
        <v>18</v>
      </c>
      <c r="N192" s="3">
        <v>24</v>
      </c>
      <c r="O192" s="143">
        <f t="shared" si="15"/>
        <v>200000</v>
      </c>
      <c r="P192" s="3">
        <v>50000</v>
      </c>
      <c r="Q192" s="3">
        <v>50000</v>
      </c>
      <c r="R192" s="3">
        <v>50000</v>
      </c>
      <c r="S192" s="3">
        <f t="shared" si="14"/>
        <v>50000</v>
      </c>
      <c r="T192" s="818"/>
    </row>
    <row r="193" spans="1:20" ht="38.25">
      <c r="A193" s="619"/>
      <c r="B193" s="549"/>
      <c r="C193" s="721"/>
      <c r="D193" s="30" t="s">
        <v>2679</v>
      </c>
      <c r="E193" s="30" t="s">
        <v>2680</v>
      </c>
      <c r="F193" s="78">
        <v>0</v>
      </c>
      <c r="G193" s="159">
        <v>150</v>
      </c>
      <c r="H193" s="14" t="s">
        <v>2681</v>
      </c>
      <c r="I193" s="14" t="s">
        <v>2682</v>
      </c>
      <c r="J193" s="143"/>
      <c r="K193" s="3">
        <v>150</v>
      </c>
      <c r="L193" s="3">
        <v>300</v>
      </c>
      <c r="M193" s="3">
        <v>450</v>
      </c>
      <c r="N193" s="3">
        <v>600</v>
      </c>
      <c r="O193" s="143">
        <f t="shared" si="15"/>
        <v>280000</v>
      </c>
      <c r="P193" s="3">
        <v>70000</v>
      </c>
      <c r="Q193" s="3">
        <f>+P193</f>
        <v>70000</v>
      </c>
      <c r="R193" s="3">
        <v>70000</v>
      </c>
      <c r="S193" s="3">
        <f t="shared" si="14"/>
        <v>70000</v>
      </c>
      <c r="T193" s="818"/>
    </row>
    <row r="194" spans="1:20" ht="25.5">
      <c r="A194" s="619"/>
      <c r="B194" s="549"/>
      <c r="C194" s="721"/>
      <c r="D194" s="30" t="s">
        <v>2683</v>
      </c>
      <c r="E194" s="30" t="s">
        <v>1838</v>
      </c>
      <c r="F194" s="78">
        <v>0</v>
      </c>
      <c r="G194" s="159">
        <v>22000</v>
      </c>
      <c r="H194" s="78" t="s">
        <v>2684</v>
      </c>
      <c r="I194" s="78" t="s">
        <v>2685</v>
      </c>
      <c r="J194" s="143"/>
      <c r="K194" s="3">
        <v>350</v>
      </c>
      <c r="L194" s="3">
        <v>700</v>
      </c>
      <c r="M194" s="3">
        <v>1050</v>
      </c>
      <c r="N194" s="3">
        <v>1400</v>
      </c>
      <c r="O194" s="143">
        <f t="shared" si="15"/>
        <v>230000</v>
      </c>
      <c r="P194" s="3">
        <v>60000</v>
      </c>
      <c r="Q194" s="3">
        <v>55000</v>
      </c>
      <c r="R194" s="3">
        <v>55000</v>
      </c>
      <c r="S194" s="3">
        <v>60000</v>
      </c>
      <c r="T194" s="818"/>
    </row>
    <row r="195" spans="1:20" ht="12.75">
      <c r="A195" s="619"/>
      <c r="B195" s="549"/>
      <c r="C195" s="721"/>
      <c r="D195" s="30" t="s">
        <v>2686</v>
      </c>
      <c r="E195" s="30" t="s">
        <v>577</v>
      </c>
      <c r="F195" s="78">
        <v>0</v>
      </c>
      <c r="G195" s="159">
        <v>24</v>
      </c>
      <c r="H195" s="78" t="s">
        <v>2687</v>
      </c>
      <c r="I195" s="78" t="s">
        <v>532</v>
      </c>
      <c r="J195" s="143"/>
      <c r="K195" s="3">
        <v>6</v>
      </c>
      <c r="L195" s="3">
        <v>12</v>
      </c>
      <c r="M195" s="3">
        <v>18</v>
      </c>
      <c r="N195" s="3">
        <v>24</v>
      </c>
      <c r="O195" s="143">
        <f t="shared" si="15"/>
        <v>625000</v>
      </c>
      <c r="P195" s="3">
        <v>185000</v>
      </c>
      <c r="Q195" s="3">
        <v>150000</v>
      </c>
      <c r="R195" s="3">
        <v>140000</v>
      </c>
      <c r="S195" s="3">
        <v>150000</v>
      </c>
      <c r="T195" s="818"/>
    </row>
    <row r="196" spans="1:20" ht="38.25">
      <c r="A196" s="619"/>
      <c r="B196" s="549"/>
      <c r="C196" s="721"/>
      <c r="D196" s="30" t="s">
        <v>2688</v>
      </c>
      <c r="E196" s="30" t="s">
        <v>2689</v>
      </c>
      <c r="F196" s="78">
        <v>0</v>
      </c>
      <c r="G196" s="159">
        <v>24</v>
      </c>
      <c r="H196" s="14" t="s">
        <v>1854</v>
      </c>
      <c r="I196" s="14" t="s">
        <v>1855</v>
      </c>
      <c r="J196" s="143"/>
      <c r="K196" s="3">
        <v>6</v>
      </c>
      <c r="L196" s="3">
        <v>12</v>
      </c>
      <c r="M196" s="3">
        <v>18</v>
      </c>
      <c r="N196" s="3">
        <v>24</v>
      </c>
      <c r="O196" s="143">
        <f t="shared" si="15"/>
        <v>65000</v>
      </c>
      <c r="P196" s="3">
        <v>20000</v>
      </c>
      <c r="Q196" s="3">
        <v>15000</v>
      </c>
      <c r="R196" s="3">
        <v>15000</v>
      </c>
      <c r="S196" s="3">
        <f>+R196</f>
        <v>15000</v>
      </c>
      <c r="T196" s="818"/>
    </row>
    <row r="197" spans="1:20" ht="51">
      <c r="A197" s="604"/>
      <c r="B197" s="549"/>
      <c r="C197" s="721"/>
      <c r="D197" s="30" t="s">
        <v>1856</v>
      </c>
      <c r="E197" s="30" t="s">
        <v>1857</v>
      </c>
      <c r="F197" s="78">
        <v>0</v>
      </c>
      <c r="G197" s="159">
        <v>5000</v>
      </c>
      <c r="H197" s="14" t="s">
        <v>1858</v>
      </c>
      <c r="I197" s="78" t="s">
        <v>1859</v>
      </c>
      <c r="J197" s="143"/>
      <c r="K197" s="3">
        <v>3</v>
      </c>
      <c r="L197" s="3">
        <v>6</v>
      </c>
      <c r="M197" s="3">
        <v>9</v>
      </c>
      <c r="N197" s="3">
        <v>12</v>
      </c>
      <c r="O197" s="143">
        <f t="shared" si="15"/>
        <v>170000</v>
      </c>
      <c r="P197" s="3">
        <v>45000</v>
      </c>
      <c r="Q197" s="3">
        <v>40000</v>
      </c>
      <c r="R197" s="3">
        <v>40000</v>
      </c>
      <c r="S197" s="3">
        <v>45000</v>
      </c>
      <c r="T197" s="818"/>
    </row>
    <row r="198" spans="1:20" ht="76.5">
      <c r="A198" s="560" t="s">
        <v>1860</v>
      </c>
      <c r="B198" s="549"/>
      <c r="C198" s="721"/>
      <c r="D198" s="30" t="s">
        <v>1861</v>
      </c>
      <c r="E198" s="30" t="s">
        <v>1862</v>
      </c>
      <c r="F198" s="78">
        <v>3133</v>
      </c>
      <c r="G198" s="78">
        <v>3333</v>
      </c>
      <c r="H198" s="198" t="s">
        <v>1863</v>
      </c>
      <c r="I198" s="198" t="s">
        <v>1864</v>
      </c>
      <c r="J198" s="3">
        <v>27</v>
      </c>
      <c r="K198" s="3">
        <v>30</v>
      </c>
      <c r="L198" s="3">
        <v>32</v>
      </c>
      <c r="M198" s="3">
        <v>34</v>
      </c>
      <c r="N198" s="3">
        <v>36</v>
      </c>
      <c r="O198" s="143">
        <f aca="true" t="shared" si="16" ref="O198:O206">+P198+Q198+R198+S198</f>
        <v>5700000</v>
      </c>
      <c r="P198" s="3">
        <v>1340000</v>
      </c>
      <c r="Q198" s="3">
        <v>1450000</v>
      </c>
      <c r="R198" s="3">
        <v>1450000</v>
      </c>
      <c r="S198" s="3">
        <v>1460000</v>
      </c>
      <c r="T198" s="818"/>
    </row>
    <row r="199" spans="1:20" ht="51">
      <c r="A199" s="604"/>
      <c r="B199" s="549"/>
      <c r="C199" s="721"/>
      <c r="D199" s="30" t="s">
        <v>1865</v>
      </c>
      <c r="E199" s="30" t="s">
        <v>1866</v>
      </c>
      <c r="F199" s="78">
        <v>1500</v>
      </c>
      <c r="G199" s="78">
        <v>2000</v>
      </c>
      <c r="H199" s="14" t="s">
        <v>1867</v>
      </c>
      <c r="I199" s="78" t="s">
        <v>710</v>
      </c>
      <c r="J199" s="3">
        <v>120</v>
      </c>
      <c r="K199" s="3">
        <v>96</v>
      </c>
      <c r="L199" s="3">
        <f>+K199+96</f>
        <v>192</v>
      </c>
      <c r="M199" s="3">
        <f>+L199+96</f>
        <v>288</v>
      </c>
      <c r="N199" s="3">
        <f>+M199+96</f>
        <v>384</v>
      </c>
      <c r="O199" s="143">
        <f t="shared" si="16"/>
        <v>240000</v>
      </c>
      <c r="P199" s="3">
        <v>60000</v>
      </c>
      <c r="Q199" s="3">
        <f>+P199</f>
        <v>60000</v>
      </c>
      <c r="R199" s="3">
        <v>60000</v>
      </c>
      <c r="S199" s="3">
        <f>+R199</f>
        <v>60000</v>
      </c>
      <c r="T199" s="819"/>
    </row>
    <row r="200" spans="1:20" ht="63.75">
      <c r="A200" s="560" t="s">
        <v>1868</v>
      </c>
      <c r="B200" s="549"/>
      <c r="C200" s="721"/>
      <c r="D200" s="30" t="s">
        <v>1869</v>
      </c>
      <c r="E200" s="30" t="s">
        <v>1870</v>
      </c>
      <c r="F200" s="78">
        <v>600</v>
      </c>
      <c r="G200" s="78">
        <v>500</v>
      </c>
      <c r="H200" s="78" t="s">
        <v>1871</v>
      </c>
      <c r="I200" s="78" t="s">
        <v>710</v>
      </c>
      <c r="J200" s="143">
        <v>600</v>
      </c>
      <c r="K200" s="3">
        <v>200</v>
      </c>
      <c r="L200" s="3">
        <v>400</v>
      </c>
      <c r="M200" s="3">
        <v>600</v>
      </c>
      <c r="N200" s="3">
        <v>750</v>
      </c>
      <c r="O200" s="143">
        <f t="shared" si="16"/>
        <v>890000</v>
      </c>
      <c r="P200" s="3">
        <v>180000</v>
      </c>
      <c r="Q200" s="3">
        <v>240000</v>
      </c>
      <c r="R200" s="3">
        <f>+Q200</f>
        <v>240000</v>
      </c>
      <c r="S200" s="3">
        <v>230000</v>
      </c>
      <c r="T200" s="817" t="s">
        <v>536</v>
      </c>
    </row>
    <row r="201" spans="1:20" ht="51">
      <c r="A201" s="619"/>
      <c r="B201" s="549"/>
      <c r="C201" s="721"/>
      <c r="D201" s="197" t="s">
        <v>1872</v>
      </c>
      <c r="E201" s="30" t="s">
        <v>1873</v>
      </c>
      <c r="F201" s="78">
        <v>6</v>
      </c>
      <c r="G201" s="78">
        <v>5113</v>
      </c>
      <c r="H201" s="159" t="s">
        <v>1874</v>
      </c>
      <c r="I201" s="143" t="s">
        <v>1875</v>
      </c>
      <c r="J201" s="143">
        <v>6</v>
      </c>
      <c r="K201" s="3">
        <v>2</v>
      </c>
      <c r="L201" s="3">
        <v>4</v>
      </c>
      <c r="M201" s="3">
        <v>6</v>
      </c>
      <c r="N201" s="3">
        <v>8</v>
      </c>
      <c r="O201" s="143">
        <f t="shared" si="16"/>
        <v>290000</v>
      </c>
      <c r="P201" s="3">
        <v>50000</v>
      </c>
      <c r="Q201" s="3">
        <v>80000</v>
      </c>
      <c r="R201" s="3">
        <f>+Q201</f>
        <v>80000</v>
      </c>
      <c r="S201" s="3">
        <v>80000</v>
      </c>
      <c r="T201" s="818"/>
    </row>
    <row r="202" spans="1:20" ht="25.5">
      <c r="A202" s="604"/>
      <c r="B202" s="549"/>
      <c r="C202" s="721"/>
      <c r="D202" s="30" t="s">
        <v>1876</v>
      </c>
      <c r="E202" s="30" t="s">
        <v>1877</v>
      </c>
      <c r="F202" s="78">
        <v>0</v>
      </c>
      <c r="G202" s="78">
        <v>1</v>
      </c>
      <c r="H202" s="78" t="s">
        <v>1878</v>
      </c>
      <c r="I202" s="14" t="s">
        <v>1879</v>
      </c>
      <c r="J202" s="143">
        <v>0</v>
      </c>
      <c r="K202" s="143">
        <v>6</v>
      </c>
      <c r="L202" s="143">
        <v>12</v>
      </c>
      <c r="M202" s="143">
        <v>18</v>
      </c>
      <c r="N202" s="143">
        <v>24</v>
      </c>
      <c r="O202" s="143">
        <f t="shared" si="16"/>
        <v>80000</v>
      </c>
      <c r="P202" s="3">
        <v>20000</v>
      </c>
      <c r="Q202" s="143">
        <v>20000</v>
      </c>
      <c r="R202" s="143">
        <f>+Q202</f>
        <v>20000</v>
      </c>
      <c r="S202" s="143">
        <v>20000</v>
      </c>
      <c r="T202" s="818"/>
    </row>
    <row r="203" spans="1:20" ht="76.5">
      <c r="A203" s="560" t="s">
        <v>1880</v>
      </c>
      <c r="B203" s="560"/>
      <c r="C203" s="822"/>
      <c r="D203" s="820" t="s">
        <v>1881</v>
      </c>
      <c r="E203" s="820" t="s">
        <v>525</v>
      </c>
      <c r="F203" s="627">
        <v>0</v>
      </c>
      <c r="G203" s="627">
        <v>1</v>
      </c>
      <c r="H203" s="4" t="s">
        <v>526</v>
      </c>
      <c r="I203" s="4" t="s">
        <v>527</v>
      </c>
      <c r="J203" s="3">
        <v>0</v>
      </c>
      <c r="K203" s="3">
        <v>1</v>
      </c>
      <c r="L203" s="3">
        <v>1</v>
      </c>
      <c r="M203" s="3">
        <v>1</v>
      </c>
      <c r="N203" s="3">
        <v>1</v>
      </c>
      <c r="O203" s="143">
        <f t="shared" si="16"/>
        <v>185000</v>
      </c>
      <c r="P203" s="3">
        <v>15000</v>
      </c>
      <c r="Q203" s="3">
        <v>60000</v>
      </c>
      <c r="R203" s="3">
        <f>+Q203</f>
        <v>60000</v>
      </c>
      <c r="S203" s="3">
        <v>50000</v>
      </c>
      <c r="T203" s="818"/>
    </row>
    <row r="204" spans="1:20" ht="51">
      <c r="A204" s="619"/>
      <c r="B204" s="619"/>
      <c r="C204" s="586"/>
      <c r="D204" s="821"/>
      <c r="E204" s="821"/>
      <c r="F204" s="729"/>
      <c r="G204" s="729"/>
      <c r="H204" s="143" t="s">
        <v>1882</v>
      </c>
      <c r="I204" s="143" t="s">
        <v>1883</v>
      </c>
      <c r="J204" s="3">
        <v>0</v>
      </c>
      <c r="K204" s="3">
        <v>0</v>
      </c>
      <c r="L204" s="3">
        <v>1</v>
      </c>
      <c r="M204" s="3">
        <v>1</v>
      </c>
      <c r="N204" s="3">
        <v>1</v>
      </c>
      <c r="O204" s="143">
        <f t="shared" si="16"/>
        <v>170000</v>
      </c>
      <c r="P204" s="3">
        <v>0</v>
      </c>
      <c r="Q204" s="3">
        <v>120000</v>
      </c>
      <c r="R204" s="3">
        <v>30000</v>
      </c>
      <c r="S204" s="3">
        <v>20000</v>
      </c>
      <c r="T204" s="818"/>
    </row>
    <row r="205" spans="1:20" ht="51">
      <c r="A205" s="619"/>
      <c r="B205" s="619"/>
      <c r="C205" s="586"/>
      <c r="D205" s="30" t="s">
        <v>969</v>
      </c>
      <c r="E205" s="30" t="s">
        <v>569</v>
      </c>
      <c r="F205" s="78">
        <v>0</v>
      </c>
      <c r="G205" s="78">
        <v>400</v>
      </c>
      <c r="H205" s="14" t="s">
        <v>970</v>
      </c>
      <c r="I205" s="78" t="s">
        <v>971</v>
      </c>
      <c r="J205" s="3">
        <v>0</v>
      </c>
      <c r="K205" s="3">
        <v>2</v>
      </c>
      <c r="L205" s="3">
        <v>4</v>
      </c>
      <c r="M205" s="3">
        <v>6</v>
      </c>
      <c r="N205" s="3">
        <v>8</v>
      </c>
      <c r="O205" s="143">
        <f t="shared" si="16"/>
        <v>305000</v>
      </c>
      <c r="P205" s="3">
        <v>75000</v>
      </c>
      <c r="Q205" s="3">
        <v>70000</v>
      </c>
      <c r="R205" s="3">
        <v>80000</v>
      </c>
      <c r="S205" s="3">
        <v>80000</v>
      </c>
      <c r="T205" s="818"/>
    </row>
    <row r="206" spans="1:20" ht="51">
      <c r="A206" s="604"/>
      <c r="B206" s="604"/>
      <c r="C206" s="823"/>
      <c r="D206" s="30" t="s">
        <v>972</v>
      </c>
      <c r="E206" s="30" t="s">
        <v>973</v>
      </c>
      <c r="F206" s="78">
        <v>0</v>
      </c>
      <c r="G206" s="78">
        <v>16</v>
      </c>
      <c r="H206" s="14" t="s">
        <v>974</v>
      </c>
      <c r="I206" s="78" t="s">
        <v>975</v>
      </c>
      <c r="J206" s="3">
        <v>0</v>
      </c>
      <c r="K206" s="3">
        <v>7</v>
      </c>
      <c r="L206" s="3">
        <v>10</v>
      </c>
      <c r="M206" s="3">
        <v>13</v>
      </c>
      <c r="N206" s="3">
        <v>16</v>
      </c>
      <c r="O206" s="143">
        <f t="shared" si="16"/>
        <v>60000</v>
      </c>
      <c r="P206" s="3">
        <v>10000</v>
      </c>
      <c r="Q206" s="3">
        <v>10000</v>
      </c>
      <c r="R206" s="3">
        <v>20000</v>
      </c>
      <c r="S206" s="3">
        <v>20000</v>
      </c>
      <c r="T206" s="819"/>
    </row>
    <row r="207" spans="1:20" ht="38.25">
      <c r="A207" s="549" t="s">
        <v>976</v>
      </c>
      <c r="B207" s="549"/>
      <c r="C207" s="626"/>
      <c r="D207" s="549" t="s">
        <v>977</v>
      </c>
      <c r="E207" s="612" t="s">
        <v>978</v>
      </c>
      <c r="F207" s="809">
        <v>2000</v>
      </c>
      <c r="G207" s="809">
        <v>2000</v>
      </c>
      <c r="H207" s="90" t="s">
        <v>979</v>
      </c>
      <c r="I207" s="90" t="s">
        <v>980</v>
      </c>
      <c r="J207" s="78"/>
      <c r="K207" s="78">
        <v>1</v>
      </c>
      <c r="L207" s="78"/>
      <c r="M207" s="78"/>
      <c r="N207" s="78"/>
      <c r="O207" s="78"/>
      <c r="P207" s="78"/>
      <c r="Q207" s="78"/>
      <c r="R207" s="78"/>
      <c r="S207" s="78"/>
      <c r="T207" s="754" t="s">
        <v>981</v>
      </c>
    </row>
    <row r="208" spans="1:20" ht="76.5">
      <c r="A208" s="549"/>
      <c r="B208" s="549"/>
      <c r="C208" s="626"/>
      <c r="D208" s="549"/>
      <c r="E208" s="612"/>
      <c r="F208" s="809"/>
      <c r="G208" s="809"/>
      <c r="H208" s="90" t="s">
        <v>982</v>
      </c>
      <c r="I208" s="90" t="s">
        <v>983</v>
      </c>
      <c r="J208" s="78"/>
      <c r="K208" s="78">
        <v>2</v>
      </c>
      <c r="L208" s="78">
        <v>6</v>
      </c>
      <c r="M208" s="78">
        <v>10</v>
      </c>
      <c r="N208" s="78">
        <v>16</v>
      </c>
      <c r="O208" s="168">
        <f aca="true" t="shared" si="17" ref="O208:O215">SUM(P208:S208)</f>
        <v>260</v>
      </c>
      <c r="P208" s="168">
        <v>50</v>
      </c>
      <c r="Q208" s="168">
        <v>70</v>
      </c>
      <c r="R208" s="168">
        <v>70</v>
      </c>
      <c r="S208" s="168">
        <v>70</v>
      </c>
      <c r="T208" s="755"/>
    </row>
    <row r="209" spans="1:20" ht="63.75">
      <c r="A209" s="549"/>
      <c r="B209" s="549"/>
      <c r="C209" s="626"/>
      <c r="D209" s="549"/>
      <c r="E209" s="612"/>
      <c r="F209" s="809"/>
      <c r="G209" s="809"/>
      <c r="H209" s="90" t="s">
        <v>984</v>
      </c>
      <c r="I209" s="90" t="s">
        <v>985</v>
      </c>
      <c r="J209" s="78"/>
      <c r="K209" s="78"/>
      <c r="L209" s="78">
        <v>30</v>
      </c>
      <c r="M209" s="78">
        <v>30</v>
      </c>
      <c r="N209" s="78">
        <v>30</v>
      </c>
      <c r="O209" s="168">
        <f t="shared" si="17"/>
        <v>94</v>
      </c>
      <c r="P209" s="168"/>
      <c r="Q209" s="168">
        <v>30</v>
      </c>
      <c r="R209" s="168">
        <v>32</v>
      </c>
      <c r="S209" s="168">
        <v>32</v>
      </c>
      <c r="T209" s="755"/>
    </row>
    <row r="210" spans="1:20" ht="127.5">
      <c r="A210" s="549"/>
      <c r="B210" s="549"/>
      <c r="C210" s="626"/>
      <c r="D210" s="90" t="s">
        <v>986</v>
      </c>
      <c r="E210" s="14" t="s">
        <v>987</v>
      </c>
      <c r="F210" s="196">
        <v>10</v>
      </c>
      <c r="G210" s="196">
        <v>10</v>
      </c>
      <c r="H210" s="90" t="s">
        <v>988</v>
      </c>
      <c r="I210" s="90" t="s">
        <v>989</v>
      </c>
      <c r="J210" s="78"/>
      <c r="K210" s="78"/>
      <c r="L210" s="78">
        <v>1</v>
      </c>
      <c r="M210" s="78">
        <v>1</v>
      </c>
      <c r="N210" s="78">
        <v>1</v>
      </c>
      <c r="O210" s="168">
        <f t="shared" si="17"/>
        <v>10</v>
      </c>
      <c r="P210" s="168">
        <v>10</v>
      </c>
      <c r="Q210" s="168"/>
      <c r="R210" s="168"/>
      <c r="S210" s="168"/>
      <c r="T210" s="755"/>
    </row>
    <row r="211" spans="1:20" ht="102">
      <c r="A211" s="549"/>
      <c r="B211" s="549"/>
      <c r="C211" s="626"/>
      <c r="D211" s="90" t="s">
        <v>990</v>
      </c>
      <c r="E211" s="14" t="s">
        <v>991</v>
      </c>
      <c r="F211" s="196">
        <v>4</v>
      </c>
      <c r="G211" s="196">
        <v>4</v>
      </c>
      <c r="H211" s="90" t="s">
        <v>992</v>
      </c>
      <c r="I211" s="90" t="s">
        <v>989</v>
      </c>
      <c r="J211" s="78"/>
      <c r="K211" s="78"/>
      <c r="L211" s="78">
        <v>1</v>
      </c>
      <c r="M211" s="78">
        <v>1</v>
      </c>
      <c r="N211" s="78">
        <v>1</v>
      </c>
      <c r="O211" s="168">
        <f t="shared" si="17"/>
        <v>10</v>
      </c>
      <c r="P211" s="168">
        <v>10</v>
      </c>
      <c r="Q211" s="168"/>
      <c r="R211" s="168"/>
      <c r="S211" s="168"/>
      <c r="T211" s="755"/>
    </row>
    <row r="212" spans="1:20" ht="51">
      <c r="A212" s="549" t="s">
        <v>993</v>
      </c>
      <c r="B212" s="549"/>
      <c r="C212" s="626"/>
      <c r="D212" s="90" t="s">
        <v>994</v>
      </c>
      <c r="E212" s="90" t="s">
        <v>995</v>
      </c>
      <c r="F212" s="196">
        <v>14635</v>
      </c>
      <c r="G212" s="196">
        <v>60000</v>
      </c>
      <c r="H212" s="90" t="s">
        <v>996</v>
      </c>
      <c r="I212" s="90" t="s">
        <v>997</v>
      </c>
      <c r="J212" s="78"/>
      <c r="K212" s="78">
        <v>25</v>
      </c>
      <c r="L212" s="78">
        <v>50</v>
      </c>
      <c r="M212" s="78">
        <v>75</v>
      </c>
      <c r="N212" s="78">
        <v>100</v>
      </c>
      <c r="O212" s="168">
        <f t="shared" si="17"/>
        <v>160</v>
      </c>
      <c r="P212" s="168">
        <v>40</v>
      </c>
      <c r="Q212" s="168">
        <v>40</v>
      </c>
      <c r="R212" s="168">
        <v>40</v>
      </c>
      <c r="S212" s="168">
        <v>40</v>
      </c>
      <c r="T212" s="755"/>
    </row>
    <row r="213" spans="1:20" ht="63.75">
      <c r="A213" s="549"/>
      <c r="B213" s="549"/>
      <c r="C213" s="626"/>
      <c r="D213" s="612" t="s">
        <v>998</v>
      </c>
      <c r="E213" s="592" t="s">
        <v>875</v>
      </c>
      <c r="F213" s="809">
        <v>20000</v>
      </c>
      <c r="G213" s="809">
        <v>40000</v>
      </c>
      <c r="H213" s="90" t="s">
        <v>999</v>
      </c>
      <c r="I213" s="90" t="s">
        <v>1000</v>
      </c>
      <c r="J213" s="78"/>
      <c r="K213" s="78">
        <v>100</v>
      </c>
      <c r="L213" s="78">
        <v>200</v>
      </c>
      <c r="M213" s="78">
        <v>300</v>
      </c>
      <c r="N213" s="78">
        <v>500</v>
      </c>
      <c r="O213" s="168">
        <f t="shared" si="17"/>
        <v>15</v>
      </c>
      <c r="P213" s="168"/>
      <c r="Q213" s="168">
        <v>5</v>
      </c>
      <c r="R213" s="168">
        <v>5</v>
      </c>
      <c r="S213" s="168">
        <v>5</v>
      </c>
      <c r="T213" s="755"/>
    </row>
    <row r="214" spans="1:20" ht="102">
      <c r="A214" s="549"/>
      <c r="B214" s="549"/>
      <c r="C214" s="626"/>
      <c r="D214" s="612"/>
      <c r="E214" s="592"/>
      <c r="F214" s="809"/>
      <c r="G214" s="809"/>
      <c r="H214" s="151" t="s">
        <v>1001</v>
      </c>
      <c r="I214" s="90" t="s">
        <v>1002</v>
      </c>
      <c r="J214" s="78"/>
      <c r="K214" s="78">
        <v>1</v>
      </c>
      <c r="L214" s="78">
        <v>2</v>
      </c>
      <c r="M214" s="78">
        <v>3</v>
      </c>
      <c r="N214" s="78">
        <v>4</v>
      </c>
      <c r="O214" s="168">
        <f t="shared" si="17"/>
        <v>120</v>
      </c>
      <c r="P214" s="168">
        <v>30</v>
      </c>
      <c r="Q214" s="168">
        <v>30</v>
      </c>
      <c r="R214" s="168">
        <v>30</v>
      </c>
      <c r="S214" s="168">
        <v>30</v>
      </c>
      <c r="T214" s="755"/>
    </row>
    <row r="215" spans="1:20" ht="38.25">
      <c r="A215" s="549"/>
      <c r="B215" s="549"/>
      <c r="C215" s="626"/>
      <c r="D215" s="612"/>
      <c r="E215" s="592"/>
      <c r="F215" s="809"/>
      <c r="G215" s="809"/>
      <c r="H215" s="90" t="s">
        <v>1003</v>
      </c>
      <c r="I215" s="90" t="s">
        <v>1004</v>
      </c>
      <c r="J215" s="78"/>
      <c r="K215" s="78">
        <v>4</v>
      </c>
      <c r="L215" s="78">
        <v>8</v>
      </c>
      <c r="M215" s="78">
        <v>12</v>
      </c>
      <c r="N215" s="78">
        <v>16</v>
      </c>
      <c r="O215" s="168">
        <f t="shared" si="17"/>
        <v>4</v>
      </c>
      <c r="P215" s="168"/>
      <c r="Q215" s="168"/>
      <c r="R215" s="168">
        <v>2</v>
      </c>
      <c r="S215" s="168">
        <v>2</v>
      </c>
      <c r="T215" s="755"/>
    </row>
    <row r="216" spans="1:20" ht="51">
      <c r="A216" s="549" t="s">
        <v>1005</v>
      </c>
      <c r="B216" s="549"/>
      <c r="C216" s="626"/>
      <c r="D216" s="549" t="s">
        <v>1006</v>
      </c>
      <c r="E216" s="549" t="s">
        <v>1007</v>
      </c>
      <c r="F216" s="816">
        <v>20800</v>
      </c>
      <c r="G216" s="809">
        <v>24000</v>
      </c>
      <c r="H216" s="14" t="s">
        <v>1009</v>
      </c>
      <c r="I216" s="14" t="s">
        <v>1008</v>
      </c>
      <c r="J216" s="78"/>
      <c r="K216" s="78">
        <v>7</v>
      </c>
      <c r="L216" s="78">
        <v>7</v>
      </c>
      <c r="M216" s="78">
        <v>7</v>
      </c>
      <c r="N216" s="78">
        <v>7</v>
      </c>
      <c r="O216" s="168"/>
      <c r="P216" s="168"/>
      <c r="Q216" s="168"/>
      <c r="R216" s="168"/>
      <c r="S216" s="168"/>
      <c r="T216" s="755"/>
    </row>
    <row r="217" spans="1:20" ht="63.75">
      <c r="A217" s="549"/>
      <c r="B217" s="549"/>
      <c r="C217" s="626"/>
      <c r="D217" s="549"/>
      <c r="E217" s="549"/>
      <c r="F217" s="816"/>
      <c r="G217" s="809"/>
      <c r="H217" s="14" t="s">
        <v>1011</v>
      </c>
      <c r="I217" s="14" t="s">
        <v>1010</v>
      </c>
      <c r="J217" s="78"/>
      <c r="K217" s="78">
        <v>32</v>
      </c>
      <c r="L217" s="78">
        <v>32</v>
      </c>
      <c r="M217" s="78">
        <v>32</v>
      </c>
      <c r="N217" s="78">
        <v>32</v>
      </c>
      <c r="O217" s="168">
        <f>SUM(P217:S217)</f>
        <v>720</v>
      </c>
      <c r="P217" s="168">
        <v>150</v>
      </c>
      <c r="Q217" s="168">
        <v>180</v>
      </c>
      <c r="R217" s="168">
        <v>190</v>
      </c>
      <c r="S217" s="168">
        <v>200</v>
      </c>
      <c r="T217" s="755"/>
    </row>
    <row r="218" spans="1:20" ht="51">
      <c r="A218" s="549"/>
      <c r="B218" s="549"/>
      <c r="C218" s="626"/>
      <c r="D218" s="549"/>
      <c r="E218" s="549"/>
      <c r="F218" s="816"/>
      <c r="G218" s="809"/>
      <c r="H218" s="14" t="s">
        <v>1013</v>
      </c>
      <c r="I218" s="14" t="s">
        <v>1012</v>
      </c>
      <c r="J218" s="78"/>
      <c r="K218" s="78">
        <v>1</v>
      </c>
      <c r="L218" s="78">
        <v>2</v>
      </c>
      <c r="M218" s="78">
        <v>3</v>
      </c>
      <c r="N218" s="78">
        <v>4</v>
      </c>
      <c r="O218" s="168">
        <f>SUM(P218:S218)</f>
        <v>46</v>
      </c>
      <c r="P218" s="168">
        <v>15</v>
      </c>
      <c r="Q218" s="168">
        <v>14</v>
      </c>
      <c r="R218" s="168">
        <v>10</v>
      </c>
      <c r="S218" s="168">
        <v>7</v>
      </c>
      <c r="T218" s="755"/>
    </row>
    <row r="219" spans="1:20" ht="51">
      <c r="A219" s="549" t="s">
        <v>1014</v>
      </c>
      <c r="B219" s="549"/>
      <c r="C219" s="626"/>
      <c r="D219" s="549" t="s">
        <v>1015</v>
      </c>
      <c r="E219" s="549" t="s">
        <v>1016</v>
      </c>
      <c r="F219" s="809"/>
      <c r="G219" s="809">
        <v>200</v>
      </c>
      <c r="H219" s="14" t="s">
        <v>1017</v>
      </c>
      <c r="I219" s="14" t="s">
        <v>1018</v>
      </c>
      <c r="J219" s="78"/>
      <c r="K219" s="78">
        <v>1</v>
      </c>
      <c r="L219" s="78">
        <v>3</v>
      </c>
      <c r="M219" s="78">
        <v>5</v>
      </c>
      <c r="N219" s="78">
        <v>7</v>
      </c>
      <c r="O219" s="168"/>
      <c r="P219" s="168"/>
      <c r="Q219" s="168"/>
      <c r="R219" s="168"/>
      <c r="S219" s="168"/>
      <c r="T219" s="755"/>
    </row>
    <row r="220" spans="1:20" ht="38.25">
      <c r="A220" s="549"/>
      <c r="B220" s="549"/>
      <c r="C220" s="626"/>
      <c r="D220" s="549"/>
      <c r="E220" s="549"/>
      <c r="F220" s="809"/>
      <c r="G220" s="809"/>
      <c r="H220" s="151" t="s">
        <v>1019</v>
      </c>
      <c r="I220" s="14" t="s">
        <v>1020</v>
      </c>
      <c r="J220" s="78"/>
      <c r="K220" s="78">
        <v>1</v>
      </c>
      <c r="L220" s="78"/>
      <c r="M220" s="78"/>
      <c r="N220" s="78"/>
      <c r="O220" s="168"/>
      <c r="P220" s="168"/>
      <c r="Q220" s="168"/>
      <c r="R220" s="168"/>
      <c r="S220" s="168"/>
      <c r="T220" s="755"/>
    </row>
    <row r="221" spans="1:20" ht="38.25">
      <c r="A221" s="549"/>
      <c r="B221" s="549"/>
      <c r="C221" s="626"/>
      <c r="D221" s="549"/>
      <c r="E221" s="549"/>
      <c r="F221" s="809"/>
      <c r="G221" s="809"/>
      <c r="H221" s="14" t="s">
        <v>1021</v>
      </c>
      <c r="I221" s="14" t="s">
        <v>1022</v>
      </c>
      <c r="J221" s="78"/>
      <c r="K221" s="78">
        <v>10</v>
      </c>
      <c r="L221" s="78">
        <v>20</v>
      </c>
      <c r="M221" s="78">
        <v>30</v>
      </c>
      <c r="N221" s="78">
        <v>40</v>
      </c>
      <c r="O221" s="168"/>
      <c r="P221" s="168"/>
      <c r="Q221" s="168"/>
      <c r="R221" s="168"/>
      <c r="S221" s="168"/>
      <c r="T221" s="755"/>
    </row>
    <row r="222" spans="1:20" ht="25.5">
      <c r="A222" s="549"/>
      <c r="B222" s="549"/>
      <c r="C222" s="626"/>
      <c r="D222" s="549"/>
      <c r="E222" s="549"/>
      <c r="F222" s="809"/>
      <c r="G222" s="809"/>
      <c r="H222" s="151" t="s">
        <v>1023</v>
      </c>
      <c r="I222" s="14" t="s">
        <v>1024</v>
      </c>
      <c r="J222" s="78"/>
      <c r="K222" s="78"/>
      <c r="L222" s="78"/>
      <c r="M222" s="78">
        <v>1</v>
      </c>
      <c r="N222" s="78"/>
      <c r="O222" s="168">
        <f aca="true" t="shared" si="18" ref="O222:O233">SUM(P222:S222)</f>
        <v>15</v>
      </c>
      <c r="P222" s="168"/>
      <c r="Q222" s="168"/>
      <c r="R222" s="168">
        <v>15</v>
      </c>
      <c r="S222" s="168"/>
      <c r="T222" s="755"/>
    </row>
    <row r="223" spans="1:20" ht="51">
      <c r="A223" s="549"/>
      <c r="B223" s="549"/>
      <c r="C223" s="626"/>
      <c r="D223" s="549"/>
      <c r="E223" s="549"/>
      <c r="F223" s="809"/>
      <c r="G223" s="809"/>
      <c r="H223" s="14" t="s">
        <v>1025</v>
      </c>
      <c r="I223" s="14" t="s">
        <v>1026</v>
      </c>
      <c r="J223" s="78"/>
      <c r="K223" s="78">
        <v>10</v>
      </c>
      <c r="L223" s="78">
        <v>20</v>
      </c>
      <c r="M223" s="78">
        <v>30</v>
      </c>
      <c r="N223" s="78">
        <v>40</v>
      </c>
      <c r="O223" s="168">
        <f t="shared" si="18"/>
        <v>365</v>
      </c>
      <c r="P223" s="168">
        <v>95</v>
      </c>
      <c r="Q223" s="168">
        <v>80</v>
      </c>
      <c r="R223" s="168">
        <v>80</v>
      </c>
      <c r="S223" s="168">
        <v>110</v>
      </c>
      <c r="T223" s="755"/>
    </row>
    <row r="224" spans="1:20" ht="89.25">
      <c r="A224" s="549"/>
      <c r="B224" s="549"/>
      <c r="C224" s="626"/>
      <c r="D224" s="549" t="s">
        <v>1027</v>
      </c>
      <c r="E224" s="549" t="s">
        <v>1028</v>
      </c>
      <c r="F224" s="809">
        <v>300</v>
      </c>
      <c r="G224" s="809">
        <v>300</v>
      </c>
      <c r="H224" s="151" t="s">
        <v>1029</v>
      </c>
      <c r="I224" s="14" t="s">
        <v>1030</v>
      </c>
      <c r="J224" s="78"/>
      <c r="K224" s="78">
        <v>1</v>
      </c>
      <c r="L224" s="78">
        <v>2</v>
      </c>
      <c r="M224" s="78">
        <v>3</v>
      </c>
      <c r="N224" s="78">
        <v>4</v>
      </c>
      <c r="O224" s="168">
        <f t="shared" si="18"/>
        <v>11</v>
      </c>
      <c r="P224" s="168">
        <v>5</v>
      </c>
      <c r="Q224" s="168">
        <v>2</v>
      </c>
      <c r="R224" s="168">
        <v>2</v>
      </c>
      <c r="S224" s="168">
        <v>2</v>
      </c>
      <c r="T224" s="755"/>
    </row>
    <row r="225" spans="1:20" ht="76.5">
      <c r="A225" s="549"/>
      <c r="B225" s="549"/>
      <c r="C225" s="626"/>
      <c r="D225" s="549"/>
      <c r="E225" s="549"/>
      <c r="F225" s="809"/>
      <c r="G225" s="809"/>
      <c r="H225" s="151" t="s">
        <v>1031</v>
      </c>
      <c r="I225" s="14" t="s">
        <v>1030</v>
      </c>
      <c r="J225" s="78"/>
      <c r="K225" s="78"/>
      <c r="L225" s="78">
        <v>1</v>
      </c>
      <c r="M225" s="78"/>
      <c r="N225" s="78"/>
      <c r="O225" s="168">
        <f t="shared" si="18"/>
        <v>5</v>
      </c>
      <c r="P225" s="168"/>
      <c r="Q225" s="168">
        <v>5</v>
      </c>
      <c r="R225" s="168"/>
      <c r="S225" s="168"/>
      <c r="T225" s="755"/>
    </row>
    <row r="226" spans="1:20" ht="89.25">
      <c r="A226" s="549"/>
      <c r="B226" s="549"/>
      <c r="C226" s="626"/>
      <c r="D226" s="549"/>
      <c r="E226" s="549"/>
      <c r="F226" s="809"/>
      <c r="G226" s="809"/>
      <c r="H226" s="151" t="s">
        <v>1032</v>
      </c>
      <c r="I226" s="14" t="s">
        <v>1033</v>
      </c>
      <c r="J226" s="78"/>
      <c r="K226" s="78"/>
      <c r="L226" s="78">
        <v>1</v>
      </c>
      <c r="M226" s="78"/>
      <c r="N226" s="78"/>
      <c r="O226" s="168">
        <f t="shared" si="18"/>
        <v>5</v>
      </c>
      <c r="P226" s="168"/>
      <c r="Q226" s="168">
        <v>5</v>
      </c>
      <c r="R226" s="168"/>
      <c r="S226" s="168"/>
      <c r="T226" s="755"/>
    </row>
    <row r="227" spans="1:20" ht="89.25">
      <c r="A227" s="549"/>
      <c r="B227" s="549"/>
      <c r="C227" s="626"/>
      <c r="D227" s="549"/>
      <c r="E227" s="549"/>
      <c r="F227" s="809"/>
      <c r="G227" s="809"/>
      <c r="H227" s="151" t="s">
        <v>1940</v>
      </c>
      <c r="I227" s="14" t="s">
        <v>1941</v>
      </c>
      <c r="J227" s="78"/>
      <c r="K227" s="78"/>
      <c r="L227" s="78">
        <v>1</v>
      </c>
      <c r="M227" s="78"/>
      <c r="N227" s="78"/>
      <c r="O227" s="168">
        <f t="shared" si="18"/>
        <v>5</v>
      </c>
      <c r="P227" s="168"/>
      <c r="Q227" s="168">
        <v>5</v>
      </c>
      <c r="R227" s="168"/>
      <c r="S227" s="168"/>
      <c r="T227" s="755"/>
    </row>
    <row r="228" spans="1:20" ht="89.25">
      <c r="A228" s="549"/>
      <c r="B228" s="549"/>
      <c r="C228" s="626"/>
      <c r="D228" s="549"/>
      <c r="E228" s="549"/>
      <c r="F228" s="809"/>
      <c r="G228" s="809"/>
      <c r="H228" s="214" t="s">
        <v>1058</v>
      </c>
      <c r="I228" s="14" t="s">
        <v>1059</v>
      </c>
      <c r="J228" s="78"/>
      <c r="K228" s="78"/>
      <c r="L228" s="78"/>
      <c r="M228" s="78">
        <v>1</v>
      </c>
      <c r="N228" s="78"/>
      <c r="O228" s="168">
        <f t="shared" si="18"/>
        <v>5</v>
      </c>
      <c r="P228" s="168"/>
      <c r="Q228" s="168"/>
      <c r="R228" s="168">
        <v>5</v>
      </c>
      <c r="S228" s="168"/>
      <c r="T228" s="755"/>
    </row>
    <row r="229" spans="1:20" ht="76.5">
      <c r="A229" s="549"/>
      <c r="B229" s="549"/>
      <c r="C229" s="626"/>
      <c r="D229" s="549"/>
      <c r="E229" s="549"/>
      <c r="F229" s="809"/>
      <c r="G229" s="809"/>
      <c r="H229" s="14" t="s">
        <v>1060</v>
      </c>
      <c r="I229" s="14" t="s">
        <v>1061</v>
      </c>
      <c r="J229" s="78"/>
      <c r="K229" s="78"/>
      <c r="L229" s="78">
        <v>1</v>
      </c>
      <c r="M229" s="78"/>
      <c r="N229" s="78"/>
      <c r="O229" s="168">
        <f t="shared" si="18"/>
        <v>10</v>
      </c>
      <c r="P229" s="168"/>
      <c r="Q229" s="168">
        <v>5</v>
      </c>
      <c r="R229" s="168">
        <v>5</v>
      </c>
      <c r="S229" s="168"/>
      <c r="T229" s="755"/>
    </row>
    <row r="230" spans="1:20" ht="76.5">
      <c r="A230" s="549"/>
      <c r="B230" s="549"/>
      <c r="C230" s="626"/>
      <c r="D230" s="549"/>
      <c r="E230" s="549"/>
      <c r="F230" s="809"/>
      <c r="G230" s="809"/>
      <c r="H230" s="215" t="s">
        <v>1062</v>
      </c>
      <c r="I230" s="14" t="s">
        <v>1063</v>
      </c>
      <c r="J230" s="78"/>
      <c r="K230" s="78"/>
      <c r="L230" s="78">
        <v>1</v>
      </c>
      <c r="M230" s="78"/>
      <c r="N230" s="78"/>
      <c r="O230" s="168">
        <f t="shared" si="18"/>
        <v>0</v>
      </c>
      <c r="P230" s="168"/>
      <c r="Q230" s="168"/>
      <c r="R230" s="168"/>
      <c r="S230" s="168"/>
      <c r="T230" s="755"/>
    </row>
    <row r="231" spans="1:20" ht="63.75">
      <c r="A231" s="549"/>
      <c r="B231" s="549"/>
      <c r="C231" s="626"/>
      <c r="D231" s="549"/>
      <c r="E231" s="549"/>
      <c r="F231" s="809"/>
      <c r="G231" s="809"/>
      <c r="H231" s="215" t="s">
        <v>1064</v>
      </c>
      <c r="I231" s="14" t="s">
        <v>1065</v>
      </c>
      <c r="J231" s="78"/>
      <c r="K231" s="78">
        <f>300/4</f>
        <v>75</v>
      </c>
      <c r="L231" s="78">
        <v>150</v>
      </c>
      <c r="M231" s="78">
        <f>+L231+K231</f>
        <v>225</v>
      </c>
      <c r="N231" s="78">
        <v>300</v>
      </c>
      <c r="O231" s="168">
        <f t="shared" si="18"/>
        <v>0</v>
      </c>
      <c r="P231" s="168"/>
      <c r="Q231" s="168"/>
      <c r="R231" s="168"/>
      <c r="S231" s="168"/>
      <c r="T231" s="755"/>
    </row>
    <row r="232" spans="1:20" ht="39" thickBot="1">
      <c r="A232" s="549"/>
      <c r="B232" s="549"/>
      <c r="C232" s="626"/>
      <c r="D232" s="549"/>
      <c r="E232" s="549"/>
      <c r="F232" s="809"/>
      <c r="G232" s="809"/>
      <c r="H232" s="215" t="s">
        <v>1066</v>
      </c>
      <c r="I232" s="14" t="s">
        <v>1067</v>
      </c>
      <c r="J232" s="78"/>
      <c r="K232" s="78"/>
      <c r="L232" s="78"/>
      <c r="M232" s="78"/>
      <c r="N232" s="78">
        <v>1</v>
      </c>
      <c r="O232" s="168">
        <f t="shared" si="18"/>
        <v>30</v>
      </c>
      <c r="P232" s="168"/>
      <c r="Q232" s="168"/>
      <c r="R232" s="168"/>
      <c r="S232" s="168">
        <v>30</v>
      </c>
      <c r="T232" s="755"/>
    </row>
    <row r="233" spans="1:20" ht="51">
      <c r="A233" s="549" t="s">
        <v>1068</v>
      </c>
      <c r="B233" s="549"/>
      <c r="C233" s="626"/>
      <c r="D233" s="560" t="s">
        <v>1069</v>
      </c>
      <c r="E233" s="560" t="s">
        <v>1070</v>
      </c>
      <c r="F233" s="813">
        <v>36</v>
      </c>
      <c r="G233" s="813">
        <v>40</v>
      </c>
      <c r="H233" s="38" t="s">
        <v>1071</v>
      </c>
      <c r="I233" s="14" t="s">
        <v>1072</v>
      </c>
      <c r="J233" s="78"/>
      <c r="K233" s="78">
        <v>5</v>
      </c>
      <c r="L233" s="78">
        <v>5</v>
      </c>
      <c r="M233" s="78">
        <v>5</v>
      </c>
      <c r="N233" s="78">
        <v>5</v>
      </c>
      <c r="O233" s="168">
        <f t="shared" si="18"/>
        <v>413</v>
      </c>
      <c r="P233" s="168">
        <v>83</v>
      </c>
      <c r="Q233" s="168">
        <v>108</v>
      </c>
      <c r="R233" s="168">
        <v>112</v>
      </c>
      <c r="S233" s="168">
        <v>110</v>
      </c>
      <c r="T233" s="755"/>
    </row>
    <row r="234" spans="1:20" ht="76.5">
      <c r="A234" s="549"/>
      <c r="B234" s="549"/>
      <c r="C234" s="626"/>
      <c r="D234" s="619"/>
      <c r="E234" s="619"/>
      <c r="F234" s="815"/>
      <c r="G234" s="815"/>
      <c r="H234" s="215" t="s">
        <v>1073</v>
      </c>
      <c r="I234" s="14" t="s">
        <v>1074</v>
      </c>
      <c r="J234" s="78"/>
      <c r="K234" s="78">
        <v>5</v>
      </c>
      <c r="L234" s="78">
        <v>5</v>
      </c>
      <c r="M234" s="78">
        <v>5</v>
      </c>
      <c r="N234" s="78">
        <v>5</v>
      </c>
      <c r="O234" s="168"/>
      <c r="P234" s="168"/>
      <c r="Q234" s="168"/>
      <c r="R234" s="168"/>
      <c r="S234" s="168"/>
      <c r="T234" s="755"/>
    </row>
    <row r="235" spans="1:20" ht="63.75">
      <c r="A235" s="549"/>
      <c r="B235" s="549"/>
      <c r="C235" s="626"/>
      <c r="D235" s="619"/>
      <c r="E235" s="619"/>
      <c r="F235" s="815"/>
      <c r="G235" s="815"/>
      <c r="H235" s="215" t="s">
        <v>1075</v>
      </c>
      <c r="I235" s="14" t="s">
        <v>1076</v>
      </c>
      <c r="J235" s="78"/>
      <c r="K235" s="78"/>
      <c r="L235" s="78">
        <v>1</v>
      </c>
      <c r="M235" s="78"/>
      <c r="N235" s="78"/>
      <c r="O235" s="168"/>
      <c r="P235" s="168"/>
      <c r="Q235" s="168"/>
      <c r="R235" s="168"/>
      <c r="S235" s="168"/>
      <c r="T235" s="755"/>
    </row>
    <row r="236" spans="1:20" ht="38.25">
      <c r="A236" s="549"/>
      <c r="B236" s="549"/>
      <c r="C236" s="626"/>
      <c r="D236" s="560" t="s">
        <v>1077</v>
      </c>
      <c r="E236" s="560" t="s">
        <v>1507</v>
      </c>
      <c r="F236" s="810">
        <v>0</v>
      </c>
      <c r="G236" s="560">
        <v>1</v>
      </c>
      <c r="H236" s="151" t="s">
        <v>1078</v>
      </c>
      <c r="I236" s="78" t="s">
        <v>2593</v>
      </c>
      <c r="J236" s="78"/>
      <c r="K236" s="78"/>
      <c r="L236" s="78">
        <v>1</v>
      </c>
      <c r="M236" s="78"/>
      <c r="N236" s="78"/>
      <c r="O236" s="168"/>
      <c r="P236" s="168"/>
      <c r="Q236" s="168"/>
      <c r="R236" s="168"/>
      <c r="S236" s="168"/>
      <c r="T236" s="755"/>
    </row>
    <row r="237" spans="1:20" ht="114.75">
      <c r="A237" s="549"/>
      <c r="B237" s="549"/>
      <c r="C237" s="626"/>
      <c r="D237" s="619"/>
      <c r="E237" s="619"/>
      <c r="F237" s="811"/>
      <c r="G237" s="619"/>
      <c r="H237" s="14" t="s">
        <v>1079</v>
      </c>
      <c r="I237" s="14" t="s">
        <v>1080</v>
      </c>
      <c r="J237" s="78"/>
      <c r="K237" s="78"/>
      <c r="L237" s="78"/>
      <c r="M237" s="78">
        <v>1</v>
      </c>
      <c r="N237" s="78">
        <v>1</v>
      </c>
      <c r="O237" s="168"/>
      <c r="P237" s="168"/>
      <c r="Q237" s="168"/>
      <c r="R237" s="168"/>
      <c r="S237" s="168"/>
      <c r="T237" s="755"/>
    </row>
    <row r="238" spans="1:20" ht="38.25">
      <c r="A238" s="549" t="s">
        <v>1081</v>
      </c>
      <c r="B238" s="549"/>
      <c r="C238" s="626"/>
      <c r="D238" s="549" t="s">
        <v>1082</v>
      </c>
      <c r="E238" s="549" t="s">
        <v>1083</v>
      </c>
      <c r="F238" s="809">
        <v>0</v>
      </c>
      <c r="G238" s="809">
        <v>2</v>
      </c>
      <c r="H238" s="126" t="s">
        <v>1084</v>
      </c>
      <c r="I238" s="14" t="s">
        <v>1085</v>
      </c>
      <c r="J238" s="78"/>
      <c r="K238" s="78"/>
      <c r="L238" s="78">
        <v>1</v>
      </c>
      <c r="M238" s="78">
        <v>2</v>
      </c>
      <c r="N238" s="78"/>
      <c r="O238" s="168"/>
      <c r="P238" s="168"/>
      <c r="Q238" s="168"/>
      <c r="R238" s="168"/>
      <c r="S238" s="168"/>
      <c r="T238" s="755"/>
    </row>
    <row r="239" spans="1:20" ht="51">
      <c r="A239" s="549"/>
      <c r="B239" s="549"/>
      <c r="C239" s="626"/>
      <c r="D239" s="549"/>
      <c r="E239" s="549"/>
      <c r="F239" s="809"/>
      <c r="G239" s="809"/>
      <c r="H239" s="14" t="s">
        <v>1086</v>
      </c>
      <c r="I239" s="14" t="s">
        <v>1087</v>
      </c>
      <c r="J239" s="78"/>
      <c r="K239" s="78"/>
      <c r="L239" s="78">
        <v>1</v>
      </c>
      <c r="M239" s="78"/>
      <c r="N239" s="78"/>
      <c r="O239" s="168"/>
      <c r="P239" s="168"/>
      <c r="Q239" s="168"/>
      <c r="R239" s="168"/>
      <c r="S239" s="168"/>
      <c r="T239" s="755"/>
    </row>
    <row r="240" spans="1:20" ht="39" thickBot="1">
      <c r="A240" s="549"/>
      <c r="B240" s="549"/>
      <c r="C240" s="626"/>
      <c r="D240" s="549"/>
      <c r="E240" s="549"/>
      <c r="F240" s="809"/>
      <c r="G240" s="809"/>
      <c r="H240" s="126" t="s">
        <v>1088</v>
      </c>
      <c r="I240" s="14" t="s">
        <v>1089</v>
      </c>
      <c r="J240" s="78"/>
      <c r="K240" s="78"/>
      <c r="L240" s="78"/>
      <c r="M240" s="78">
        <v>1</v>
      </c>
      <c r="N240" s="78">
        <v>1</v>
      </c>
      <c r="O240" s="168">
        <f>SUM(P240:S240)</f>
        <v>4191</v>
      </c>
      <c r="P240" s="168">
        <v>450</v>
      </c>
      <c r="Q240" s="168">
        <v>1510</v>
      </c>
      <c r="R240" s="168">
        <v>1085</v>
      </c>
      <c r="S240" s="168">
        <v>1146</v>
      </c>
      <c r="T240" s="755"/>
    </row>
    <row r="241" spans="1:20" ht="89.25">
      <c r="A241" s="549" t="s">
        <v>1090</v>
      </c>
      <c r="B241" s="549"/>
      <c r="C241" s="626"/>
      <c r="D241" s="549" t="s">
        <v>1091</v>
      </c>
      <c r="E241" s="549" t="s">
        <v>1092</v>
      </c>
      <c r="F241" s="809">
        <v>0</v>
      </c>
      <c r="G241" s="809">
        <v>2</v>
      </c>
      <c r="H241" s="216" t="s">
        <v>1093</v>
      </c>
      <c r="I241" s="14" t="s">
        <v>1094</v>
      </c>
      <c r="J241" s="78"/>
      <c r="K241" s="78">
        <v>1</v>
      </c>
      <c r="L241" s="78"/>
      <c r="M241" s="78"/>
      <c r="N241" s="78"/>
      <c r="O241" s="168"/>
      <c r="P241" s="168"/>
      <c r="Q241" s="168"/>
      <c r="R241" s="168"/>
      <c r="S241" s="168"/>
      <c r="T241" s="755"/>
    </row>
    <row r="242" spans="1:20" ht="63.75">
      <c r="A242" s="549"/>
      <c r="B242" s="549"/>
      <c r="C242" s="626"/>
      <c r="D242" s="549"/>
      <c r="E242" s="549"/>
      <c r="F242" s="809"/>
      <c r="G242" s="809"/>
      <c r="H242" s="215" t="s">
        <v>1095</v>
      </c>
      <c r="I242" s="14" t="s">
        <v>1096</v>
      </c>
      <c r="J242" s="78"/>
      <c r="K242" s="78"/>
      <c r="L242" s="78">
        <v>1</v>
      </c>
      <c r="M242" s="78"/>
      <c r="N242" s="78">
        <v>2</v>
      </c>
      <c r="O242" s="168">
        <f>SUM(P242:S242)</f>
        <v>6350</v>
      </c>
      <c r="P242" s="168">
        <v>75</v>
      </c>
      <c r="Q242" s="168">
        <v>2075</v>
      </c>
      <c r="R242" s="168">
        <v>2100</v>
      </c>
      <c r="S242" s="168">
        <v>2100</v>
      </c>
      <c r="T242" s="755"/>
    </row>
    <row r="243" spans="1:20" ht="63.75">
      <c r="A243" s="549"/>
      <c r="B243" s="549"/>
      <c r="C243" s="626"/>
      <c r="D243" s="549"/>
      <c r="E243" s="549"/>
      <c r="F243" s="809"/>
      <c r="G243" s="809"/>
      <c r="H243" s="151" t="s">
        <v>1097</v>
      </c>
      <c r="I243" s="14" t="s">
        <v>2593</v>
      </c>
      <c r="J243" s="78"/>
      <c r="K243" s="78"/>
      <c r="L243" s="78">
        <v>1</v>
      </c>
      <c r="M243" s="78"/>
      <c r="N243" s="78"/>
      <c r="O243" s="168"/>
      <c r="P243" s="168"/>
      <c r="Q243" s="168"/>
      <c r="R243" s="168"/>
      <c r="S243" s="168"/>
      <c r="T243" s="755"/>
    </row>
    <row r="244" spans="1:20" ht="76.5">
      <c r="A244" s="549"/>
      <c r="B244" s="549"/>
      <c r="C244" s="626"/>
      <c r="D244" s="549"/>
      <c r="E244" s="549"/>
      <c r="F244" s="809"/>
      <c r="G244" s="809"/>
      <c r="H244" s="215" t="s">
        <v>1098</v>
      </c>
      <c r="I244" s="14" t="s">
        <v>1096</v>
      </c>
      <c r="J244" s="78"/>
      <c r="K244" s="78"/>
      <c r="L244" s="78">
        <v>1</v>
      </c>
      <c r="M244" s="78"/>
      <c r="N244" s="78"/>
      <c r="O244" s="168"/>
      <c r="P244" s="168"/>
      <c r="Q244" s="168"/>
      <c r="R244" s="168"/>
      <c r="S244" s="168"/>
      <c r="T244" s="755"/>
    </row>
    <row r="245" spans="1:20" ht="63.75">
      <c r="A245" s="549" t="s">
        <v>1099</v>
      </c>
      <c r="B245" s="549"/>
      <c r="C245" s="626"/>
      <c r="D245" s="549" t="s">
        <v>1100</v>
      </c>
      <c r="E245" s="549" t="s">
        <v>1101</v>
      </c>
      <c r="F245" s="809">
        <v>0</v>
      </c>
      <c r="G245" s="809">
        <v>340</v>
      </c>
      <c r="H245" s="14" t="s">
        <v>116</v>
      </c>
      <c r="I245" s="14" t="s">
        <v>1893</v>
      </c>
      <c r="J245" s="78"/>
      <c r="K245" s="78">
        <v>1</v>
      </c>
      <c r="L245" s="78"/>
      <c r="M245" s="78"/>
      <c r="N245" s="78"/>
      <c r="O245" s="168"/>
      <c r="P245" s="168"/>
      <c r="Q245" s="168"/>
      <c r="R245" s="168"/>
      <c r="S245" s="168"/>
      <c r="T245" s="755"/>
    </row>
    <row r="246" spans="1:20" ht="76.5">
      <c r="A246" s="549"/>
      <c r="B246" s="549"/>
      <c r="C246" s="626"/>
      <c r="D246" s="549"/>
      <c r="E246" s="549"/>
      <c r="F246" s="809"/>
      <c r="G246" s="809"/>
      <c r="H246" s="214" t="s">
        <v>117</v>
      </c>
      <c r="I246" s="14" t="s">
        <v>118</v>
      </c>
      <c r="J246" s="78"/>
      <c r="K246" s="78">
        <v>1</v>
      </c>
      <c r="L246" s="78"/>
      <c r="M246" s="78"/>
      <c r="N246" s="78"/>
      <c r="O246" s="168"/>
      <c r="P246" s="168"/>
      <c r="Q246" s="168"/>
      <c r="R246" s="168"/>
      <c r="S246" s="168"/>
      <c r="T246" s="755"/>
    </row>
    <row r="247" spans="1:20" ht="63.75">
      <c r="A247" s="549"/>
      <c r="B247" s="549"/>
      <c r="C247" s="626"/>
      <c r="D247" s="549"/>
      <c r="E247" s="549"/>
      <c r="F247" s="809"/>
      <c r="G247" s="809"/>
      <c r="H247" s="14" t="s">
        <v>119</v>
      </c>
      <c r="I247" s="14" t="s">
        <v>120</v>
      </c>
      <c r="J247" s="78"/>
      <c r="K247" s="78">
        <v>1</v>
      </c>
      <c r="L247" s="78"/>
      <c r="M247" s="78">
        <v>2</v>
      </c>
      <c r="N247" s="78"/>
      <c r="O247" s="168">
        <f>SUM(P247:S247)</f>
        <v>70</v>
      </c>
      <c r="P247" s="168">
        <v>20</v>
      </c>
      <c r="Q247" s="168"/>
      <c r="R247" s="168">
        <v>50</v>
      </c>
      <c r="S247" s="168"/>
      <c r="T247" s="755"/>
    </row>
    <row r="248" spans="1:20" ht="38.25">
      <c r="A248" s="549"/>
      <c r="B248" s="549"/>
      <c r="C248" s="626"/>
      <c r="D248" s="549"/>
      <c r="E248" s="549"/>
      <c r="F248" s="809"/>
      <c r="G248" s="809"/>
      <c r="H248" s="14" t="s">
        <v>121</v>
      </c>
      <c r="I248" s="14" t="s">
        <v>122</v>
      </c>
      <c r="J248" s="78"/>
      <c r="K248" s="78">
        <v>6</v>
      </c>
      <c r="L248" s="78">
        <v>6</v>
      </c>
      <c r="M248" s="78">
        <v>6</v>
      </c>
      <c r="N248" s="78">
        <v>6</v>
      </c>
      <c r="O248" s="168">
        <f>SUM(P248:S248)</f>
        <v>1540</v>
      </c>
      <c r="P248" s="168">
        <v>365</v>
      </c>
      <c r="Q248" s="168">
        <v>397</v>
      </c>
      <c r="R248" s="168">
        <v>350</v>
      </c>
      <c r="S248" s="168">
        <v>428</v>
      </c>
      <c r="T248" s="755"/>
    </row>
    <row r="249" spans="1:20" ht="51">
      <c r="A249" s="549" t="s">
        <v>2021</v>
      </c>
      <c r="B249" s="549"/>
      <c r="C249" s="626"/>
      <c r="D249" s="549" t="s">
        <v>2022</v>
      </c>
      <c r="E249" s="549" t="s">
        <v>2023</v>
      </c>
      <c r="F249" s="809">
        <v>0</v>
      </c>
      <c r="G249" s="809">
        <v>1</v>
      </c>
      <c r="H249" s="14" t="s">
        <v>2024</v>
      </c>
      <c r="I249" s="14" t="s">
        <v>2025</v>
      </c>
      <c r="J249" s="78"/>
      <c r="K249" s="78">
        <v>2</v>
      </c>
      <c r="L249" s="78">
        <v>4</v>
      </c>
      <c r="M249" s="78">
        <v>7</v>
      </c>
      <c r="N249" s="78"/>
      <c r="O249" s="168">
        <f>SUM(P249:S249)</f>
        <v>301</v>
      </c>
      <c r="P249" s="168">
        <v>75</v>
      </c>
      <c r="Q249" s="168">
        <v>75</v>
      </c>
      <c r="R249" s="168">
        <v>75</v>
      </c>
      <c r="S249" s="168">
        <v>76</v>
      </c>
      <c r="T249" s="755"/>
    </row>
    <row r="250" spans="1:20" ht="51">
      <c r="A250" s="549"/>
      <c r="B250" s="549"/>
      <c r="C250" s="626"/>
      <c r="D250" s="626"/>
      <c r="E250" s="549"/>
      <c r="F250" s="809"/>
      <c r="G250" s="809"/>
      <c r="H250" s="215" t="s">
        <v>2026</v>
      </c>
      <c r="I250" s="14" t="s">
        <v>2027</v>
      </c>
      <c r="J250" s="78"/>
      <c r="K250" s="78">
        <v>1</v>
      </c>
      <c r="L250" s="78"/>
      <c r="M250" s="78"/>
      <c r="N250" s="78"/>
      <c r="O250" s="168"/>
      <c r="P250" s="168"/>
      <c r="Q250" s="168"/>
      <c r="R250" s="168"/>
      <c r="S250" s="168"/>
      <c r="T250" s="755"/>
    </row>
    <row r="251" spans="1:20" ht="25.5">
      <c r="A251" s="549"/>
      <c r="B251" s="549"/>
      <c r="C251" s="626"/>
      <c r="D251" s="626"/>
      <c r="E251" s="549"/>
      <c r="F251" s="809"/>
      <c r="G251" s="809"/>
      <c r="H251" s="14" t="s">
        <v>2028</v>
      </c>
      <c r="I251" s="14" t="s">
        <v>2029</v>
      </c>
      <c r="J251" s="78"/>
      <c r="K251" s="78"/>
      <c r="L251" s="78"/>
      <c r="M251" s="78">
        <v>1</v>
      </c>
      <c r="N251" s="78"/>
      <c r="O251" s="168"/>
      <c r="P251" s="168"/>
      <c r="Q251" s="168"/>
      <c r="R251" s="168"/>
      <c r="S251" s="168"/>
      <c r="T251" s="755"/>
    </row>
    <row r="252" spans="1:20" ht="51">
      <c r="A252" s="549" t="s">
        <v>2030</v>
      </c>
      <c r="B252" s="549"/>
      <c r="C252" s="626"/>
      <c r="D252" s="549" t="s">
        <v>2031</v>
      </c>
      <c r="E252" s="626" t="s">
        <v>2032</v>
      </c>
      <c r="F252" s="809"/>
      <c r="G252" s="809">
        <v>375000</v>
      </c>
      <c r="H252" s="14" t="s">
        <v>2033</v>
      </c>
      <c r="I252" s="14" t="s">
        <v>2034</v>
      </c>
      <c r="J252" s="78"/>
      <c r="K252" s="78">
        <v>1</v>
      </c>
      <c r="L252" s="78">
        <v>1</v>
      </c>
      <c r="M252" s="78">
        <v>1</v>
      </c>
      <c r="N252" s="78">
        <v>1</v>
      </c>
      <c r="O252" s="168"/>
      <c r="P252" s="168"/>
      <c r="Q252" s="168"/>
      <c r="R252" s="168"/>
      <c r="S252" s="168"/>
      <c r="T252" s="755"/>
    </row>
    <row r="253" spans="1:20" ht="63.75">
      <c r="A253" s="549"/>
      <c r="B253" s="549"/>
      <c r="C253" s="626"/>
      <c r="D253" s="549"/>
      <c r="E253" s="626"/>
      <c r="F253" s="809"/>
      <c r="G253" s="809"/>
      <c r="H253" s="215" t="s">
        <v>1102</v>
      </c>
      <c r="I253" s="14" t="s">
        <v>2642</v>
      </c>
      <c r="J253" s="78"/>
      <c r="K253" s="78">
        <v>1</v>
      </c>
      <c r="L253" s="78">
        <v>2</v>
      </c>
      <c r="M253" s="78">
        <v>3</v>
      </c>
      <c r="N253" s="78">
        <v>4</v>
      </c>
      <c r="O253" s="168">
        <f>SUM(P253:S253)</f>
        <v>40</v>
      </c>
      <c r="P253" s="168">
        <v>10</v>
      </c>
      <c r="Q253" s="168">
        <v>10</v>
      </c>
      <c r="R253" s="168">
        <v>10</v>
      </c>
      <c r="S253" s="168">
        <v>10</v>
      </c>
      <c r="T253" s="755"/>
    </row>
    <row r="254" spans="1:20" ht="63.75">
      <c r="A254" s="549"/>
      <c r="B254" s="549"/>
      <c r="C254" s="626"/>
      <c r="D254" s="549"/>
      <c r="E254" s="626"/>
      <c r="F254" s="809"/>
      <c r="G254" s="809"/>
      <c r="H254" s="14" t="s">
        <v>1103</v>
      </c>
      <c r="I254" s="14" t="s">
        <v>1104</v>
      </c>
      <c r="J254" s="78"/>
      <c r="K254" s="78">
        <v>1</v>
      </c>
      <c r="L254" s="78">
        <v>2</v>
      </c>
      <c r="M254" s="78">
        <v>3</v>
      </c>
      <c r="N254" s="78">
        <v>4</v>
      </c>
      <c r="O254" s="168">
        <f>SUM(P254:S254)</f>
        <v>250</v>
      </c>
      <c r="P254" s="168">
        <v>100</v>
      </c>
      <c r="Q254" s="168">
        <v>50</v>
      </c>
      <c r="R254" s="168">
        <v>50</v>
      </c>
      <c r="S254" s="168">
        <v>50</v>
      </c>
      <c r="T254" s="755"/>
    </row>
    <row r="255" spans="1:20" ht="51">
      <c r="A255" s="549"/>
      <c r="B255" s="549"/>
      <c r="C255" s="626"/>
      <c r="D255" s="549"/>
      <c r="E255" s="626"/>
      <c r="F255" s="809"/>
      <c r="G255" s="809"/>
      <c r="H255" s="14" t="s">
        <v>1105</v>
      </c>
      <c r="I255" s="14" t="s">
        <v>1106</v>
      </c>
      <c r="J255" s="78"/>
      <c r="K255" s="78"/>
      <c r="L255" s="78">
        <v>1</v>
      </c>
      <c r="M255" s="78"/>
      <c r="N255" s="78"/>
      <c r="O255" s="168">
        <f>SUM(P255:S255)</f>
        <v>50</v>
      </c>
      <c r="P255" s="168"/>
      <c r="Q255" s="168">
        <v>50</v>
      </c>
      <c r="R255" s="168"/>
      <c r="S255" s="168"/>
      <c r="T255" s="755"/>
    </row>
    <row r="256" spans="1:20" ht="63.75">
      <c r="A256" s="549"/>
      <c r="B256" s="549"/>
      <c r="C256" s="626"/>
      <c r="D256" s="549"/>
      <c r="E256" s="626"/>
      <c r="F256" s="809"/>
      <c r="G256" s="809"/>
      <c r="H256" s="14" t="s">
        <v>1107</v>
      </c>
      <c r="I256" s="14" t="s">
        <v>1108</v>
      </c>
      <c r="J256" s="78"/>
      <c r="K256" s="78">
        <v>17</v>
      </c>
      <c r="L256" s="78">
        <v>17</v>
      </c>
      <c r="M256" s="78">
        <v>17</v>
      </c>
      <c r="N256" s="78">
        <v>17</v>
      </c>
      <c r="O256" s="168">
        <f>SUM(P256:S256)</f>
        <v>2633</v>
      </c>
      <c r="P256" s="168">
        <f>750-110</f>
        <v>640</v>
      </c>
      <c r="Q256" s="168">
        <f>760-210</f>
        <v>550</v>
      </c>
      <c r="R256" s="168">
        <f>828-160</f>
        <v>668</v>
      </c>
      <c r="S256" s="168">
        <f>835-60</f>
        <v>775</v>
      </c>
      <c r="T256" s="755"/>
    </row>
    <row r="257" spans="1:20" ht="38.25">
      <c r="A257" s="549"/>
      <c r="B257" s="549"/>
      <c r="C257" s="626"/>
      <c r="D257" s="549"/>
      <c r="E257" s="626"/>
      <c r="F257" s="809"/>
      <c r="G257" s="809"/>
      <c r="H257" s="14" t="s">
        <v>1109</v>
      </c>
      <c r="I257" s="14" t="s">
        <v>1110</v>
      </c>
      <c r="J257" s="78"/>
      <c r="K257" s="78"/>
      <c r="L257" s="78">
        <v>20</v>
      </c>
      <c r="M257" s="78">
        <v>50</v>
      </c>
      <c r="N257" s="78"/>
      <c r="O257" s="168">
        <f>SUM(P257:S257)</f>
        <v>200</v>
      </c>
      <c r="P257" s="168"/>
      <c r="Q257" s="168">
        <v>100</v>
      </c>
      <c r="R257" s="168">
        <v>100</v>
      </c>
      <c r="S257" s="168"/>
      <c r="T257" s="755"/>
    </row>
    <row r="258" spans="1:20" ht="51">
      <c r="A258" s="549" t="s">
        <v>1111</v>
      </c>
      <c r="B258" s="549"/>
      <c r="C258" s="626"/>
      <c r="D258" s="90" t="s">
        <v>1112</v>
      </c>
      <c r="E258" s="90" t="s">
        <v>1113</v>
      </c>
      <c r="F258" s="196">
        <v>6</v>
      </c>
      <c r="G258" s="196">
        <v>6</v>
      </c>
      <c r="H258" s="14" t="s">
        <v>1114</v>
      </c>
      <c r="I258" s="14" t="s">
        <v>1115</v>
      </c>
      <c r="J258" s="78"/>
      <c r="K258" s="78">
        <v>1</v>
      </c>
      <c r="L258" s="78">
        <v>1</v>
      </c>
      <c r="M258" s="78">
        <v>1</v>
      </c>
      <c r="N258" s="78">
        <v>1</v>
      </c>
      <c r="O258" s="168"/>
      <c r="P258" s="168"/>
      <c r="Q258" s="168"/>
      <c r="R258" s="168"/>
      <c r="S258" s="168"/>
      <c r="T258" s="755"/>
    </row>
    <row r="259" spans="1:20" ht="51">
      <c r="A259" s="549"/>
      <c r="B259" s="549"/>
      <c r="C259" s="626"/>
      <c r="D259" s="754" t="s">
        <v>1116</v>
      </c>
      <c r="E259" s="560" t="s">
        <v>569</v>
      </c>
      <c r="F259" s="813">
        <v>800</v>
      </c>
      <c r="G259" s="813">
        <v>2000</v>
      </c>
      <c r="H259" s="215" t="s">
        <v>1117</v>
      </c>
      <c r="I259" s="14" t="s">
        <v>1115</v>
      </c>
      <c r="J259" s="78"/>
      <c r="K259" s="78">
        <v>1</v>
      </c>
      <c r="L259" s="78">
        <v>1</v>
      </c>
      <c r="M259" s="78">
        <v>1</v>
      </c>
      <c r="N259" s="78">
        <v>1</v>
      </c>
      <c r="O259" s="168"/>
      <c r="P259" s="168"/>
      <c r="Q259" s="168"/>
      <c r="R259" s="168"/>
      <c r="S259" s="168"/>
      <c r="T259" s="755"/>
    </row>
    <row r="260" spans="1:20" ht="51">
      <c r="A260" s="549"/>
      <c r="B260" s="549"/>
      <c r="C260" s="626"/>
      <c r="D260" s="756"/>
      <c r="E260" s="604"/>
      <c r="F260" s="814"/>
      <c r="G260" s="814"/>
      <c r="H260" s="14" t="s">
        <v>1118</v>
      </c>
      <c r="I260" s="14" t="s">
        <v>1119</v>
      </c>
      <c r="J260" s="78"/>
      <c r="K260" s="78">
        <v>1</v>
      </c>
      <c r="L260" s="78">
        <v>2</v>
      </c>
      <c r="M260" s="78">
        <v>3</v>
      </c>
      <c r="N260" s="78">
        <v>4</v>
      </c>
      <c r="O260" s="168">
        <f>SUM(P260:S260)</f>
        <v>80</v>
      </c>
      <c r="P260" s="168">
        <v>20</v>
      </c>
      <c r="Q260" s="168">
        <v>20</v>
      </c>
      <c r="R260" s="168">
        <v>20</v>
      </c>
      <c r="S260" s="168">
        <v>20</v>
      </c>
      <c r="T260" s="755"/>
    </row>
    <row r="261" spans="1:20" ht="38.25">
      <c r="A261" s="549"/>
      <c r="B261" s="549"/>
      <c r="C261" s="626"/>
      <c r="D261" s="754" t="s">
        <v>1120</v>
      </c>
      <c r="E261" s="549" t="s">
        <v>569</v>
      </c>
      <c r="F261" s="809">
        <v>1500</v>
      </c>
      <c r="G261" s="809">
        <v>4000</v>
      </c>
      <c r="H261" s="215" t="s">
        <v>1114</v>
      </c>
      <c r="I261" s="14" t="s">
        <v>1115</v>
      </c>
      <c r="J261" s="78"/>
      <c r="K261" s="78">
        <v>1</v>
      </c>
      <c r="L261" s="78">
        <v>1</v>
      </c>
      <c r="M261" s="78">
        <v>1</v>
      </c>
      <c r="N261" s="78">
        <v>1</v>
      </c>
      <c r="O261" s="168"/>
      <c r="P261" s="168"/>
      <c r="Q261" s="168"/>
      <c r="R261" s="168"/>
      <c r="S261" s="168"/>
      <c r="T261" s="755"/>
    </row>
    <row r="262" spans="1:20" ht="63.75">
      <c r="A262" s="549"/>
      <c r="B262" s="549"/>
      <c r="C262" s="626"/>
      <c r="D262" s="756"/>
      <c r="E262" s="549"/>
      <c r="F262" s="809"/>
      <c r="G262" s="809"/>
      <c r="H262" s="14" t="s">
        <v>1121</v>
      </c>
      <c r="I262" s="14" t="s">
        <v>1122</v>
      </c>
      <c r="J262" s="78"/>
      <c r="K262" s="78">
        <v>1</v>
      </c>
      <c r="L262" s="78">
        <v>1</v>
      </c>
      <c r="M262" s="78">
        <v>1</v>
      </c>
      <c r="N262" s="78">
        <v>1</v>
      </c>
      <c r="O262" s="168">
        <f>SUM(P262:S262)</f>
        <v>216</v>
      </c>
      <c r="P262" s="168">
        <v>50</v>
      </c>
      <c r="Q262" s="168">
        <v>50</v>
      </c>
      <c r="R262" s="168">
        <v>56</v>
      </c>
      <c r="S262" s="168">
        <v>60</v>
      </c>
      <c r="T262" s="755"/>
    </row>
    <row r="263" spans="1:20" ht="38.25">
      <c r="A263" s="549"/>
      <c r="B263" s="549"/>
      <c r="C263" s="626"/>
      <c r="D263" s="90" t="s">
        <v>865</v>
      </c>
      <c r="E263" s="90" t="s">
        <v>569</v>
      </c>
      <c r="F263" s="196">
        <v>1000</v>
      </c>
      <c r="G263" s="196">
        <v>1000</v>
      </c>
      <c r="H263" s="215" t="s">
        <v>1114</v>
      </c>
      <c r="I263" s="14" t="s">
        <v>1122</v>
      </c>
      <c r="J263" s="78"/>
      <c r="K263" s="78">
        <v>1</v>
      </c>
      <c r="L263" s="78">
        <v>1</v>
      </c>
      <c r="M263" s="78">
        <v>1</v>
      </c>
      <c r="N263" s="78">
        <v>1</v>
      </c>
      <c r="O263" s="168"/>
      <c r="P263" s="168"/>
      <c r="Q263" s="168"/>
      <c r="R263" s="168"/>
      <c r="S263" s="168"/>
      <c r="T263" s="755"/>
    </row>
    <row r="264" spans="1:20" ht="51">
      <c r="A264" s="560" t="s">
        <v>866</v>
      </c>
      <c r="B264" s="560"/>
      <c r="C264" s="627"/>
      <c r="D264" s="560" t="s">
        <v>867</v>
      </c>
      <c r="E264" s="560" t="s">
        <v>1070</v>
      </c>
      <c r="F264" s="810">
        <v>4</v>
      </c>
      <c r="G264" s="810">
        <v>4</v>
      </c>
      <c r="H264" s="151" t="s">
        <v>868</v>
      </c>
      <c r="I264" s="14" t="s">
        <v>869</v>
      </c>
      <c r="J264" s="78"/>
      <c r="K264" s="78">
        <v>1</v>
      </c>
      <c r="L264" s="78">
        <v>1</v>
      </c>
      <c r="M264" s="78">
        <v>1</v>
      </c>
      <c r="N264" s="78">
        <v>1</v>
      </c>
      <c r="O264" s="168"/>
      <c r="P264" s="168"/>
      <c r="Q264" s="168"/>
      <c r="R264" s="168"/>
      <c r="S264" s="168"/>
      <c r="T264" s="755"/>
    </row>
    <row r="265" spans="1:20" ht="76.5">
      <c r="A265" s="619"/>
      <c r="B265" s="619"/>
      <c r="C265" s="728"/>
      <c r="D265" s="619"/>
      <c r="E265" s="619"/>
      <c r="F265" s="811"/>
      <c r="G265" s="811"/>
      <c r="H265" s="151" t="s">
        <v>870</v>
      </c>
      <c r="I265" s="14" t="s">
        <v>1122</v>
      </c>
      <c r="J265" s="78"/>
      <c r="K265" s="78">
        <v>1</v>
      </c>
      <c r="L265" s="78">
        <v>1</v>
      </c>
      <c r="M265" s="78">
        <v>1</v>
      </c>
      <c r="N265" s="78">
        <v>1</v>
      </c>
      <c r="O265" s="168"/>
      <c r="P265" s="168"/>
      <c r="Q265" s="168"/>
      <c r="R265" s="168"/>
      <c r="S265" s="168"/>
      <c r="T265" s="755"/>
    </row>
    <row r="266" spans="1:20" ht="63.75">
      <c r="A266" s="619"/>
      <c r="B266" s="619"/>
      <c r="C266" s="728"/>
      <c r="D266" s="619"/>
      <c r="E266" s="619"/>
      <c r="F266" s="811"/>
      <c r="G266" s="811"/>
      <c r="H266" s="151" t="s">
        <v>871</v>
      </c>
      <c r="I266" s="14" t="s">
        <v>872</v>
      </c>
      <c r="J266" s="78"/>
      <c r="K266" s="78">
        <v>2</v>
      </c>
      <c r="L266" s="78">
        <v>2</v>
      </c>
      <c r="M266" s="78">
        <v>2</v>
      </c>
      <c r="N266" s="78">
        <v>2</v>
      </c>
      <c r="O266" s="168">
        <f>SUM(P266:S266)</f>
        <v>240</v>
      </c>
      <c r="P266" s="168">
        <v>60</v>
      </c>
      <c r="Q266" s="168">
        <v>50</v>
      </c>
      <c r="R266" s="168">
        <v>60</v>
      </c>
      <c r="S266" s="168">
        <v>70</v>
      </c>
      <c r="T266" s="755"/>
    </row>
    <row r="267" spans="1:20" ht="38.25">
      <c r="A267" s="604"/>
      <c r="B267" s="604"/>
      <c r="C267" s="729"/>
      <c r="D267" s="604"/>
      <c r="E267" s="604"/>
      <c r="F267" s="812"/>
      <c r="G267" s="812"/>
      <c r="H267" s="14" t="s">
        <v>873</v>
      </c>
      <c r="I267" s="78" t="s">
        <v>874</v>
      </c>
      <c r="J267" s="78"/>
      <c r="K267" s="78">
        <v>1</v>
      </c>
      <c r="L267" s="78">
        <v>1</v>
      </c>
      <c r="M267" s="78">
        <v>1</v>
      </c>
      <c r="N267" s="78">
        <v>1</v>
      </c>
      <c r="O267" s="168">
        <f>SUM(P267:S267)</f>
        <v>49</v>
      </c>
      <c r="P267" s="168">
        <v>10</v>
      </c>
      <c r="Q267" s="168">
        <v>15</v>
      </c>
      <c r="R267" s="168">
        <v>14</v>
      </c>
      <c r="S267" s="168">
        <v>10</v>
      </c>
      <c r="T267" s="756"/>
    </row>
    <row r="268" spans="1:20" ht="114.75">
      <c r="A268" s="549" t="s">
        <v>876</v>
      </c>
      <c r="B268" s="549"/>
      <c r="C268" s="626"/>
      <c r="D268" s="90" t="s">
        <v>877</v>
      </c>
      <c r="E268" s="14" t="s">
        <v>878</v>
      </c>
      <c r="F268" s="78">
        <v>5000</v>
      </c>
      <c r="G268" s="78">
        <v>18800</v>
      </c>
      <c r="H268" s="90" t="s">
        <v>877</v>
      </c>
      <c r="I268" s="14" t="s">
        <v>878</v>
      </c>
      <c r="J268" s="78">
        <v>5000</v>
      </c>
      <c r="K268" s="168"/>
      <c r="L268" s="168"/>
      <c r="M268" s="168"/>
      <c r="N268" s="168"/>
      <c r="O268" s="168"/>
      <c r="P268" s="168"/>
      <c r="Q268" s="168"/>
      <c r="R268" s="168"/>
      <c r="S268" s="168"/>
      <c r="T268" s="627" t="s">
        <v>201</v>
      </c>
    </row>
    <row r="269" spans="1:20" ht="89.25">
      <c r="A269" s="549"/>
      <c r="B269" s="549"/>
      <c r="C269" s="626"/>
      <c r="D269" s="90" t="s">
        <v>879</v>
      </c>
      <c r="E269" s="14" t="s">
        <v>880</v>
      </c>
      <c r="F269" s="128">
        <v>0.35</v>
      </c>
      <c r="G269" s="128">
        <v>0.5</v>
      </c>
      <c r="H269" s="90" t="s">
        <v>879</v>
      </c>
      <c r="I269" s="14" t="s">
        <v>880</v>
      </c>
      <c r="J269" s="128">
        <v>0.35</v>
      </c>
      <c r="K269" s="168"/>
      <c r="L269" s="168"/>
      <c r="M269" s="168"/>
      <c r="N269" s="168"/>
      <c r="O269" s="168"/>
      <c r="P269" s="168"/>
      <c r="Q269" s="168"/>
      <c r="R269" s="168"/>
      <c r="S269" s="168"/>
      <c r="T269" s="728"/>
    </row>
    <row r="270" spans="1:20" ht="51">
      <c r="A270" s="549"/>
      <c r="B270" s="549"/>
      <c r="C270" s="626"/>
      <c r="D270" s="14" t="s">
        <v>881</v>
      </c>
      <c r="E270" s="14" t="s">
        <v>878</v>
      </c>
      <c r="F270" s="78">
        <v>5000</v>
      </c>
      <c r="G270" s="78">
        <v>5600</v>
      </c>
      <c r="H270" s="3" t="s">
        <v>882</v>
      </c>
      <c r="I270" s="3" t="s">
        <v>883</v>
      </c>
      <c r="J270" s="78">
        <v>5000</v>
      </c>
      <c r="K270" s="168"/>
      <c r="L270" s="168"/>
      <c r="M270" s="168"/>
      <c r="N270" s="168"/>
      <c r="O270" s="168"/>
      <c r="P270" s="168"/>
      <c r="Q270" s="168"/>
      <c r="R270" s="168"/>
      <c r="S270" s="168"/>
      <c r="T270" s="728"/>
    </row>
    <row r="271" spans="1:20" ht="38.25">
      <c r="A271" s="549" t="s">
        <v>884</v>
      </c>
      <c r="B271" s="549"/>
      <c r="C271" s="626"/>
      <c r="D271" s="90" t="s">
        <v>885</v>
      </c>
      <c r="E271" s="14" t="s">
        <v>886</v>
      </c>
      <c r="F271" s="78">
        <v>0</v>
      </c>
      <c r="G271" s="78">
        <v>1000</v>
      </c>
      <c r="H271" s="90" t="s">
        <v>885</v>
      </c>
      <c r="I271" s="14" t="s">
        <v>886</v>
      </c>
      <c r="J271" s="78">
        <v>0</v>
      </c>
      <c r="K271" s="168"/>
      <c r="L271" s="168"/>
      <c r="M271" s="168"/>
      <c r="N271" s="168"/>
      <c r="O271" s="168"/>
      <c r="P271" s="168"/>
      <c r="Q271" s="168"/>
      <c r="R271" s="168"/>
      <c r="S271" s="168"/>
      <c r="T271" s="728"/>
    </row>
    <row r="272" spans="1:20" ht="51">
      <c r="A272" s="549"/>
      <c r="B272" s="549"/>
      <c r="C272" s="626"/>
      <c r="D272" s="90" t="s">
        <v>887</v>
      </c>
      <c r="E272" s="14" t="s">
        <v>888</v>
      </c>
      <c r="F272" s="78">
        <v>0</v>
      </c>
      <c r="G272" s="78">
        <v>2200</v>
      </c>
      <c r="H272" s="90" t="s">
        <v>887</v>
      </c>
      <c r="I272" s="14" t="s">
        <v>888</v>
      </c>
      <c r="J272" s="78">
        <v>0</v>
      </c>
      <c r="K272" s="168"/>
      <c r="L272" s="168"/>
      <c r="M272" s="168"/>
      <c r="N272" s="168"/>
      <c r="O272" s="168"/>
      <c r="P272" s="168"/>
      <c r="Q272" s="168"/>
      <c r="R272" s="168"/>
      <c r="S272" s="168"/>
      <c r="T272" s="728"/>
    </row>
    <row r="273" spans="1:20" ht="38.25">
      <c r="A273" s="549"/>
      <c r="B273" s="549"/>
      <c r="C273" s="626"/>
      <c r="D273" s="14" t="s">
        <v>889</v>
      </c>
      <c r="E273" s="14" t="s">
        <v>886</v>
      </c>
      <c r="F273" s="78">
        <v>0</v>
      </c>
      <c r="G273" s="78">
        <v>80</v>
      </c>
      <c r="H273" s="14" t="s">
        <v>889</v>
      </c>
      <c r="I273" s="14" t="s">
        <v>886</v>
      </c>
      <c r="J273" s="78">
        <v>0</v>
      </c>
      <c r="K273" s="168"/>
      <c r="L273" s="168"/>
      <c r="M273" s="168"/>
      <c r="N273" s="168"/>
      <c r="O273" s="168"/>
      <c r="P273" s="168"/>
      <c r="Q273" s="168"/>
      <c r="R273" s="168"/>
      <c r="S273" s="168"/>
      <c r="T273" s="728"/>
    </row>
    <row r="274" spans="1:20" ht="38.25">
      <c r="A274" s="549"/>
      <c r="B274" s="549"/>
      <c r="C274" s="626"/>
      <c r="D274" s="90" t="s">
        <v>890</v>
      </c>
      <c r="E274" s="14" t="s">
        <v>891</v>
      </c>
      <c r="F274" s="78">
        <v>1</v>
      </c>
      <c r="G274" s="78">
        <v>4</v>
      </c>
      <c r="H274" s="90" t="s">
        <v>890</v>
      </c>
      <c r="I274" s="14" t="s">
        <v>891</v>
      </c>
      <c r="J274" s="78">
        <v>1</v>
      </c>
      <c r="K274" s="168"/>
      <c r="L274" s="168"/>
      <c r="M274" s="168"/>
      <c r="N274" s="168"/>
      <c r="O274" s="168"/>
      <c r="P274" s="168"/>
      <c r="Q274" s="168"/>
      <c r="R274" s="168"/>
      <c r="S274" s="168"/>
      <c r="T274" s="728"/>
    </row>
    <row r="275" spans="1:20" ht="51">
      <c r="A275" s="549" t="s">
        <v>892</v>
      </c>
      <c r="B275" s="549"/>
      <c r="C275" s="626"/>
      <c r="D275" s="612" t="s">
        <v>893</v>
      </c>
      <c r="E275" s="549" t="s">
        <v>894</v>
      </c>
      <c r="F275" s="78" t="s">
        <v>895</v>
      </c>
      <c r="G275" s="78">
        <v>4000</v>
      </c>
      <c r="H275" s="90" t="s">
        <v>896</v>
      </c>
      <c r="I275" s="90" t="s">
        <v>897</v>
      </c>
      <c r="J275" s="78" t="s">
        <v>895</v>
      </c>
      <c r="K275" s="168"/>
      <c r="L275" s="168"/>
      <c r="M275" s="168"/>
      <c r="N275" s="168"/>
      <c r="O275" s="168"/>
      <c r="P275" s="168"/>
      <c r="Q275" s="168"/>
      <c r="R275" s="168"/>
      <c r="S275" s="168"/>
      <c r="T275" s="728"/>
    </row>
    <row r="276" spans="1:20" ht="63.75">
      <c r="A276" s="549"/>
      <c r="B276" s="549"/>
      <c r="C276" s="626"/>
      <c r="D276" s="612"/>
      <c r="E276" s="549"/>
      <c r="F276" s="78">
        <v>1</v>
      </c>
      <c r="G276" s="78">
        <v>8</v>
      </c>
      <c r="H276" s="90" t="s">
        <v>898</v>
      </c>
      <c r="I276" s="90" t="s">
        <v>1070</v>
      </c>
      <c r="J276" s="78">
        <v>1</v>
      </c>
      <c r="K276" s="168"/>
      <c r="L276" s="168"/>
      <c r="M276" s="168"/>
      <c r="N276" s="168"/>
      <c r="O276" s="168"/>
      <c r="P276" s="168"/>
      <c r="Q276" s="168"/>
      <c r="R276" s="168"/>
      <c r="S276" s="168"/>
      <c r="T276" s="728"/>
    </row>
    <row r="277" spans="1:20" ht="76.5">
      <c r="A277" s="549"/>
      <c r="B277" s="549"/>
      <c r="C277" s="626"/>
      <c r="D277" s="612"/>
      <c r="E277" s="549"/>
      <c r="F277" s="78">
        <v>46800</v>
      </c>
      <c r="G277" s="78">
        <v>148000</v>
      </c>
      <c r="H277" s="90" t="s">
        <v>233</v>
      </c>
      <c r="I277" s="90" t="s">
        <v>897</v>
      </c>
      <c r="J277" s="78">
        <v>46800</v>
      </c>
      <c r="K277" s="168"/>
      <c r="L277" s="168"/>
      <c r="M277" s="168"/>
      <c r="N277" s="168"/>
      <c r="O277" s="168"/>
      <c r="P277" s="168"/>
      <c r="Q277" s="168"/>
      <c r="R277" s="168"/>
      <c r="S277" s="168"/>
      <c r="T277" s="728"/>
    </row>
    <row r="278" spans="1:20" ht="153">
      <c r="A278" s="549"/>
      <c r="B278" s="549"/>
      <c r="C278" s="626"/>
      <c r="D278" s="90" t="s">
        <v>1368</v>
      </c>
      <c r="E278" s="14" t="s">
        <v>192</v>
      </c>
      <c r="F278" s="78">
        <v>0</v>
      </c>
      <c r="G278" s="78">
        <v>1</v>
      </c>
      <c r="H278" s="90" t="s">
        <v>1368</v>
      </c>
      <c r="I278" s="14" t="s">
        <v>192</v>
      </c>
      <c r="J278" s="78">
        <v>1</v>
      </c>
      <c r="K278" s="168"/>
      <c r="L278" s="168"/>
      <c r="M278" s="168"/>
      <c r="N278" s="168"/>
      <c r="O278" s="168"/>
      <c r="P278" s="168"/>
      <c r="Q278" s="168"/>
      <c r="R278" s="168"/>
      <c r="S278" s="168"/>
      <c r="T278" s="728"/>
    </row>
    <row r="279" spans="1:20" ht="25.5">
      <c r="A279" s="549" t="s">
        <v>193</v>
      </c>
      <c r="B279" s="549"/>
      <c r="C279" s="626"/>
      <c r="D279" s="90" t="s">
        <v>194</v>
      </c>
      <c r="E279" s="14" t="s">
        <v>195</v>
      </c>
      <c r="F279" s="78">
        <v>0</v>
      </c>
      <c r="G279" s="78">
        <v>8</v>
      </c>
      <c r="H279" s="90" t="s">
        <v>194</v>
      </c>
      <c r="I279" s="14" t="s">
        <v>195</v>
      </c>
      <c r="J279" s="78">
        <v>0</v>
      </c>
      <c r="K279" s="168"/>
      <c r="L279" s="168"/>
      <c r="M279" s="168"/>
      <c r="N279" s="168"/>
      <c r="O279" s="168"/>
      <c r="P279" s="168"/>
      <c r="Q279" s="168"/>
      <c r="R279" s="168"/>
      <c r="S279" s="168"/>
      <c r="T279" s="728"/>
    </row>
    <row r="280" spans="1:20" ht="38.25">
      <c r="A280" s="549"/>
      <c r="B280" s="549"/>
      <c r="C280" s="626"/>
      <c r="D280" s="90" t="s">
        <v>196</v>
      </c>
      <c r="E280" s="14" t="s">
        <v>197</v>
      </c>
      <c r="F280" s="78">
        <v>10</v>
      </c>
      <c r="G280" s="78">
        <v>155</v>
      </c>
      <c r="H280" s="90" t="s">
        <v>196</v>
      </c>
      <c r="I280" s="14" t="s">
        <v>197</v>
      </c>
      <c r="J280" s="78">
        <v>10</v>
      </c>
      <c r="K280" s="168"/>
      <c r="L280" s="168"/>
      <c r="M280" s="168"/>
      <c r="N280" s="168"/>
      <c r="O280" s="168"/>
      <c r="P280" s="168"/>
      <c r="Q280" s="168"/>
      <c r="R280" s="168"/>
      <c r="S280" s="168"/>
      <c r="T280" s="728"/>
    </row>
    <row r="281" spans="1:20" ht="76.5">
      <c r="A281" s="14" t="s">
        <v>198</v>
      </c>
      <c r="B281" s="14"/>
      <c r="C281" s="78"/>
      <c r="D281" s="14" t="s">
        <v>199</v>
      </c>
      <c r="E281" s="14" t="s">
        <v>200</v>
      </c>
      <c r="F281" s="78">
        <v>0</v>
      </c>
      <c r="G281" s="78">
        <v>3</v>
      </c>
      <c r="H281" s="14" t="s">
        <v>199</v>
      </c>
      <c r="I281" s="14" t="s">
        <v>200</v>
      </c>
      <c r="J281" s="78">
        <v>0</v>
      </c>
      <c r="K281" s="168"/>
      <c r="L281" s="168"/>
      <c r="M281" s="168"/>
      <c r="N281" s="168"/>
      <c r="O281" s="168"/>
      <c r="P281" s="168"/>
      <c r="Q281" s="168"/>
      <c r="R281" s="168"/>
      <c r="S281" s="168"/>
      <c r="T281" s="729"/>
    </row>
  </sheetData>
  <sheetProtection/>
  <mergeCells count="338">
    <mergeCell ref="C271:C274"/>
    <mergeCell ref="A268:A270"/>
    <mergeCell ref="B268:B270"/>
    <mergeCell ref="E275:E277"/>
    <mergeCell ref="A279:A280"/>
    <mergeCell ref="B279:B280"/>
    <mergeCell ref="C279:C280"/>
    <mergeCell ref="C268:C270"/>
    <mergeCell ref="D8:D9"/>
    <mergeCell ref="E8:I8"/>
    <mergeCell ref="J8:R8"/>
    <mergeCell ref="T268:T281"/>
    <mergeCell ref="A275:A278"/>
    <mergeCell ref="B275:B278"/>
    <mergeCell ref="C275:C278"/>
    <mergeCell ref="D275:D277"/>
    <mergeCell ref="A271:A274"/>
    <mergeCell ref="B271:B274"/>
    <mergeCell ref="A1:T1"/>
    <mergeCell ref="A2:T2"/>
    <mergeCell ref="A3:T3"/>
    <mergeCell ref="A4:T4"/>
    <mergeCell ref="A5:T5"/>
    <mergeCell ref="T8:T9"/>
    <mergeCell ref="A8:A9"/>
    <mergeCell ref="B8:B9"/>
    <mergeCell ref="C8:C9"/>
    <mergeCell ref="A6:T7"/>
    <mergeCell ref="G10:G11"/>
    <mergeCell ref="E14:E15"/>
    <mergeCell ref="F14:F15"/>
    <mergeCell ref="D10:D11"/>
    <mergeCell ref="G14:G15"/>
    <mergeCell ref="F19:F24"/>
    <mergeCell ref="G19:G24"/>
    <mergeCell ref="F17:F18"/>
    <mergeCell ref="G17:G18"/>
    <mergeCell ref="A10:A18"/>
    <mergeCell ref="A19:A24"/>
    <mergeCell ref="B19:B24"/>
    <mergeCell ref="C19:C24"/>
    <mergeCell ref="B10:B18"/>
    <mergeCell ref="C10:C18"/>
    <mergeCell ref="D19:D24"/>
    <mergeCell ref="E10:E11"/>
    <mergeCell ref="E17:E18"/>
    <mergeCell ref="D17:D18"/>
    <mergeCell ref="D14:D15"/>
    <mergeCell ref="F10:F11"/>
    <mergeCell ref="E19:E24"/>
    <mergeCell ref="T110:T113"/>
    <mergeCell ref="F105:F106"/>
    <mergeCell ref="G105:G106"/>
    <mergeCell ref="E110:E111"/>
    <mergeCell ref="F110:F111"/>
    <mergeCell ref="G110:G111"/>
    <mergeCell ref="E105:E106"/>
    <mergeCell ref="G25:G26"/>
    <mergeCell ref="G114:G117"/>
    <mergeCell ref="G119:G121"/>
    <mergeCell ref="E114:E117"/>
    <mergeCell ref="F114:F117"/>
    <mergeCell ref="F119:F121"/>
    <mergeCell ref="G57:G58"/>
    <mergeCell ref="G81:G83"/>
    <mergeCell ref="G64:G70"/>
    <mergeCell ref="G40:G42"/>
    <mergeCell ref="G55:G56"/>
    <mergeCell ref="F74:F77"/>
    <mergeCell ref="C62:C92"/>
    <mergeCell ref="G74:G77"/>
    <mergeCell ref="G78:G80"/>
    <mergeCell ref="E74:E77"/>
    <mergeCell ref="E55:E56"/>
    <mergeCell ref="D78:D80"/>
    <mergeCell ref="C93:C96"/>
    <mergeCell ref="D87:D88"/>
    <mergeCell ref="F78:F80"/>
    <mergeCell ref="F81:F83"/>
    <mergeCell ref="A93:A96"/>
    <mergeCell ref="C51:C61"/>
    <mergeCell ref="D57:D58"/>
    <mergeCell ref="E57:E58"/>
    <mergeCell ref="D64:D70"/>
    <mergeCell ref="B25:B35"/>
    <mergeCell ref="B93:B96"/>
    <mergeCell ref="A36:A50"/>
    <mergeCell ref="A25:A35"/>
    <mergeCell ref="A51:A61"/>
    <mergeCell ref="B51:B61"/>
    <mergeCell ref="H87:H88"/>
    <mergeCell ref="I87:I88"/>
    <mergeCell ref="D25:D26"/>
    <mergeCell ref="A103:A109"/>
    <mergeCell ref="B103:B109"/>
    <mergeCell ref="C103:C109"/>
    <mergeCell ref="D105:D106"/>
    <mergeCell ref="A97:A102"/>
    <mergeCell ref="B97:B102"/>
    <mergeCell ref="C97:C102"/>
    <mergeCell ref="S87:S88"/>
    <mergeCell ref="J87:J88"/>
    <mergeCell ref="K87:K88"/>
    <mergeCell ref="L87:L88"/>
    <mergeCell ref="O87:O88"/>
    <mergeCell ref="Q87:Q88"/>
    <mergeCell ref="R87:R88"/>
    <mergeCell ref="M87:M88"/>
    <mergeCell ref="N87:N88"/>
    <mergeCell ref="P87:P88"/>
    <mergeCell ref="G28:G29"/>
    <mergeCell ref="D31:D33"/>
    <mergeCell ref="F43:F46"/>
    <mergeCell ref="T47:T49"/>
    <mergeCell ref="G47:G49"/>
    <mergeCell ref="F31:F33"/>
    <mergeCell ref="G31:G33"/>
    <mergeCell ref="F36:F39"/>
    <mergeCell ref="G36:G39"/>
    <mergeCell ref="F40:F42"/>
    <mergeCell ref="E43:E46"/>
    <mergeCell ref="D40:D42"/>
    <mergeCell ref="T45:T46"/>
    <mergeCell ref="F47:F49"/>
    <mergeCell ref="G43:G46"/>
    <mergeCell ref="G53:G54"/>
    <mergeCell ref="F51:F52"/>
    <mergeCell ref="G51:G52"/>
    <mergeCell ref="D51:D52"/>
    <mergeCell ref="E53:E54"/>
    <mergeCell ref="F25:F26"/>
    <mergeCell ref="F28:F29"/>
    <mergeCell ref="D28:D29"/>
    <mergeCell ref="E28:E29"/>
    <mergeCell ref="E25:E26"/>
    <mergeCell ref="C36:C50"/>
    <mergeCell ref="E40:E42"/>
    <mergeCell ref="E36:E39"/>
    <mergeCell ref="D36:D39"/>
    <mergeCell ref="D47:D49"/>
    <mergeCell ref="E31:E33"/>
    <mergeCell ref="T122:T130"/>
    <mergeCell ref="F53:F54"/>
    <mergeCell ref="D55:D56"/>
    <mergeCell ref="T119:T121"/>
    <mergeCell ref="E123:E124"/>
    <mergeCell ref="F123:F124"/>
    <mergeCell ref="F64:F70"/>
    <mergeCell ref="F71:F73"/>
    <mergeCell ref="E47:E49"/>
    <mergeCell ref="A122:A130"/>
    <mergeCell ref="B122:B130"/>
    <mergeCell ref="C122:C130"/>
    <mergeCell ref="D123:D124"/>
    <mergeCell ref="D125:D126"/>
    <mergeCell ref="C25:C35"/>
    <mergeCell ref="B36:B50"/>
    <mergeCell ref="D43:D46"/>
    <mergeCell ref="A62:A92"/>
    <mergeCell ref="B62:B92"/>
    <mergeCell ref="A119:A121"/>
    <mergeCell ref="B119:B121"/>
    <mergeCell ref="C119:C121"/>
    <mergeCell ref="A110:A113"/>
    <mergeCell ref="A114:A118"/>
    <mergeCell ref="B114:B118"/>
    <mergeCell ref="C114:C118"/>
    <mergeCell ref="B110:B113"/>
    <mergeCell ref="C110:C113"/>
    <mergeCell ref="J123:J124"/>
    <mergeCell ref="D74:D77"/>
    <mergeCell ref="E51:E52"/>
    <mergeCell ref="F57:F58"/>
    <mergeCell ref="F55:F56"/>
    <mergeCell ref="D71:D73"/>
    <mergeCell ref="D53:D54"/>
    <mergeCell ref="E64:E70"/>
    <mergeCell ref="D81:D83"/>
    <mergeCell ref="D114:D117"/>
    <mergeCell ref="G125:G126"/>
    <mergeCell ref="G123:G124"/>
    <mergeCell ref="G71:G73"/>
    <mergeCell ref="E81:E83"/>
    <mergeCell ref="E71:E73"/>
    <mergeCell ref="E78:E80"/>
    <mergeCell ref="C170:C178"/>
    <mergeCell ref="D110:D111"/>
    <mergeCell ref="F160:F161"/>
    <mergeCell ref="D166:D167"/>
    <mergeCell ref="E166:E167"/>
    <mergeCell ref="B164:B169"/>
    <mergeCell ref="C164:C169"/>
    <mergeCell ref="C131:C143"/>
    <mergeCell ref="E125:E126"/>
    <mergeCell ref="F125:F126"/>
    <mergeCell ref="F166:F167"/>
    <mergeCell ref="D170:D171"/>
    <mergeCell ref="T164:T169"/>
    <mergeCell ref="T131:T138"/>
    <mergeCell ref="T144:T155"/>
    <mergeCell ref="T156:T163"/>
    <mergeCell ref="D160:D161"/>
    <mergeCell ref="G166:G167"/>
    <mergeCell ref="A164:A169"/>
    <mergeCell ref="E160:E161"/>
    <mergeCell ref="A131:A143"/>
    <mergeCell ref="B131:B143"/>
    <mergeCell ref="G160:G161"/>
    <mergeCell ref="A144:A155"/>
    <mergeCell ref="B144:B155"/>
    <mergeCell ref="C144:C155"/>
    <mergeCell ref="C156:C163"/>
    <mergeCell ref="A156:A163"/>
    <mergeCell ref="T170:T189"/>
    <mergeCell ref="E170:E171"/>
    <mergeCell ref="F170:F171"/>
    <mergeCell ref="G170:G171"/>
    <mergeCell ref="B156:B163"/>
    <mergeCell ref="A179:A189"/>
    <mergeCell ref="B179:B189"/>
    <mergeCell ref="C179:C189"/>
    <mergeCell ref="A170:A178"/>
    <mergeCell ref="B170:B178"/>
    <mergeCell ref="A207:A211"/>
    <mergeCell ref="B207:B211"/>
    <mergeCell ref="C207:C211"/>
    <mergeCell ref="D207:D209"/>
    <mergeCell ref="A190:A197"/>
    <mergeCell ref="B190:B197"/>
    <mergeCell ref="C190:C197"/>
    <mergeCell ref="A198:A199"/>
    <mergeCell ref="B198:B199"/>
    <mergeCell ref="C198:C199"/>
    <mergeCell ref="A200:A202"/>
    <mergeCell ref="B200:B202"/>
    <mergeCell ref="C200:C202"/>
    <mergeCell ref="A203:A206"/>
    <mergeCell ref="B203:B206"/>
    <mergeCell ref="C203:C206"/>
    <mergeCell ref="G224:G232"/>
    <mergeCell ref="F213:F215"/>
    <mergeCell ref="D203:D204"/>
    <mergeCell ref="E203:E204"/>
    <mergeCell ref="F203:F204"/>
    <mergeCell ref="E207:E209"/>
    <mergeCell ref="F207:F209"/>
    <mergeCell ref="E213:E215"/>
    <mergeCell ref="G203:G204"/>
    <mergeCell ref="D219:D223"/>
    <mergeCell ref="T190:T199"/>
    <mergeCell ref="T200:T206"/>
    <mergeCell ref="G207:G209"/>
    <mergeCell ref="T207:T267"/>
    <mergeCell ref="G213:G215"/>
    <mergeCell ref="G245:G248"/>
    <mergeCell ref="G241:G244"/>
    <mergeCell ref="G219:G223"/>
    <mergeCell ref="G216:G218"/>
    <mergeCell ref="G238:G240"/>
    <mergeCell ref="A212:A215"/>
    <mergeCell ref="B212:B215"/>
    <mergeCell ref="A216:A218"/>
    <mergeCell ref="B216:B218"/>
    <mergeCell ref="C216:C218"/>
    <mergeCell ref="D216:D218"/>
    <mergeCell ref="C212:C215"/>
    <mergeCell ref="D213:D215"/>
    <mergeCell ref="A233:A237"/>
    <mergeCell ref="B233:B237"/>
    <mergeCell ref="C233:C237"/>
    <mergeCell ref="D233:D235"/>
    <mergeCell ref="E219:E223"/>
    <mergeCell ref="F219:F223"/>
    <mergeCell ref="D224:D232"/>
    <mergeCell ref="A219:A232"/>
    <mergeCell ref="B219:B232"/>
    <mergeCell ref="C219:C232"/>
    <mergeCell ref="E224:E232"/>
    <mergeCell ref="F224:F232"/>
    <mergeCell ref="E238:E240"/>
    <mergeCell ref="F238:F240"/>
    <mergeCell ref="E216:E218"/>
    <mergeCell ref="F216:F218"/>
    <mergeCell ref="D238:D240"/>
    <mergeCell ref="E233:E235"/>
    <mergeCell ref="F233:F235"/>
    <mergeCell ref="G233:G235"/>
    <mergeCell ref="D236:D237"/>
    <mergeCell ref="E236:E237"/>
    <mergeCell ref="F236:F237"/>
    <mergeCell ref="G236:G237"/>
    <mergeCell ref="A241:A244"/>
    <mergeCell ref="B241:B244"/>
    <mergeCell ref="C241:C244"/>
    <mergeCell ref="A238:A240"/>
    <mergeCell ref="B238:B240"/>
    <mergeCell ref="C238:C240"/>
    <mergeCell ref="D245:D248"/>
    <mergeCell ref="E245:E248"/>
    <mergeCell ref="F245:F248"/>
    <mergeCell ref="F241:F244"/>
    <mergeCell ref="D241:D244"/>
    <mergeCell ref="E241:E244"/>
    <mergeCell ref="E249:E251"/>
    <mergeCell ref="F249:F251"/>
    <mergeCell ref="G249:G251"/>
    <mergeCell ref="A245:A248"/>
    <mergeCell ref="B245:B248"/>
    <mergeCell ref="A249:A251"/>
    <mergeCell ref="B249:B251"/>
    <mergeCell ref="C249:C251"/>
    <mergeCell ref="D249:D251"/>
    <mergeCell ref="C245:C248"/>
    <mergeCell ref="F252:F257"/>
    <mergeCell ref="G252:G257"/>
    <mergeCell ref="A258:A263"/>
    <mergeCell ref="B258:B263"/>
    <mergeCell ref="C258:C263"/>
    <mergeCell ref="D259:D260"/>
    <mergeCell ref="E259:E260"/>
    <mergeCell ref="F259:F260"/>
    <mergeCell ref="G259:G260"/>
    <mergeCell ref="A252:A257"/>
    <mergeCell ref="A264:A267"/>
    <mergeCell ref="B264:B267"/>
    <mergeCell ref="C264:C267"/>
    <mergeCell ref="E252:E257"/>
    <mergeCell ref="B252:B257"/>
    <mergeCell ref="C252:C257"/>
    <mergeCell ref="D252:D257"/>
    <mergeCell ref="F261:F262"/>
    <mergeCell ref="G261:G262"/>
    <mergeCell ref="D264:D267"/>
    <mergeCell ref="E264:E267"/>
    <mergeCell ref="F264:F267"/>
    <mergeCell ref="G264:G267"/>
    <mergeCell ref="D261:D262"/>
    <mergeCell ref="E261:E262"/>
  </mergeCells>
  <printOptions/>
  <pageMargins left="0.75" right="0.75" top="1" bottom="1" header="0.5" footer="0.5"/>
  <pageSetup orientation="portrait"/>
  <legacyDrawing r:id="rId2"/>
</worksheet>
</file>

<file path=xl/worksheets/sheet9.xml><?xml version="1.0" encoding="utf-8"?>
<worksheet xmlns="http://schemas.openxmlformats.org/spreadsheetml/2006/main" xmlns:r="http://schemas.openxmlformats.org/officeDocument/2006/relationships">
  <sheetPr>
    <tabColor rgb="FF008000"/>
  </sheetPr>
  <dimension ref="A1:Y286"/>
  <sheetViews>
    <sheetView zoomScale="80" zoomScaleNormal="80" zoomScalePageLayoutView="0" workbookViewId="0" topLeftCell="Q275">
      <selection activeCell="W280" sqref="W280"/>
    </sheetView>
  </sheetViews>
  <sheetFormatPr defaultColWidth="10.875" defaultRowHeight="15.75"/>
  <cols>
    <col min="1" max="1" width="45.00390625" style="306" bestFit="1" customWidth="1"/>
    <col min="2" max="2" width="20.00390625" style="306" bestFit="1" customWidth="1"/>
    <col min="3" max="3" width="43.00390625" style="306" bestFit="1" customWidth="1"/>
    <col min="4" max="4" width="34.125" style="306" bestFit="1" customWidth="1"/>
    <col min="5" max="5" width="34.875" style="306" bestFit="1" customWidth="1"/>
    <col min="6" max="6" width="14.375" style="306" bestFit="1" customWidth="1"/>
    <col min="7" max="8" width="14.875" style="306" bestFit="1" customWidth="1"/>
    <col min="9" max="9" width="17.50390625" style="306" bestFit="1" customWidth="1"/>
    <col min="10" max="10" width="29.50390625" style="306" bestFit="1" customWidth="1"/>
    <col min="11" max="11" width="22.00390625" style="306" bestFit="1" customWidth="1"/>
    <col min="12" max="12" width="27.00390625" style="306" bestFit="1" customWidth="1"/>
    <col min="13" max="13" width="13.50390625" style="306" bestFit="1" customWidth="1"/>
    <col min="14" max="17" width="14.375" style="306" bestFit="1" customWidth="1"/>
    <col min="18" max="18" width="17.625" style="342" bestFit="1" customWidth="1"/>
    <col min="19" max="19" width="15.625" style="306" bestFit="1" customWidth="1"/>
    <col min="20" max="22" width="20.00390625" style="306" bestFit="1" customWidth="1"/>
    <col min="23" max="23" width="43.50390625" style="306" bestFit="1" customWidth="1"/>
    <col min="24" max="24" width="10.875" style="306" customWidth="1"/>
    <col min="25" max="25" width="14.375" style="306" customWidth="1"/>
    <col min="26" max="16384" width="10.875" style="306" customWidth="1"/>
  </cols>
  <sheetData>
    <row r="1" spans="1:23" ht="16.5" customHeight="1">
      <c r="A1" s="609" t="s">
        <v>1370</v>
      </c>
      <c r="B1" s="610"/>
      <c r="C1" s="610"/>
      <c r="D1" s="610"/>
      <c r="E1" s="610"/>
      <c r="F1" s="610"/>
      <c r="G1" s="610"/>
      <c r="H1" s="610"/>
      <c r="I1" s="610"/>
      <c r="J1" s="610"/>
      <c r="K1" s="610"/>
      <c r="L1" s="610"/>
      <c r="M1" s="610"/>
      <c r="N1" s="610"/>
      <c r="O1" s="610"/>
      <c r="P1" s="610"/>
      <c r="Q1" s="610"/>
      <c r="R1" s="610"/>
      <c r="S1" s="610"/>
      <c r="T1" s="610"/>
      <c r="U1" s="610"/>
      <c r="V1" s="610"/>
      <c r="W1" s="611"/>
    </row>
    <row r="2" spans="1:23" ht="16.5" customHeight="1">
      <c r="A2" s="609" t="s">
        <v>1371</v>
      </c>
      <c r="B2" s="610"/>
      <c r="C2" s="610"/>
      <c r="D2" s="610"/>
      <c r="E2" s="610"/>
      <c r="F2" s="610"/>
      <c r="G2" s="610"/>
      <c r="H2" s="610"/>
      <c r="I2" s="610"/>
      <c r="J2" s="610"/>
      <c r="K2" s="610"/>
      <c r="L2" s="610"/>
      <c r="M2" s="610"/>
      <c r="N2" s="610"/>
      <c r="O2" s="610"/>
      <c r="P2" s="610"/>
      <c r="Q2" s="610"/>
      <c r="R2" s="610"/>
      <c r="S2" s="610"/>
      <c r="T2" s="610"/>
      <c r="U2" s="610"/>
      <c r="V2" s="610"/>
      <c r="W2" s="611"/>
    </row>
    <row r="3" spans="1:23" ht="16.5" customHeight="1">
      <c r="A3" s="609" t="s">
        <v>1158</v>
      </c>
      <c r="B3" s="610"/>
      <c r="C3" s="610"/>
      <c r="D3" s="610"/>
      <c r="E3" s="610"/>
      <c r="F3" s="610"/>
      <c r="G3" s="610"/>
      <c r="H3" s="610"/>
      <c r="I3" s="610"/>
      <c r="J3" s="610"/>
      <c r="K3" s="610"/>
      <c r="L3" s="610"/>
      <c r="M3" s="610"/>
      <c r="N3" s="610"/>
      <c r="O3" s="610"/>
      <c r="P3" s="610"/>
      <c r="Q3" s="610"/>
      <c r="R3" s="610"/>
      <c r="S3" s="610"/>
      <c r="T3" s="610"/>
      <c r="U3" s="610"/>
      <c r="V3" s="610"/>
      <c r="W3" s="611"/>
    </row>
    <row r="4" spans="1:23" ht="16.5" customHeight="1">
      <c r="A4" s="609" t="s">
        <v>2093</v>
      </c>
      <c r="B4" s="610"/>
      <c r="C4" s="610"/>
      <c r="D4" s="610"/>
      <c r="E4" s="610"/>
      <c r="F4" s="610"/>
      <c r="G4" s="610"/>
      <c r="H4" s="610"/>
      <c r="I4" s="610"/>
      <c r="J4" s="610"/>
      <c r="K4" s="610"/>
      <c r="L4" s="610"/>
      <c r="M4" s="610"/>
      <c r="N4" s="610"/>
      <c r="O4" s="610"/>
      <c r="P4" s="610"/>
      <c r="Q4" s="610"/>
      <c r="R4" s="610"/>
      <c r="S4" s="610"/>
      <c r="T4" s="610"/>
      <c r="U4" s="610"/>
      <c r="V4" s="610"/>
      <c r="W4" s="611"/>
    </row>
    <row r="5" spans="1:23" ht="18.75" thickBot="1">
      <c r="A5" s="849"/>
      <c r="B5" s="850"/>
      <c r="C5" s="850"/>
      <c r="D5" s="850"/>
      <c r="E5" s="850"/>
      <c r="F5" s="850"/>
      <c r="G5" s="850"/>
      <c r="H5" s="850"/>
      <c r="I5" s="850"/>
      <c r="J5" s="850"/>
      <c r="K5" s="850"/>
      <c r="L5" s="850"/>
      <c r="M5" s="850"/>
      <c r="N5" s="850"/>
      <c r="O5" s="850"/>
      <c r="P5" s="850"/>
      <c r="Q5" s="850"/>
      <c r="R5" s="850"/>
      <c r="S5" s="850"/>
      <c r="T5" s="850"/>
      <c r="U5" s="850"/>
      <c r="V5" s="850"/>
      <c r="W5" s="851"/>
    </row>
    <row r="6" spans="1:23" ht="15" customHeight="1">
      <c r="A6" s="608" t="s">
        <v>2094</v>
      </c>
      <c r="B6" s="608" t="s">
        <v>188</v>
      </c>
      <c r="C6" s="608" t="s">
        <v>2097</v>
      </c>
      <c r="D6" s="608" t="s">
        <v>2098</v>
      </c>
      <c r="E6" s="608"/>
      <c r="F6" s="608"/>
      <c r="G6" s="608"/>
      <c r="H6" s="608"/>
      <c r="I6" s="608"/>
      <c r="J6" s="608"/>
      <c r="K6" s="608" t="s">
        <v>2099</v>
      </c>
      <c r="L6" s="608"/>
      <c r="M6" s="608"/>
      <c r="N6" s="608"/>
      <c r="O6" s="608"/>
      <c r="P6" s="608"/>
      <c r="Q6" s="608"/>
      <c r="R6" s="608" t="s">
        <v>2100</v>
      </c>
      <c r="S6" s="608"/>
      <c r="T6" s="608"/>
      <c r="U6" s="608"/>
      <c r="V6" s="608"/>
      <c r="W6" s="608" t="s">
        <v>2101</v>
      </c>
    </row>
    <row r="7" spans="1:23" ht="60" customHeight="1">
      <c r="A7" s="852"/>
      <c r="B7" s="848"/>
      <c r="C7" s="848"/>
      <c r="D7" s="367" t="s">
        <v>2102</v>
      </c>
      <c r="E7" s="368" t="s">
        <v>2103</v>
      </c>
      <c r="F7" s="367" t="s">
        <v>2107</v>
      </c>
      <c r="G7" s="367" t="s">
        <v>2108</v>
      </c>
      <c r="H7" s="367" t="s">
        <v>2109</v>
      </c>
      <c r="I7" s="367" t="s">
        <v>2104</v>
      </c>
      <c r="J7" s="369" t="s">
        <v>2105</v>
      </c>
      <c r="K7" s="367" t="s">
        <v>2102</v>
      </c>
      <c r="L7" s="367" t="s">
        <v>20</v>
      </c>
      <c r="M7" s="368" t="s">
        <v>2103</v>
      </c>
      <c r="N7" s="367" t="s">
        <v>2107</v>
      </c>
      <c r="O7" s="367" t="s">
        <v>2108</v>
      </c>
      <c r="P7" s="367" t="s">
        <v>2109</v>
      </c>
      <c r="Q7" s="367" t="s">
        <v>2104</v>
      </c>
      <c r="R7" s="367" t="s">
        <v>2110</v>
      </c>
      <c r="S7" s="367">
        <v>2012</v>
      </c>
      <c r="T7" s="367">
        <v>2013</v>
      </c>
      <c r="U7" s="367">
        <v>2014</v>
      </c>
      <c r="V7" s="367">
        <v>2015</v>
      </c>
      <c r="W7" s="848"/>
    </row>
    <row r="8" spans="1:23" ht="42" customHeight="1">
      <c r="A8" s="592" t="s">
        <v>826</v>
      </c>
      <c r="B8" s="839">
        <f>10730000/R282*100%</f>
        <v>0.12008442169866185</v>
      </c>
      <c r="C8" s="549" t="s">
        <v>1239</v>
      </c>
      <c r="D8" s="549" t="s">
        <v>1240</v>
      </c>
      <c r="E8" s="570">
        <v>0</v>
      </c>
      <c r="F8" s="570">
        <v>1</v>
      </c>
      <c r="G8" s="570">
        <v>3</v>
      </c>
      <c r="H8" s="570">
        <v>5</v>
      </c>
      <c r="I8" s="570">
        <v>7</v>
      </c>
      <c r="J8" s="14" t="s">
        <v>1241</v>
      </c>
      <c r="K8" s="14" t="s">
        <v>1242</v>
      </c>
      <c r="L8" s="14" t="s">
        <v>189</v>
      </c>
      <c r="M8" s="2">
        <v>0</v>
      </c>
      <c r="N8" s="2">
        <v>1</v>
      </c>
      <c r="O8" s="2">
        <v>1</v>
      </c>
      <c r="P8" s="2">
        <v>1</v>
      </c>
      <c r="Q8" s="2">
        <v>1</v>
      </c>
      <c r="R8" s="3">
        <f>+S8+T8+U8+V8</f>
        <v>8175000</v>
      </c>
      <c r="S8" s="3">
        <f>1250000-(S9+S10+S11+S15+S16+S12+S13+S14)</f>
        <v>910000</v>
      </c>
      <c r="T8" s="3">
        <f>2640000-(T9-T10-T11-T15-T16+T12+T13+T14)</f>
        <v>2725000</v>
      </c>
      <c r="U8" s="3">
        <f>2842000-(U9+U10+U11+U15+U16+U12+U13+U14)</f>
        <v>1867000</v>
      </c>
      <c r="V8" s="3">
        <f>3118000-(V9+V10+V11+V15+V16+V12+V13+V14)</f>
        <v>2673000</v>
      </c>
      <c r="W8" s="721" t="s">
        <v>649</v>
      </c>
    </row>
    <row r="9" spans="1:23" ht="55.5" customHeight="1">
      <c r="A9" s="592"/>
      <c r="B9" s="839"/>
      <c r="C9" s="549"/>
      <c r="D9" s="549"/>
      <c r="E9" s="570"/>
      <c r="F9" s="570"/>
      <c r="G9" s="570"/>
      <c r="H9" s="570"/>
      <c r="I9" s="570"/>
      <c r="J9" s="14" t="s">
        <v>1244</v>
      </c>
      <c r="K9" s="14" t="s">
        <v>1245</v>
      </c>
      <c r="L9" s="14" t="s">
        <v>189</v>
      </c>
      <c r="M9" s="2">
        <v>3</v>
      </c>
      <c r="N9" s="2">
        <v>3</v>
      </c>
      <c r="O9" s="2">
        <v>5</v>
      </c>
      <c r="P9" s="2">
        <v>7</v>
      </c>
      <c r="Q9" s="2">
        <v>9</v>
      </c>
      <c r="R9" s="3">
        <f aca="true" t="shared" si="0" ref="R9:R33">+S9+T9+U9+V9</f>
        <v>550000</v>
      </c>
      <c r="S9" s="3">
        <v>50000</v>
      </c>
      <c r="T9" s="3">
        <v>200000</v>
      </c>
      <c r="U9" s="3">
        <v>200000</v>
      </c>
      <c r="V9" s="3">
        <v>100000</v>
      </c>
      <c r="W9" s="721"/>
    </row>
    <row r="10" spans="1:23" ht="66" customHeight="1">
      <c r="A10" s="592"/>
      <c r="B10" s="839"/>
      <c r="C10" s="14" t="s">
        <v>1246</v>
      </c>
      <c r="D10" s="14" t="s">
        <v>1247</v>
      </c>
      <c r="E10" s="2">
        <v>100</v>
      </c>
      <c r="F10" s="2">
        <v>100</v>
      </c>
      <c r="G10" s="2">
        <v>100</v>
      </c>
      <c r="H10" s="2">
        <v>100</v>
      </c>
      <c r="I10" s="2">
        <v>100</v>
      </c>
      <c r="J10" s="90" t="s">
        <v>964</v>
      </c>
      <c r="K10" s="14" t="s">
        <v>1249</v>
      </c>
      <c r="L10" s="14" t="s">
        <v>189</v>
      </c>
      <c r="M10" s="2">
        <v>1</v>
      </c>
      <c r="N10" s="2">
        <v>2</v>
      </c>
      <c r="O10" s="2">
        <v>2</v>
      </c>
      <c r="P10" s="2">
        <v>2</v>
      </c>
      <c r="Q10" s="2">
        <v>2</v>
      </c>
      <c r="R10" s="3">
        <f t="shared" si="0"/>
        <v>405000</v>
      </c>
      <c r="S10" s="3">
        <v>90000</v>
      </c>
      <c r="T10" s="3">
        <v>120000</v>
      </c>
      <c r="U10" s="3">
        <v>100000</v>
      </c>
      <c r="V10" s="3">
        <v>95000</v>
      </c>
      <c r="W10" s="721"/>
    </row>
    <row r="11" spans="1:23" ht="51.75" customHeight="1">
      <c r="A11" s="592"/>
      <c r="B11" s="839"/>
      <c r="C11" s="14" t="s">
        <v>1250</v>
      </c>
      <c r="D11" s="14" t="s">
        <v>1251</v>
      </c>
      <c r="E11" s="2">
        <v>404</v>
      </c>
      <c r="F11" s="2">
        <v>414</v>
      </c>
      <c r="G11" s="2">
        <v>434</v>
      </c>
      <c r="H11" s="2">
        <v>459</v>
      </c>
      <c r="I11" s="2">
        <v>484</v>
      </c>
      <c r="J11" s="14" t="s">
        <v>1252</v>
      </c>
      <c r="K11" s="14" t="s">
        <v>1253</v>
      </c>
      <c r="L11" s="14" t="s">
        <v>2809</v>
      </c>
      <c r="M11" s="2">
        <v>1</v>
      </c>
      <c r="N11" s="2">
        <v>1</v>
      </c>
      <c r="O11" s="2">
        <v>1</v>
      </c>
      <c r="P11" s="2">
        <v>1</v>
      </c>
      <c r="Q11" s="2">
        <v>1</v>
      </c>
      <c r="R11" s="3">
        <f t="shared" si="0"/>
        <v>600000</v>
      </c>
      <c r="S11" s="3">
        <v>150000</v>
      </c>
      <c r="T11" s="3">
        <v>200000</v>
      </c>
      <c r="U11" s="3">
        <v>150000</v>
      </c>
      <c r="V11" s="3">
        <v>100000</v>
      </c>
      <c r="W11" s="721"/>
    </row>
    <row r="12" spans="1:23" ht="36.75" customHeight="1">
      <c r="A12" s="592"/>
      <c r="B12" s="839"/>
      <c r="C12" s="549" t="s">
        <v>1254</v>
      </c>
      <c r="D12" s="549" t="s">
        <v>1255</v>
      </c>
      <c r="E12" s="847">
        <v>0</v>
      </c>
      <c r="F12" s="847">
        <v>0.1</v>
      </c>
      <c r="G12" s="847">
        <v>0.4</v>
      </c>
      <c r="H12" s="847">
        <v>0.7</v>
      </c>
      <c r="I12" s="617">
        <v>1</v>
      </c>
      <c r="J12" s="10" t="s">
        <v>1256</v>
      </c>
      <c r="K12" s="10" t="s">
        <v>1257</v>
      </c>
      <c r="L12" s="10" t="s">
        <v>189</v>
      </c>
      <c r="M12" s="2">
        <v>0</v>
      </c>
      <c r="N12" s="2">
        <v>20</v>
      </c>
      <c r="O12" s="2">
        <v>20</v>
      </c>
      <c r="P12" s="2">
        <v>20</v>
      </c>
      <c r="Q12" s="2">
        <v>20</v>
      </c>
      <c r="R12" s="3">
        <f t="shared" si="0"/>
        <v>230000</v>
      </c>
      <c r="S12" s="3">
        <v>50000</v>
      </c>
      <c r="T12" s="3">
        <v>55000</v>
      </c>
      <c r="U12" s="3">
        <v>55000</v>
      </c>
      <c r="V12" s="3">
        <v>70000</v>
      </c>
      <c r="W12" s="721"/>
    </row>
    <row r="13" spans="1:23" ht="31.5" customHeight="1">
      <c r="A13" s="592"/>
      <c r="B13" s="839"/>
      <c r="C13" s="549"/>
      <c r="D13" s="549"/>
      <c r="E13" s="847"/>
      <c r="F13" s="847"/>
      <c r="G13" s="847"/>
      <c r="H13" s="847"/>
      <c r="I13" s="617"/>
      <c r="J13" s="10" t="s">
        <v>1258</v>
      </c>
      <c r="K13" s="10" t="s">
        <v>1259</v>
      </c>
      <c r="L13" s="10" t="s">
        <v>189</v>
      </c>
      <c r="M13" s="2">
        <v>0</v>
      </c>
      <c r="N13" s="2">
        <v>0</v>
      </c>
      <c r="O13" s="2">
        <v>13</v>
      </c>
      <c r="P13" s="2">
        <v>13</v>
      </c>
      <c r="Q13" s="2">
        <v>13</v>
      </c>
      <c r="R13" s="3">
        <f t="shared" si="0"/>
        <v>100000</v>
      </c>
      <c r="S13" s="3">
        <v>0</v>
      </c>
      <c r="T13" s="3">
        <v>100000</v>
      </c>
      <c r="U13" s="3">
        <v>0</v>
      </c>
      <c r="V13" s="3">
        <v>0</v>
      </c>
      <c r="W13" s="721"/>
    </row>
    <row r="14" spans="1:23" ht="76.5">
      <c r="A14" s="592"/>
      <c r="B14" s="839"/>
      <c r="C14" s="14" t="s">
        <v>1260</v>
      </c>
      <c r="D14" s="14" t="s">
        <v>965</v>
      </c>
      <c r="E14" s="2">
        <v>0</v>
      </c>
      <c r="F14" s="2">
        <v>0</v>
      </c>
      <c r="G14" s="2">
        <v>0</v>
      </c>
      <c r="H14" s="2">
        <v>1</v>
      </c>
      <c r="I14" s="2">
        <v>1</v>
      </c>
      <c r="J14" s="10" t="s">
        <v>44</v>
      </c>
      <c r="K14" s="10" t="s">
        <v>45</v>
      </c>
      <c r="L14" s="10" t="s">
        <v>189</v>
      </c>
      <c r="M14" s="2">
        <v>0</v>
      </c>
      <c r="N14" s="2">
        <v>0</v>
      </c>
      <c r="O14" s="2">
        <v>0</v>
      </c>
      <c r="P14" s="2">
        <v>1</v>
      </c>
      <c r="Q14" s="2">
        <v>1</v>
      </c>
      <c r="R14" s="3">
        <f t="shared" si="0"/>
        <v>400000</v>
      </c>
      <c r="S14" s="3">
        <v>0</v>
      </c>
      <c r="T14" s="3">
        <v>0</v>
      </c>
      <c r="U14" s="3">
        <v>400000</v>
      </c>
      <c r="V14" s="3">
        <v>0</v>
      </c>
      <c r="W14" s="721"/>
    </row>
    <row r="15" spans="1:23" ht="33.75" customHeight="1">
      <c r="A15" s="592"/>
      <c r="B15" s="839"/>
      <c r="C15" s="549" t="s">
        <v>46</v>
      </c>
      <c r="D15" s="549" t="s">
        <v>47</v>
      </c>
      <c r="E15" s="549">
        <v>8</v>
      </c>
      <c r="F15" s="549">
        <v>14</v>
      </c>
      <c r="G15" s="549">
        <v>20</v>
      </c>
      <c r="H15" s="549">
        <v>26</v>
      </c>
      <c r="I15" s="549">
        <v>33</v>
      </c>
      <c r="J15" s="10" t="s">
        <v>48</v>
      </c>
      <c r="K15" s="10" t="s">
        <v>49</v>
      </c>
      <c r="L15" s="10" t="s">
        <v>189</v>
      </c>
      <c r="M15" s="2">
        <v>0</v>
      </c>
      <c r="N15" s="2">
        <v>0</v>
      </c>
      <c r="O15" s="2">
        <v>1</v>
      </c>
      <c r="P15" s="2">
        <v>1</v>
      </c>
      <c r="Q15" s="2">
        <v>1</v>
      </c>
      <c r="R15" s="3">
        <f t="shared" si="0"/>
        <v>60000</v>
      </c>
      <c r="S15" s="3">
        <v>0</v>
      </c>
      <c r="T15" s="3">
        <v>60000</v>
      </c>
      <c r="U15" s="3">
        <v>0</v>
      </c>
      <c r="V15" s="3">
        <v>0</v>
      </c>
      <c r="W15" s="721"/>
    </row>
    <row r="16" spans="1:23" ht="34.5" customHeight="1">
      <c r="A16" s="592"/>
      <c r="B16" s="839"/>
      <c r="C16" s="549"/>
      <c r="D16" s="549"/>
      <c r="E16" s="549"/>
      <c r="F16" s="549"/>
      <c r="G16" s="549"/>
      <c r="H16" s="549"/>
      <c r="I16" s="549"/>
      <c r="J16" s="10" t="s">
        <v>50</v>
      </c>
      <c r="K16" s="10" t="s">
        <v>51</v>
      </c>
      <c r="L16" s="10" t="s">
        <v>189</v>
      </c>
      <c r="M16" s="2">
        <v>0</v>
      </c>
      <c r="N16" s="2">
        <v>0</v>
      </c>
      <c r="O16" s="2">
        <v>500</v>
      </c>
      <c r="P16" s="3">
        <v>1100</v>
      </c>
      <c r="Q16" s="3">
        <v>2000</v>
      </c>
      <c r="R16" s="3">
        <f t="shared" si="0"/>
        <v>210000</v>
      </c>
      <c r="S16" s="3">
        <v>0</v>
      </c>
      <c r="T16" s="3">
        <v>60000</v>
      </c>
      <c r="U16" s="3">
        <v>70000</v>
      </c>
      <c r="V16" s="3">
        <v>80000</v>
      </c>
      <c r="W16" s="721"/>
    </row>
    <row r="17" spans="1:23" ht="31.5" customHeight="1">
      <c r="A17" s="592" t="s">
        <v>827</v>
      </c>
      <c r="B17" s="839">
        <f>2745000/R282*100%</f>
        <v>0.030720572000263447</v>
      </c>
      <c r="C17" s="549" t="s">
        <v>1281</v>
      </c>
      <c r="D17" s="549" t="s">
        <v>1282</v>
      </c>
      <c r="E17" s="846">
        <v>0.7</v>
      </c>
      <c r="F17" s="846">
        <v>0.7</v>
      </c>
      <c r="G17" s="846">
        <v>0.75</v>
      </c>
      <c r="H17" s="846">
        <v>0.8</v>
      </c>
      <c r="I17" s="846">
        <v>0.9</v>
      </c>
      <c r="J17" s="10" t="s">
        <v>966</v>
      </c>
      <c r="K17" s="78" t="s">
        <v>1284</v>
      </c>
      <c r="L17" s="78" t="s">
        <v>189</v>
      </c>
      <c r="M17" s="2">
        <v>0</v>
      </c>
      <c r="N17" s="2">
        <v>0</v>
      </c>
      <c r="O17" s="2">
        <v>100</v>
      </c>
      <c r="P17" s="2">
        <v>300</v>
      </c>
      <c r="Q17" s="2">
        <v>500</v>
      </c>
      <c r="R17" s="3">
        <f t="shared" si="0"/>
        <v>345000</v>
      </c>
      <c r="S17" s="3">
        <f>600000-(S19+S20+S21+S22)</f>
        <v>50000</v>
      </c>
      <c r="T17" s="3">
        <f>650000-(+T19+T20+T21+T22)</f>
        <v>50000</v>
      </c>
      <c r="U17" s="3">
        <f>745000-(U19+U20+U21+U22)</f>
        <v>95000</v>
      </c>
      <c r="V17" s="3">
        <f>750000-(+V19+V20+V21+V22)</f>
        <v>150000</v>
      </c>
      <c r="W17" s="721" t="s">
        <v>649</v>
      </c>
    </row>
    <row r="18" spans="1:23" ht="46.5" customHeight="1">
      <c r="A18" s="592"/>
      <c r="B18" s="839"/>
      <c r="C18" s="549"/>
      <c r="D18" s="549"/>
      <c r="E18" s="846"/>
      <c r="F18" s="846"/>
      <c r="G18" s="846"/>
      <c r="H18" s="846"/>
      <c r="I18" s="846"/>
      <c r="J18" s="14" t="s">
        <v>1285</v>
      </c>
      <c r="K18" s="14" t="s">
        <v>1286</v>
      </c>
      <c r="L18" s="14" t="s">
        <v>189</v>
      </c>
      <c r="M18" s="2">
        <v>0</v>
      </c>
      <c r="N18" s="2">
        <v>0</v>
      </c>
      <c r="O18" s="2">
        <v>0</v>
      </c>
      <c r="P18" s="2">
        <v>30</v>
      </c>
      <c r="Q18" s="2">
        <v>60</v>
      </c>
      <c r="R18" s="3">
        <f t="shared" si="0"/>
        <v>0</v>
      </c>
      <c r="S18" s="3">
        <v>0</v>
      </c>
      <c r="T18" s="3">
        <v>0</v>
      </c>
      <c r="U18" s="3">
        <v>0</v>
      </c>
      <c r="V18" s="3">
        <v>0</v>
      </c>
      <c r="W18" s="721"/>
    </row>
    <row r="19" spans="1:23" ht="63.75" customHeight="1">
      <c r="A19" s="592"/>
      <c r="B19" s="839"/>
      <c r="C19" s="549"/>
      <c r="D19" s="549"/>
      <c r="E19" s="846"/>
      <c r="F19" s="846"/>
      <c r="G19" s="846"/>
      <c r="H19" s="846"/>
      <c r="I19" s="846"/>
      <c r="J19" s="14" t="s">
        <v>1287</v>
      </c>
      <c r="K19" s="14" t="s">
        <v>1288</v>
      </c>
      <c r="L19" s="14" t="s">
        <v>189</v>
      </c>
      <c r="M19" s="2">
        <v>0</v>
      </c>
      <c r="N19" s="2">
        <v>0</v>
      </c>
      <c r="O19" s="2">
        <v>0</v>
      </c>
      <c r="P19" s="2">
        <v>1</v>
      </c>
      <c r="Q19" s="2">
        <v>1</v>
      </c>
      <c r="R19" s="3">
        <f t="shared" si="0"/>
        <v>700000</v>
      </c>
      <c r="S19" s="3">
        <v>150000</v>
      </c>
      <c r="T19" s="3">
        <v>150000</v>
      </c>
      <c r="U19" s="3">
        <v>300000</v>
      </c>
      <c r="V19" s="3">
        <v>100000</v>
      </c>
      <c r="W19" s="721"/>
    </row>
    <row r="20" spans="1:23" ht="46.5" customHeight="1">
      <c r="A20" s="592"/>
      <c r="B20" s="839"/>
      <c r="C20" s="549"/>
      <c r="D20" s="549"/>
      <c r="E20" s="846"/>
      <c r="F20" s="846"/>
      <c r="G20" s="846"/>
      <c r="H20" s="846"/>
      <c r="I20" s="846"/>
      <c r="J20" s="14" t="s">
        <v>967</v>
      </c>
      <c r="K20" s="14" t="s">
        <v>1290</v>
      </c>
      <c r="L20" s="14" t="s">
        <v>189</v>
      </c>
      <c r="M20" s="2">
        <v>1</v>
      </c>
      <c r="N20" s="2">
        <v>1</v>
      </c>
      <c r="O20" s="2">
        <v>1</v>
      </c>
      <c r="P20" s="2">
        <v>2</v>
      </c>
      <c r="Q20" s="2">
        <v>2</v>
      </c>
      <c r="R20" s="3">
        <f t="shared" si="0"/>
        <v>700000</v>
      </c>
      <c r="S20" s="3">
        <v>100000</v>
      </c>
      <c r="T20" s="3">
        <v>100000</v>
      </c>
      <c r="U20" s="3">
        <v>100000</v>
      </c>
      <c r="V20" s="3">
        <v>400000</v>
      </c>
      <c r="W20" s="721"/>
    </row>
    <row r="21" spans="1:23" ht="46.5" customHeight="1">
      <c r="A21" s="592"/>
      <c r="B21" s="839"/>
      <c r="C21" s="549"/>
      <c r="D21" s="549"/>
      <c r="E21" s="846"/>
      <c r="F21" s="846"/>
      <c r="G21" s="846"/>
      <c r="H21" s="846"/>
      <c r="I21" s="846"/>
      <c r="J21" s="14" t="s">
        <v>1291</v>
      </c>
      <c r="K21" s="14" t="s">
        <v>1292</v>
      </c>
      <c r="L21" s="14" t="s">
        <v>189</v>
      </c>
      <c r="M21" s="2">
        <v>0</v>
      </c>
      <c r="N21" s="2">
        <v>0</v>
      </c>
      <c r="O21" s="2">
        <v>0</v>
      </c>
      <c r="P21" s="2">
        <v>30</v>
      </c>
      <c r="Q21" s="2">
        <v>30</v>
      </c>
      <c r="R21" s="3">
        <f t="shared" si="0"/>
        <v>550000</v>
      </c>
      <c r="S21" s="3">
        <v>200000</v>
      </c>
      <c r="T21" s="3">
        <v>200000</v>
      </c>
      <c r="U21" s="3">
        <v>150000</v>
      </c>
      <c r="V21" s="3">
        <v>0</v>
      </c>
      <c r="W21" s="721"/>
    </row>
    <row r="22" spans="1:23" ht="34.5" customHeight="1">
      <c r="A22" s="592"/>
      <c r="B22" s="839"/>
      <c r="C22" s="549"/>
      <c r="D22" s="549"/>
      <c r="E22" s="846"/>
      <c r="F22" s="846"/>
      <c r="G22" s="846"/>
      <c r="H22" s="846"/>
      <c r="I22" s="846"/>
      <c r="J22" s="14" t="s">
        <v>1293</v>
      </c>
      <c r="K22" s="14" t="s">
        <v>1294</v>
      </c>
      <c r="L22" s="14" t="s">
        <v>189</v>
      </c>
      <c r="M22" s="2">
        <v>0</v>
      </c>
      <c r="N22" s="2">
        <v>0</v>
      </c>
      <c r="O22" s="2">
        <v>0</v>
      </c>
      <c r="P22" s="2">
        <v>0</v>
      </c>
      <c r="Q22" s="2">
        <v>1</v>
      </c>
      <c r="R22" s="3">
        <f t="shared" si="0"/>
        <v>450000</v>
      </c>
      <c r="S22" s="3">
        <v>100000</v>
      </c>
      <c r="T22" s="3">
        <v>150000</v>
      </c>
      <c r="U22" s="3">
        <v>100000</v>
      </c>
      <c r="V22" s="3">
        <v>100000</v>
      </c>
      <c r="W22" s="721"/>
    </row>
    <row r="23" spans="1:23" ht="51" customHeight="1">
      <c r="A23" s="592" t="s">
        <v>828</v>
      </c>
      <c r="B23" s="839">
        <f>8233000/R282*100%</f>
        <v>0.09213933307037121</v>
      </c>
      <c r="C23" s="549" t="s">
        <v>1296</v>
      </c>
      <c r="D23" s="549" t="s">
        <v>1297</v>
      </c>
      <c r="E23" s="570">
        <v>3</v>
      </c>
      <c r="F23" s="570">
        <v>3</v>
      </c>
      <c r="G23" s="570">
        <v>4</v>
      </c>
      <c r="H23" s="570">
        <v>5</v>
      </c>
      <c r="I23" s="570">
        <v>5</v>
      </c>
      <c r="J23" s="14" t="s">
        <v>1298</v>
      </c>
      <c r="K23" s="14" t="s">
        <v>1299</v>
      </c>
      <c r="L23" s="14" t="s">
        <v>189</v>
      </c>
      <c r="M23" s="2">
        <v>3</v>
      </c>
      <c r="N23" s="2">
        <v>3</v>
      </c>
      <c r="O23" s="2">
        <v>4</v>
      </c>
      <c r="P23" s="2">
        <v>5</v>
      </c>
      <c r="Q23" s="2">
        <v>5</v>
      </c>
      <c r="R23" s="3">
        <f t="shared" si="0"/>
        <v>2988000</v>
      </c>
      <c r="S23" s="3">
        <f>1968000-(+S24+S25+S26+S28+S29+S30+S31+S32+S33)-90000</f>
        <v>1533000</v>
      </c>
      <c r="T23" s="3">
        <f>2027000-(+T24+T25+T26+T28+T29+T30+T31+T32+T33)</f>
        <v>717000</v>
      </c>
      <c r="U23" s="3">
        <f>2088000-(U24+U25+U26+U28+U29+U30+U31+U32+U33)</f>
        <v>203000</v>
      </c>
      <c r="V23" s="3">
        <f>2150000-(+V24+V25+V26+V28+V29+V30+V31+V32+V33)</f>
        <v>535000</v>
      </c>
      <c r="W23" s="721" t="s">
        <v>829</v>
      </c>
    </row>
    <row r="24" spans="1:23" ht="34.5" customHeight="1">
      <c r="A24" s="592"/>
      <c r="B24" s="839"/>
      <c r="C24" s="549"/>
      <c r="D24" s="549"/>
      <c r="E24" s="570"/>
      <c r="F24" s="570"/>
      <c r="G24" s="570"/>
      <c r="H24" s="570"/>
      <c r="I24" s="570"/>
      <c r="J24" s="14" t="s">
        <v>1301</v>
      </c>
      <c r="K24" s="14" t="s">
        <v>1302</v>
      </c>
      <c r="L24" s="14" t="s">
        <v>189</v>
      </c>
      <c r="M24" s="2">
        <v>3</v>
      </c>
      <c r="N24" s="2">
        <v>3</v>
      </c>
      <c r="O24" s="2">
        <v>4</v>
      </c>
      <c r="P24" s="2">
        <v>5</v>
      </c>
      <c r="Q24" s="2">
        <v>5</v>
      </c>
      <c r="R24" s="3">
        <f t="shared" si="0"/>
        <v>550000</v>
      </c>
      <c r="S24" s="3">
        <v>100000</v>
      </c>
      <c r="T24" s="3">
        <v>100000</v>
      </c>
      <c r="U24" s="3">
        <v>150000</v>
      </c>
      <c r="V24" s="3">
        <v>200000</v>
      </c>
      <c r="W24" s="721"/>
    </row>
    <row r="25" spans="1:23" ht="37.5" customHeight="1">
      <c r="A25" s="592"/>
      <c r="B25" s="839"/>
      <c r="C25" s="14" t="s">
        <v>1303</v>
      </c>
      <c r="D25" s="14" t="s">
        <v>1304</v>
      </c>
      <c r="E25" s="2">
        <v>72</v>
      </c>
      <c r="F25" s="2">
        <v>75</v>
      </c>
      <c r="G25" s="2">
        <v>85</v>
      </c>
      <c r="H25" s="2">
        <v>100</v>
      </c>
      <c r="I25" s="2">
        <v>114</v>
      </c>
      <c r="J25" s="2" t="s">
        <v>1305</v>
      </c>
      <c r="K25" s="10" t="s">
        <v>1306</v>
      </c>
      <c r="L25" s="10" t="s">
        <v>189</v>
      </c>
      <c r="M25" s="2">
        <v>72</v>
      </c>
      <c r="N25" s="2">
        <v>75</v>
      </c>
      <c r="O25" s="2">
        <v>85</v>
      </c>
      <c r="P25" s="2">
        <v>100</v>
      </c>
      <c r="Q25" s="2">
        <v>114</v>
      </c>
      <c r="R25" s="3">
        <f t="shared" si="0"/>
        <v>1080000</v>
      </c>
      <c r="S25" s="3">
        <v>110000</v>
      </c>
      <c r="T25" s="3">
        <v>250000</v>
      </c>
      <c r="U25" s="3">
        <v>320000</v>
      </c>
      <c r="V25" s="3">
        <v>400000</v>
      </c>
      <c r="W25" s="721"/>
    </row>
    <row r="26" spans="1:23" ht="51.75" customHeight="1">
      <c r="A26" s="592"/>
      <c r="B26" s="839"/>
      <c r="C26" s="549" t="s">
        <v>1307</v>
      </c>
      <c r="D26" s="549" t="s">
        <v>1308</v>
      </c>
      <c r="E26" s="570">
        <v>10</v>
      </c>
      <c r="F26" s="570">
        <v>10</v>
      </c>
      <c r="G26" s="570">
        <v>11</v>
      </c>
      <c r="H26" s="570">
        <v>12</v>
      </c>
      <c r="I26" s="570">
        <v>13</v>
      </c>
      <c r="J26" s="2" t="s">
        <v>1309</v>
      </c>
      <c r="K26" s="10" t="s">
        <v>2773</v>
      </c>
      <c r="L26" s="10" t="s">
        <v>189</v>
      </c>
      <c r="M26" s="2">
        <v>10</v>
      </c>
      <c r="N26" s="2">
        <v>0</v>
      </c>
      <c r="O26" s="2">
        <v>11</v>
      </c>
      <c r="P26" s="2">
        <v>12</v>
      </c>
      <c r="Q26" s="2">
        <v>13</v>
      </c>
      <c r="R26" s="3">
        <f t="shared" si="0"/>
        <v>950000</v>
      </c>
      <c r="S26" s="3">
        <v>0</v>
      </c>
      <c r="T26" s="3">
        <v>300000</v>
      </c>
      <c r="U26" s="3">
        <v>350000</v>
      </c>
      <c r="V26" s="3">
        <v>300000</v>
      </c>
      <c r="W26" s="721"/>
    </row>
    <row r="27" spans="1:23" ht="57.75" customHeight="1">
      <c r="A27" s="592"/>
      <c r="B27" s="839"/>
      <c r="C27" s="549"/>
      <c r="D27" s="549"/>
      <c r="E27" s="570"/>
      <c r="F27" s="570"/>
      <c r="G27" s="570"/>
      <c r="H27" s="570"/>
      <c r="I27" s="570"/>
      <c r="J27" s="2" t="s">
        <v>1311</v>
      </c>
      <c r="K27" s="10" t="s">
        <v>968</v>
      </c>
      <c r="L27" s="10" t="s">
        <v>189</v>
      </c>
      <c r="M27" s="2">
        <v>1</v>
      </c>
      <c r="N27" s="2">
        <v>2</v>
      </c>
      <c r="O27" s="2">
        <v>2</v>
      </c>
      <c r="P27" s="2">
        <v>2</v>
      </c>
      <c r="Q27" s="2">
        <v>2</v>
      </c>
      <c r="R27" s="3">
        <f t="shared" si="0"/>
        <v>90000</v>
      </c>
      <c r="S27" s="3">
        <v>90000</v>
      </c>
      <c r="T27" s="3">
        <v>0</v>
      </c>
      <c r="U27" s="3">
        <v>0</v>
      </c>
      <c r="V27" s="3">
        <v>0</v>
      </c>
      <c r="W27" s="721"/>
    </row>
    <row r="28" spans="1:23" ht="60.75" customHeight="1">
      <c r="A28" s="592"/>
      <c r="B28" s="839"/>
      <c r="C28" s="14" t="s">
        <v>310</v>
      </c>
      <c r="D28" s="14" t="s">
        <v>1314</v>
      </c>
      <c r="E28" s="2">
        <v>3</v>
      </c>
      <c r="F28" s="2">
        <v>3</v>
      </c>
      <c r="G28" s="2">
        <v>4</v>
      </c>
      <c r="H28" s="2">
        <v>6</v>
      </c>
      <c r="I28" s="2">
        <v>7</v>
      </c>
      <c r="J28" s="2" t="s">
        <v>1315</v>
      </c>
      <c r="K28" s="10" t="s">
        <v>1316</v>
      </c>
      <c r="L28" s="10" t="s">
        <v>189</v>
      </c>
      <c r="M28" s="107">
        <v>3</v>
      </c>
      <c r="N28" s="2">
        <v>3</v>
      </c>
      <c r="O28" s="2">
        <v>4</v>
      </c>
      <c r="P28" s="2">
        <v>6</v>
      </c>
      <c r="Q28" s="2">
        <v>7</v>
      </c>
      <c r="R28" s="3">
        <f t="shared" si="0"/>
        <v>1900000</v>
      </c>
      <c r="S28" s="3">
        <v>0</v>
      </c>
      <c r="T28" s="3">
        <v>500000</v>
      </c>
      <c r="U28" s="3">
        <v>900000</v>
      </c>
      <c r="V28" s="3">
        <v>500000</v>
      </c>
      <c r="W28" s="721"/>
    </row>
    <row r="29" spans="1:23" ht="42.75" customHeight="1">
      <c r="A29" s="592"/>
      <c r="B29" s="839"/>
      <c r="C29" s="549" t="s">
        <v>311</v>
      </c>
      <c r="D29" s="549" t="s">
        <v>1319</v>
      </c>
      <c r="E29" s="570">
        <v>2500</v>
      </c>
      <c r="F29" s="570">
        <v>2650</v>
      </c>
      <c r="G29" s="570">
        <v>2800</v>
      </c>
      <c r="H29" s="570">
        <v>2950</v>
      </c>
      <c r="I29" s="570">
        <v>3100</v>
      </c>
      <c r="J29" s="14" t="s">
        <v>1320</v>
      </c>
      <c r="K29" s="14" t="s">
        <v>1321</v>
      </c>
      <c r="L29" s="14" t="s">
        <v>189</v>
      </c>
      <c r="M29" s="2">
        <v>1300</v>
      </c>
      <c r="N29" s="2">
        <v>1350</v>
      </c>
      <c r="O29" s="2">
        <v>1400</v>
      </c>
      <c r="P29" s="2">
        <v>1450</v>
      </c>
      <c r="Q29" s="2">
        <v>1500</v>
      </c>
      <c r="R29" s="3">
        <f t="shared" si="0"/>
        <v>80000</v>
      </c>
      <c r="S29" s="3">
        <v>15000</v>
      </c>
      <c r="T29" s="3">
        <v>20000</v>
      </c>
      <c r="U29" s="3">
        <v>20000</v>
      </c>
      <c r="V29" s="3">
        <v>25000</v>
      </c>
      <c r="W29" s="721"/>
    </row>
    <row r="30" spans="1:23" ht="34.5" customHeight="1">
      <c r="A30" s="592"/>
      <c r="B30" s="839"/>
      <c r="C30" s="549"/>
      <c r="D30" s="549"/>
      <c r="E30" s="570"/>
      <c r="F30" s="570"/>
      <c r="G30" s="570"/>
      <c r="H30" s="570"/>
      <c r="I30" s="570"/>
      <c r="J30" s="14" t="s">
        <v>1322</v>
      </c>
      <c r="K30" s="14" t="s">
        <v>1323</v>
      </c>
      <c r="L30" s="14" t="s">
        <v>189</v>
      </c>
      <c r="M30" s="2">
        <v>1200</v>
      </c>
      <c r="N30" s="2">
        <v>1300</v>
      </c>
      <c r="O30" s="2">
        <v>1400</v>
      </c>
      <c r="P30" s="2">
        <v>1500</v>
      </c>
      <c r="Q30" s="2">
        <v>1600</v>
      </c>
      <c r="R30" s="3">
        <f t="shared" si="0"/>
        <v>135000</v>
      </c>
      <c r="S30" s="3">
        <v>30000</v>
      </c>
      <c r="T30" s="3">
        <v>30000</v>
      </c>
      <c r="U30" s="3">
        <v>35000</v>
      </c>
      <c r="V30" s="3">
        <v>40000</v>
      </c>
      <c r="W30" s="721"/>
    </row>
    <row r="31" spans="1:23" ht="57.75" customHeight="1">
      <c r="A31" s="592"/>
      <c r="B31" s="839"/>
      <c r="C31" s="549"/>
      <c r="D31" s="549"/>
      <c r="E31" s="570"/>
      <c r="F31" s="570"/>
      <c r="G31" s="570"/>
      <c r="H31" s="570"/>
      <c r="I31" s="570"/>
      <c r="J31" s="14" t="s">
        <v>312</v>
      </c>
      <c r="K31" s="14" t="s">
        <v>1325</v>
      </c>
      <c r="L31" s="14" t="s">
        <v>189</v>
      </c>
      <c r="M31" s="2">
        <v>300</v>
      </c>
      <c r="N31" s="2">
        <v>320</v>
      </c>
      <c r="O31" s="2">
        <v>340</v>
      </c>
      <c r="P31" s="2">
        <v>380</v>
      </c>
      <c r="Q31" s="2">
        <v>400</v>
      </c>
      <c r="R31" s="3">
        <f t="shared" si="0"/>
        <v>210000</v>
      </c>
      <c r="S31" s="3">
        <v>30000</v>
      </c>
      <c r="T31" s="3">
        <v>50000</v>
      </c>
      <c r="U31" s="3">
        <v>50000</v>
      </c>
      <c r="V31" s="3">
        <v>80000</v>
      </c>
      <c r="W31" s="721"/>
    </row>
    <row r="32" spans="1:23" ht="46.5" customHeight="1">
      <c r="A32" s="592"/>
      <c r="B32" s="839"/>
      <c r="C32" s="14" t="s">
        <v>313</v>
      </c>
      <c r="D32" s="14" t="s">
        <v>1327</v>
      </c>
      <c r="E32" s="2">
        <v>4</v>
      </c>
      <c r="F32" s="2">
        <v>5</v>
      </c>
      <c r="G32" s="2">
        <v>6</v>
      </c>
      <c r="H32" s="2">
        <v>7</v>
      </c>
      <c r="I32" s="2">
        <v>8</v>
      </c>
      <c r="J32" s="2" t="s">
        <v>1328</v>
      </c>
      <c r="K32" s="10" t="s">
        <v>1329</v>
      </c>
      <c r="L32" s="10" t="s">
        <v>189</v>
      </c>
      <c r="M32" s="2">
        <v>4</v>
      </c>
      <c r="N32" s="323">
        <v>5</v>
      </c>
      <c r="O32" s="323">
        <v>6</v>
      </c>
      <c r="P32" s="323">
        <v>7</v>
      </c>
      <c r="Q32" s="323">
        <v>8</v>
      </c>
      <c r="R32" s="3">
        <f t="shared" si="0"/>
        <v>40000</v>
      </c>
      <c r="S32" s="3">
        <v>10000</v>
      </c>
      <c r="T32" s="3">
        <v>10000</v>
      </c>
      <c r="U32" s="3">
        <v>10000</v>
      </c>
      <c r="V32" s="3">
        <v>10000</v>
      </c>
      <c r="W32" s="721"/>
    </row>
    <row r="33" spans="1:23" ht="48.75" customHeight="1">
      <c r="A33" s="592"/>
      <c r="B33" s="839"/>
      <c r="C33" s="14" t="s">
        <v>314</v>
      </c>
      <c r="D33" s="14" t="s">
        <v>1331</v>
      </c>
      <c r="E33" s="2">
        <v>0</v>
      </c>
      <c r="F33" s="2">
        <v>1</v>
      </c>
      <c r="G33" s="2">
        <v>1</v>
      </c>
      <c r="H33" s="2">
        <v>1</v>
      </c>
      <c r="I33" s="2">
        <v>1</v>
      </c>
      <c r="J33" s="2" t="s">
        <v>1332</v>
      </c>
      <c r="K33" s="10" t="s">
        <v>1333</v>
      </c>
      <c r="L33" s="10" t="s">
        <v>189</v>
      </c>
      <c r="M33" s="2">
        <v>0</v>
      </c>
      <c r="N33" s="2">
        <v>1</v>
      </c>
      <c r="O33" s="2">
        <v>1</v>
      </c>
      <c r="P33" s="2">
        <v>1</v>
      </c>
      <c r="Q33" s="2">
        <v>1</v>
      </c>
      <c r="R33" s="3">
        <f t="shared" si="0"/>
        <v>210000</v>
      </c>
      <c r="S33" s="3">
        <v>50000</v>
      </c>
      <c r="T33" s="3">
        <v>50000</v>
      </c>
      <c r="U33" s="3">
        <v>50000</v>
      </c>
      <c r="V33" s="3">
        <v>60000</v>
      </c>
      <c r="W33" s="721"/>
    </row>
    <row r="34" spans="1:23" ht="31.5" customHeight="1">
      <c r="A34" s="592" t="s">
        <v>830</v>
      </c>
      <c r="B34" s="839">
        <f>13257865/R282*100%</f>
        <v>0.14837493490064582</v>
      </c>
      <c r="C34" s="549" t="s">
        <v>1335</v>
      </c>
      <c r="D34" s="549" t="s">
        <v>1336</v>
      </c>
      <c r="E34" s="596">
        <v>4000</v>
      </c>
      <c r="F34" s="596">
        <v>3500</v>
      </c>
      <c r="G34" s="596">
        <v>3000</v>
      </c>
      <c r="H34" s="596">
        <v>2500</v>
      </c>
      <c r="I34" s="596">
        <v>2000</v>
      </c>
      <c r="J34" s="195" t="s">
        <v>1337</v>
      </c>
      <c r="K34" s="14" t="s">
        <v>2388</v>
      </c>
      <c r="L34" s="14" t="s">
        <v>189</v>
      </c>
      <c r="M34" s="2" t="s">
        <v>2978</v>
      </c>
      <c r="N34" s="307">
        <v>15000</v>
      </c>
      <c r="O34" s="307">
        <v>30000</v>
      </c>
      <c r="P34" s="307">
        <v>45000</v>
      </c>
      <c r="Q34" s="307">
        <v>60000</v>
      </c>
      <c r="R34" s="3">
        <f>+S34+T34+U34+V34</f>
        <v>1140000</v>
      </c>
      <c r="S34" s="3">
        <f>18*15000</f>
        <v>270000</v>
      </c>
      <c r="T34" s="3">
        <v>280000</v>
      </c>
      <c r="U34" s="3">
        <v>290000</v>
      </c>
      <c r="V34" s="3">
        <v>300000</v>
      </c>
      <c r="W34" s="721" t="s">
        <v>413</v>
      </c>
    </row>
    <row r="35" spans="1:23" ht="40.5" customHeight="1">
      <c r="A35" s="592"/>
      <c r="B35" s="839"/>
      <c r="C35" s="549"/>
      <c r="D35" s="549"/>
      <c r="E35" s="596"/>
      <c r="F35" s="596"/>
      <c r="G35" s="596"/>
      <c r="H35" s="596"/>
      <c r="I35" s="596"/>
      <c r="J35" s="195" t="s">
        <v>1338</v>
      </c>
      <c r="K35" s="14" t="s">
        <v>1339</v>
      </c>
      <c r="L35" s="14" t="s">
        <v>189</v>
      </c>
      <c r="M35" s="2" t="s">
        <v>2978</v>
      </c>
      <c r="N35" s="307">
        <v>25000</v>
      </c>
      <c r="O35" s="307">
        <v>50000</v>
      </c>
      <c r="P35" s="307">
        <v>75000</v>
      </c>
      <c r="Q35" s="307">
        <v>100000</v>
      </c>
      <c r="R35" s="3">
        <f>+S35+T35+U35+V35</f>
        <v>158000</v>
      </c>
      <c r="S35" s="3">
        <v>38000</v>
      </c>
      <c r="T35" s="3">
        <v>39000</v>
      </c>
      <c r="U35" s="3">
        <v>40000</v>
      </c>
      <c r="V35" s="3">
        <v>41000</v>
      </c>
      <c r="W35" s="721"/>
    </row>
    <row r="36" spans="1:23" ht="33" customHeight="1">
      <c r="A36" s="592"/>
      <c r="B36" s="839"/>
      <c r="C36" s="549"/>
      <c r="D36" s="549"/>
      <c r="E36" s="596"/>
      <c r="F36" s="596"/>
      <c r="G36" s="596"/>
      <c r="H36" s="596"/>
      <c r="I36" s="596"/>
      <c r="J36" s="195" t="s">
        <v>1340</v>
      </c>
      <c r="K36" s="14" t="s">
        <v>315</v>
      </c>
      <c r="L36" s="14" t="s">
        <v>189</v>
      </c>
      <c r="M36" s="2" t="s">
        <v>2978</v>
      </c>
      <c r="N36" s="307">
        <v>300</v>
      </c>
      <c r="O36" s="307">
        <v>600</v>
      </c>
      <c r="P36" s="307">
        <v>900</v>
      </c>
      <c r="Q36" s="307">
        <v>1200</v>
      </c>
      <c r="R36" s="3">
        <f>+S36+T36+U36+V36</f>
        <v>252000</v>
      </c>
      <c r="S36" s="3">
        <f>200*300</f>
        <v>60000</v>
      </c>
      <c r="T36" s="3">
        <v>62000</v>
      </c>
      <c r="U36" s="3">
        <v>64000</v>
      </c>
      <c r="V36" s="3">
        <v>66000</v>
      </c>
      <c r="W36" s="721"/>
    </row>
    <row r="37" spans="1:23" ht="69.75" customHeight="1">
      <c r="A37" s="592"/>
      <c r="B37" s="839"/>
      <c r="C37" s="549"/>
      <c r="D37" s="549"/>
      <c r="E37" s="596"/>
      <c r="F37" s="596"/>
      <c r="G37" s="596"/>
      <c r="H37" s="596"/>
      <c r="I37" s="596"/>
      <c r="J37" s="195" t="s">
        <v>1342</v>
      </c>
      <c r="K37" s="14" t="s">
        <v>1343</v>
      </c>
      <c r="L37" s="14" t="s">
        <v>189</v>
      </c>
      <c r="M37" s="2" t="s">
        <v>2978</v>
      </c>
      <c r="N37" s="308">
        <v>10</v>
      </c>
      <c r="O37" s="308">
        <v>30</v>
      </c>
      <c r="P37" s="308">
        <v>60</v>
      </c>
      <c r="Q37" s="308">
        <v>100</v>
      </c>
      <c r="R37" s="3">
        <f>+S37+T37+U37+V37</f>
        <v>280000</v>
      </c>
      <c r="S37" s="3">
        <v>40000</v>
      </c>
      <c r="T37" s="3">
        <v>60000</v>
      </c>
      <c r="U37" s="3">
        <v>80000</v>
      </c>
      <c r="V37" s="3">
        <v>100000</v>
      </c>
      <c r="W37" s="721"/>
    </row>
    <row r="38" spans="1:23" ht="51" customHeight="1">
      <c r="A38" s="592"/>
      <c r="B38" s="839"/>
      <c r="C38" s="549" t="s">
        <v>1344</v>
      </c>
      <c r="D38" s="549" t="s">
        <v>1345</v>
      </c>
      <c r="E38" s="570">
        <v>80</v>
      </c>
      <c r="F38" s="570">
        <v>70</v>
      </c>
      <c r="G38" s="570">
        <v>60</v>
      </c>
      <c r="H38" s="570">
        <v>50</v>
      </c>
      <c r="I38" s="570">
        <v>40</v>
      </c>
      <c r="J38" s="195" t="s">
        <v>1346</v>
      </c>
      <c r="K38" s="14" t="s">
        <v>2389</v>
      </c>
      <c r="L38" s="14" t="s">
        <v>189</v>
      </c>
      <c r="M38" s="2" t="s">
        <v>2978</v>
      </c>
      <c r="N38" s="2">
        <v>100</v>
      </c>
      <c r="O38" s="2">
        <v>200</v>
      </c>
      <c r="P38" s="2">
        <v>300</v>
      </c>
      <c r="Q38" s="2">
        <v>400</v>
      </c>
      <c r="R38" s="3">
        <v>0</v>
      </c>
      <c r="S38" s="3">
        <v>0</v>
      </c>
      <c r="T38" s="3">
        <v>0</v>
      </c>
      <c r="U38" s="3">
        <v>0</v>
      </c>
      <c r="V38" s="3">
        <v>0</v>
      </c>
      <c r="W38" s="721"/>
    </row>
    <row r="39" spans="1:23" ht="51.75" customHeight="1">
      <c r="A39" s="592"/>
      <c r="B39" s="839"/>
      <c r="C39" s="549"/>
      <c r="D39" s="549"/>
      <c r="E39" s="570"/>
      <c r="F39" s="570"/>
      <c r="G39" s="570"/>
      <c r="H39" s="570"/>
      <c r="I39" s="570"/>
      <c r="J39" s="4" t="s">
        <v>1347</v>
      </c>
      <c r="K39" s="14" t="s">
        <v>2391</v>
      </c>
      <c r="L39" s="14" t="s">
        <v>189</v>
      </c>
      <c r="M39" s="2" t="s">
        <v>2978</v>
      </c>
      <c r="N39" s="2">
        <v>1</v>
      </c>
      <c r="O39" s="2">
        <v>2</v>
      </c>
      <c r="P39" s="2">
        <v>3</v>
      </c>
      <c r="Q39" s="2">
        <v>4</v>
      </c>
      <c r="R39" s="3">
        <f>+S39+T39+U39+V39</f>
        <v>4920000</v>
      </c>
      <c r="S39" s="3">
        <v>1200000</v>
      </c>
      <c r="T39" s="3">
        <v>1220000</v>
      </c>
      <c r="U39" s="3">
        <v>1240000</v>
      </c>
      <c r="V39" s="3">
        <v>1260000</v>
      </c>
      <c r="W39" s="721"/>
    </row>
    <row r="40" spans="1:23" ht="70.5" customHeight="1">
      <c r="A40" s="592"/>
      <c r="B40" s="839"/>
      <c r="C40" s="549"/>
      <c r="D40" s="549"/>
      <c r="E40" s="570"/>
      <c r="F40" s="570"/>
      <c r="G40" s="570"/>
      <c r="H40" s="570"/>
      <c r="I40" s="570"/>
      <c r="J40" s="195" t="s">
        <v>1348</v>
      </c>
      <c r="K40" s="14" t="s">
        <v>2392</v>
      </c>
      <c r="L40" s="14" t="s">
        <v>189</v>
      </c>
      <c r="M40" s="2" t="s">
        <v>2978</v>
      </c>
      <c r="N40" s="2">
        <v>5</v>
      </c>
      <c r="O40" s="2">
        <v>10</v>
      </c>
      <c r="P40" s="2">
        <v>15</v>
      </c>
      <c r="Q40" s="2">
        <v>20</v>
      </c>
      <c r="R40" s="3">
        <f>+S40+T40+U40+V40</f>
        <v>1260000</v>
      </c>
      <c r="S40" s="3">
        <v>300000</v>
      </c>
      <c r="T40" s="3">
        <v>310000</v>
      </c>
      <c r="U40" s="3">
        <v>320000</v>
      </c>
      <c r="V40" s="3">
        <v>330000</v>
      </c>
      <c r="W40" s="721"/>
    </row>
    <row r="41" spans="1:23" ht="70.5" customHeight="1">
      <c r="A41" s="592"/>
      <c r="B41" s="839"/>
      <c r="C41" s="549" t="s">
        <v>1349</v>
      </c>
      <c r="D41" s="549" t="s">
        <v>2339</v>
      </c>
      <c r="E41" s="833">
        <v>0.32</v>
      </c>
      <c r="F41" s="833">
        <v>0.4</v>
      </c>
      <c r="G41" s="833">
        <v>0.6</v>
      </c>
      <c r="H41" s="833">
        <v>0.8</v>
      </c>
      <c r="I41" s="833">
        <v>1</v>
      </c>
      <c r="J41" s="195" t="s">
        <v>2393</v>
      </c>
      <c r="K41" s="14" t="s">
        <v>316</v>
      </c>
      <c r="L41" s="14" t="s">
        <v>189</v>
      </c>
      <c r="M41" s="2">
        <v>0</v>
      </c>
      <c r="N41" s="2">
        <v>0</v>
      </c>
      <c r="O41" s="2">
        <v>1</v>
      </c>
      <c r="P41" s="2">
        <v>1</v>
      </c>
      <c r="Q41" s="2">
        <v>1</v>
      </c>
      <c r="R41" s="3">
        <v>0</v>
      </c>
      <c r="S41" s="3">
        <v>0</v>
      </c>
      <c r="T41" s="3">
        <v>0</v>
      </c>
      <c r="U41" s="3">
        <v>0</v>
      </c>
      <c r="V41" s="3">
        <v>0</v>
      </c>
      <c r="W41" s="721"/>
    </row>
    <row r="42" spans="1:23" ht="38.25">
      <c r="A42" s="592"/>
      <c r="B42" s="839"/>
      <c r="C42" s="549"/>
      <c r="D42" s="549"/>
      <c r="E42" s="833"/>
      <c r="F42" s="833"/>
      <c r="G42" s="833"/>
      <c r="H42" s="833"/>
      <c r="I42" s="833"/>
      <c r="J42" s="14" t="s">
        <v>2395</v>
      </c>
      <c r="K42" s="14" t="s">
        <v>2396</v>
      </c>
      <c r="L42" s="14" t="s">
        <v>189</v>
      </c>
      <c r="M42" s="2" t="s">
        <v>2978</v>
      </c>
      <c r="N42" s="2">
        <v>15</v>
      </c>
      <c r="O42" s="2">
        <v>30</v>
      </c>
      <c r="P42" s="2">
        <v>45</v>
      </c>
      <c r="Q42" s="2">
        <v>60</v>
      </c>
      <c r="R42" s="3">
        <f aca="true" t="shared" si="1" ref="R42:R105">+S42+T42+U42+V42</f>
        <v>1200000</v>
      </c>
      <c r="S42" s="3">
        <v>300000</v>
      </c>
      <c r="T42" s="3">
        <v>300000</v>
      </c>
      <c r="U42" s="3">
        <v>300000</v>
      </c>
      <c r="V42" s="3">
        <v>300000</v>
      </c>
      <c r="W42" s="721"/>
    </row>
    <row r="43" spans="1:23" ht="42.75" customHeight="1">
      <c r="A43" s="592"/>
      <c r="B43" s="839"/>
      <c r="C43" s="549"/>
      <c r="D43" s="549"/>
      <c r="E43" s="833"/>
      <c r="F43" s="833"/>
      <c r="G43" s="833"/>
      <c r="H43" s="833"/>
      <c r="I43" s="833"/>
      <c r="J43" s="14" t="s">
        <v>2340</v>
      </c>
      <c r="K43" s="14" t="s">
        <v>2341</v>
      </c>
      <c r="L43" s="14" t="s">
        <v>189</v>
      </c>
      <c r="M43" s="2">
        <v>6</v>
      </c>
      <c r="N43" s="2">
        <v>12</v>
      </c>
      <c r="O43" s="2">
        <v>18</v>
      </c>
      <c r="P43" s="2">
        <v>25</v>
      </c>
      <c r="Q43" s="2">
        <v>31</v>
      </c>
      <c r="R43" s="3">
        <f t="shared" si="1"/>
        <v>623000</v>
      </c>
      <c r="S43" s="199">
        <v>143000</v>
      </c>
      <c r="T43" s="199">
        <v>160000</v>
      </c>
      <c r="U43" s="199">
        <v>160000</v>
      </c>
      <c r="V43" s="199">
        <v>160000</v>
      </c>
      <c r="W43" s="721" t="s">
        <v>1887</v>
      </c>
    </row>
    <row r="44" spans="1:23" ht="33" customHeight="1">
      <c r="A44" s="592"/>
      <c r="B44" s="839"/>
      <c r="C44" s="549"/>
      <c r="D44" s="549"/>
      <c r="E44" s="833"/>
      <c r="F44" s="833"/>
      <c r="G44" s="833"/>
      <c r="H44" s="833"/>
      <c r="I44" s="833"/>
      <c r="J44" s="14" t="s">
        <v>317</v>
      </c>
      <c r="K44" s="14" t="s">
        <v>2343</v>
      </c>
      <c r="L44" s="14" t="s">
        <v>189</v>
      </c>
      <c r="M44" s="3">
        <v>312</v>
      </c>
      <c r="N44" s="3">
        <v>395</v>
      </c>
      <c r="O44" s="3">
        <v>478</v>
      </c>
      <c r="P44" s="3">
        <v>561</v>
      </c>
      <c r="Q44" s="3">
        <v>644</v>
      </c>
      <c r="R44" s="3">
        <f t="shared" si="1"/>
        <v>480000</v>
      </c>
      <c r="S44" s="199">
        <v>120000</v>
      </c>
      <c r="T44" s="199">
        <v>120000</v>
      </c>
      <c r="U44" s="199">
        <v>120000</v>
      </c>
      <c r="V44" s="199">
        <v>120000</v>
      </c>
      <c r="W44" s="721"/>
    </row>
    <row r="45" spans="1:23" ht="33" customHeight="1">
      <c r="A45" s="592"/>
      <c r="B45" s="839"/>
      <c r="C45" s="549" t="s">
        <v>2344</v>
      </c>
      <c r="D45" s="549" t="s">
        <v>2345</v>
      </c>
      <c r="E45" s="570">
        <v>0</v>
      </c>
      <c r="F45" s="570">
        <v>0</v>
      </c>
      <c r="G45" s="570">
        <v>1</v>
      </c>
      <c r="H45" s="570">
        <v>1</v>
      </c>
      <c r="I45" s="570">
        <v>1</v>
      </c>
      <c r="J45" s="14" t="s">
        <v>831</v>
      </c>
      <c r="K45" s="14" t="s">
        <v>1757</v>
      </c>
      <c r="L45" s="14" t="s">
        <v>189</v>
      </c>
      <c r="M45" s="309">
        <v>0</v>
      </c>
      <c r="N45" s="309">
        <v>0</v>
      </c>
      <c r="O45" s="309">
        <v>1</v>
      </c>
      <c r="P45" s="309">
        <v>1</v>
      </c>
      <c r="Q45" s="309">
        <v>1</v>
      </c>
      <c r="R45" s="3">
        <f t="shared" si="1"/>
        <v>250000</v>
      </c>
      <c r="S45" s="199">
        <v>0</v>
      </c>
      <c r="T45" s="199">
        <v>250000</v>
      </c>
      <c r="U45" s="199">
        <v>0</v>
      </c>
      <c r="V45" s="199">
        <v>0</v>
      </c>
      <c r="W45" s="721" t="s">
        <v>1887</v>
      </c>
    </row>
    <row r="46" spans="1:23" ht="28.5" customHeight="1">
      <c r="A46" s="592"/>
      <c r="B46" s="839"/>
      <c r="C46" s="549"/>
      <c r="D46" s="549"/>
      <c r="E46" s="570"/>
      <c r="F46" s="570"/>
      <c r="G46" s="570"/>
      <c r="H46" s="570"/>
      <c r="I46" s="570"/>
      <c r="J46" s="14" t="s">
        <v>2400</v>
      </c>
      <c r="K46" s="14" t="s">
        <v>2401</v>
      </c>
      <c r="L46" s="14" t="s">
        <v>189</v>
      </c>
      <c r="M46" s="3">
        <v>26</v>
      </c>
      <c r="N46" s="3">
        <v>31</v>
      </c>
      <c r="O46" s="3">
        <v>36</v>
      </c>
      <c r="P46" s="3">
        <v>41</v>
      </c>
      <c r="Q46" s="3">
        <v>46</v>
      </c>
      <c r="R46" s="3">
        <f>+S46+T46+U46+V46</f>
        <v>800000</v>
      </c>
      <c r="S46" s="199">
        <v>200000</v>
      </c>
      <c r="T46" s="199">
        <v>200000</v>
      </c>
      <c r="U46" s="199">
        <v>200000</v>
      </c>
      <c r="V46" s="199">
        <v>200000</v>
      </c>
      <c r="W46" s="721"/>
    </row>
    <row r="47" spans="1:23" ht="33" customHeight="1">
      <c r="A47" s="592"/>
      <c r="B47" s="839"/>
      <c r="C47" s="549"/>
      <c r="D47" s="549"/>
      <c r="E47" s="570"/>
      <c r="F47" s="570"/>
      <c r="G47" s="570"/>
      <c r="H47" s="570"/>
      <c r="I47" s="570"/>
      <c r="J47" s="14" t="s">
        <v>2403</v>
      </c>
      <c r="K47" s="14" t="s">
        <v>2346</v>
      </c>
      <c r="L47" s="14" t="s">
        <v>189</v>
      </c>
      <c r="M47" s="3">
        <v>41359</v>
      </c>
      <c r="N47" s="3">
        <v>52359</v>
      </c>
      <c r="O47" s="3">
        <v>63359</v>
      </c>
      <c r="P47" s="3">
        <v>74359</v>
      </c>
      <c r="Q47" s="3">
        <v>85359</v>
      </c>
      <c r="R47" s="3">
        <v>0</v>
      </c>
      <c r="S47" s="199">
        <v>0</v>
      </c>
      <c r="T47" s="199">
        <v>0</v>
      </c>
      <c r="U47" s="199">
        <v>0</v>
      </c>
      <c r="V47" s="199">
        <v>0</v>
      </c>
      <c r="W47" s="721"/>
    </row>
    <row r="48" spans="1:23" ht="25.5">
      <c r="A48" s="592"/>
      <c r="B48" s="839"/>
      <c r="C48" s="549"/>
      <c r="D48" s="549"/>
      <c r="E48" s="570"/>
      <c r="F48" s="570"/>
      <c r="G48" s="570"/>
      <c r="H48" s="570"/>
      <c r="I48" s="570"/>
      <c r="J48" s="14" t="s">
        <v>2404</v>
      </c>
      <c r="K48" s="14" t="s">
        <v>2405</v>
      </c>
      <c r="L48" s="14" t="s">
        <v>189</v>
      </c>
      <c r="M48" s="137">
        <v>6742</v>
      </c>
      <c r="N48" s="137">
        <v>8242</v>
      </c>
      <c r="O48" s="137">
        <v>9742</v>
      </c>
      <c r="P48" s="137">
        <v>11242</v>
      </c>
      <c r="Q48" s="137">
        <v>12742</v>
      </c>
      <c r="R48" s="3">
        <v>0</v>
      </c>
      <c r="S48" s="200">
        <v>0</v>
      </c>
      <c r="T48" s="200">
        <v>0</v>
      </c>
      <c r="U48" s="200">
        <v>0</v>
      </c>
      <c r="V48" s="200">
        <v>0</v>
      </c>
      <c r="W48" s="721"/>
    </row>
    <row r="49" spans="1:25" ht="54" customHeight="1">
      <c r="A49" s="592"/>
      <c r="B49" s="839"/>
      <c r="C49" s="14" t="s">
        <v>2347</v>
      </c>
      <c r="D49" s="14" t="s">
        <v>2348</v>
      </c>
      <c r="E49" s="2">
        <v>0</v>
      </c>
      <c r="F49" s="2">
        <v>6</v>
      </c>
      <c r="G49" s="2">
        <v>12</v>
      </c>
      <c r="H49" s="2">
        <v>18</v>
      </c>
      <c r="I49" s="2">
        <v>24</v>
      </c>
      <c r="J49" s="195" t="s">
        <v>2397</v>
      </c>
      <c r="K49" s="14" t="s">
        <v>2398</v>
      </c>
      <c r="L49" s="14" t="s">
        <v>189</v>
      </c>
      <c r="M49" s="2" t="s">
        <v>2978</v>
      </c>
      <c r="N49" s="2">
        <v>6</v>
      </c>
      <c r="O49" s="2">
        <v>12</v>
      </c>
      <c r="P49" s="2">
        <v>18</v>
      </c>
      <c r="Q49" s="2">
        <v>24</v>
      </c>
      <c r="R49" s="3">
        <f t="shared" si="1"/>
        <v>194000</v>
      </c>
      <c r="S49" s="3">
        <v>42000</v>
      </c>
      <c r="T49" s="3">
        <v>45000</v>
      </c>
      <c r="U49" s="3">
        <v>50000</v>
      </c>
      <c r="V49" s="3">
        <v>57000</v>
      </c>
      <c r="W49" s="10" t="s">
        <v>413</v>
      </c>
      <c r="Y49" s="311"/>
    </row>
    <row r="50" spans="1:23" ht="42.75" customHeight="1">
      <c r="A50" s="592" t="s">
        <v>832</v>
      </c>
      <c r="B50" s="839">
        <f>1410000/R282*100%</f>
        <v>0.015779965945490512</v>
      </c>
      <c r="C50" s="549" t="s">
        <v>2350</v>
      </c>
      <c r="D50" s="549" t="s">
        <v>2351</v>
      </c>
      <c r="E50" s="570">
        <v>34</v>
      </c>
      <c r="F50" s="570">
        <v>34</v>
      </c>
      <c r="G50" s="570">
        <v>33</v>
      </c>
      <c r="H50" s="570">
        <v>32</v>
      </c>
      <c r="I50" s="570">
        <v>31</v>
      </c>
      <c r="J50" s="2" t="s">
        <v>2352</v>
      </c>
      <c r="K50" s="10" t="s">
        <v>2353</v>
      </c>
      <c r="L50" s="10" t="s">
        <v>189</v>
      </c>
      <c r="M50" s="2">
        <v>60</v>
      </c>
      <c r="N50" s="2">
        <v>210</v>
      </c>
      <c r="O50" s="2">
        <v>360</v>
      </c>
      <c r="P50" s="2">
        <v>510</v>
      </c>
      <c r="Q50" s="2">
        <v>660</v>
      </c>
      <c r="R50" s="3">
        <f t="shared" si="1"/>
        <v>205000</v>
      </c>
      <c r="S50" s="3">
        <f>300000-(+S51+S52+S53+S54+S55+S56+S57+S58+S59+S60)</f>
        <v>15000</v>
      </c>
      <c r="T50" s="3">
        <f>350000-(T51+T52+T53+T54+T55+T56+T57+T58+T59+T60)</f>
        <v>60000</v>
      </c>
      <c r="U50" s="3">
        <f>350000-(U51+U52+U53+U54+U55+U56+U57+U58+U59+U60)</f>
        <v>50000</v>
      </c>
      <c r="V50" s="3">
        <f>410000-(V51+V52+V53+V54+V55+V56+V57+V58+V59+V60)</f>
        <v>80000</v>
      </c>
      <c r="W50" s="721" t="s">
        <v>649</v>
      </c>
    </row>
    <row r="51" spans="1:23" ht="42.75" customHeight="1">
      <c r="A51" s="592"/>
      <c r="B51" s="839"/>
      <c r="C51" s="549"/>
      <c r="D51" s="549"/>
      <c r="E51" s="570"/>
      <c r="F51" s="570"/>
      <c r="G51" s="570"/>
      <c r="H51" s="570"/>
      <c r="I51" s="570"/>
      <c r="J51" s="2" t="s">
        <v>2354</v>
      </c>
      <c r="K51" s="10" t="s">
        <v>2355</v>
      </c>
      <c r="L51" s="10" t="s">
        <v>189</v>
      </c>
      <c r="M51" s="2">
        <v>30</v>
      </c>
      <c r="N51" s="2">
        <v>43</v>
      </c>
      <c r="O51" s="2">
        <v>56</v>
      </c>
      <c r="P51" s="2">
        <v>69</v>
      </c>
      <c r="Q51" s="2">
        <v>82</v>
      </c>
      <c r="R51" s="3">
        <f t="shared" si="1"/>
        <v>20000</v>
      </c>
      <c r="S51" s="3">
        <v>5000</v>
      </c>
      <c r="T51" s="3">
        <v>5000</v>
      </c>
      <c r="U51" s="3">
        <v>5000</v>
      </c>
      <c r="V51" s="3">
        <v>5000</v>
      </c>
      <c r="W51" s="721"/>
    </row>
    <row r="52" spans="1:23" ht="42.75" customHeight="1">
      <c r="A52" s="592"/>
      <c r="B52" s="839"/>
      <c r="C52" s="549" t="s">
        <v>2356</v>
      </c>
      <c r="D52" s="549" t="s">
        <v>2357</v>
      </c>
      <c r="E52" s="570">
        <v>134</v>
      </c>
      <c r="F52" s="570">
        <v>132</v>
      </c>
      <c r="G52" s="570">
        <v>128</v>
      </c>
      <c r="H52" s="570">
        <v>124</v>
      </c>
      <c r="I52" s="570">
        <v>120</v>
      </c>
      <c r="J52" s="2" t="s">
        <v>2358</v>
      </c>
      <c r="K52" s="10" t="s">
        <v>2359</v>
      </c>
      <c r="L52" s="10" t="s">
        <v>189</v>
      </c>
      <c r="M52" s="2">
        <v>1</v>
      </c>
      <c r="N52" s="2">
        <v>2</v>
      </c>
      <c r="O52" s="2">
        <v>2</v>
      </c>
      <c r="P52" s="2">
        <v>2</v>
      </c>
      <c r="Q52" s="2">
        <v>2</v>
      </c>
      <c r="R52" s="3">
        <f t="shared" si="1"/>
        <v>200000</v>
      </c>
      <c r="S52" s="3">
        <v>50000</v>
      </c>
      <c r="T52" s="3">
        <v>50000</v>
      </c>
      <c r="U52" s="3">
        <v>50000</v>
      </c>
      <c r="V52" s="3">
        <v>50000</v>
      </c>
      <c r="W52" s="721"/>
    </row>
    <row r="53" spans="1:23" ht="42.75" customHeight="1">
      <c r="A53" s="592"/>
      <c r="B53" s="839"/>
      <c r="C53" s="549"/>
      <c r="D53" s="549" t="s">
        <v>2360</v>
      </c>
      <c r="E53" s="570"/>
      <c r="F53" s="570"/>
      <c r="G53" s="570"/>
      <c r="H53" s="570"/>
      <c r="I53" s="570"/>
      <c r="J53" s="2" t="s">
        <v>2361</v>
      </c>
      <c r="K53" s="10" t="s">
        <v>2766</v>
      </c>
      <c r="L53" s="10" t="s">
        <v>189</v>
      </c>
      <c r="M53" s="2">
        <v>48</v>
      </c>
      <c r="N53" s="2">
        <v>58</v>
      </c>
      <c r="O53" s="2">
        <v>68</v>
      </c>
      <c r="P53" s="2">
        <v>78</v>
      </c>
      <c r="Q53" s="2">
        <v>88</v>
      </c>
      <c r="R53" s="3">
        <f t="shared" si="1"/>
        <v>80000</v>
      </c>
      <c r="S53" s="3">
        <v>20000</v>
      </c>
      <c r="T53" s="3">
        <v>20000</v>
      </c>
      <c r="U53" s="3">
        <v>20000</v>
      </c>
      <c r="V53" s="3">
        <v>20000</v>
      </c>
      <c r="W53" s="721"/>
    </row>
    <row r="54" spans="1:23" ht="49.5" customHeight="1">
      <c r="A54" s="592"/>
      <c r="B54" s="839"/>
      <c r="C54" s="549" t="s">
        <v>2767</v>
      </c>
      <c r="D54" s="549" t="s">
        <v>2768</v>
      </c>
      <c r="E54" s="570">
        <v>146</v>
      </c>
      <c r="F54" s="570">
        <v>142</v>
      </c>
      <c r="G54" s="570">
        <v>138</v>
      </c>
      <c r="H54" s="570">
        <v>134</v>
      </c>
      <c r="I54" s="570">
        <v>130</v>
      </c>
      <c r="J54" s="2" t="s">
        <v>2368</v>
      </c>
      <c r="K54" s="10" t="s">
        <v>2359</v>
      </c>
      <c r="L54" s="10" t="s">
        <v>189</v>
      </c>
      <c r="M54" s="2">
        <v>1</v>
      </c>
      <c r="N54" s="2">
        <v>2</v>
      </c>
      <c r="O54" s="2">
        <v>2</v>
      </c>
      <c r="P54" s="2">
        <v>2</v>
      </c>
      <c r="Q54" s="2">
        <v>2</v>
      </c>
      <c r="R54" s="3">
        <f t="shared" si="1"/>
        <v>210000</v>
      </c>
      <c r="S54" s="3">
        <v>50000</v>
      </c>
      <c r="T54" s="3">
        <v>50000</v>
      </c>
      <c r="U54" s="3">
        <v>50000</v>
      </c>
      <c r="V54" s="3">
        <v>60000</v>
      </c>
      <c r="W54" s="721"/>
    </row>
    <row r="55" spans="1:23" ht="49.5" customHeight="1">
      <c r="A55" s="592"/>
      <c r="B55" s="839"/>
      <c r="C55" s="549"/>
      <c r="D55" s="549"/>
      <c r="E55" s="570"/>
      <c r="F55" s="570"/>
      <c r="G55" s="570"/>
      <c r="H55" s="570"/>
      <c r="I55" s="570"/>
      <c r="J55" s="2" t="s">
        <v>2369</v>
      </c>
      <c r="K55" s="10" t="s">
        <v>2370</v>
      </c>
      <c r="L55" s="10" t="s">
        <v>189</v>
      </c>
      <c r="M55" s="2">
        <v>60</v>
      </c>
      <c r="N55" s="2">
        <v>75</v>
      </c>
      <c r="O55" s="2">
        <v>90</v>
      </c>
      <c r="P55" s="2">
        <v>105</v>
      </c>
      <c r="Q55" s="2">
        <v>120</v>
      </c>
      <c r="R55" s="3">
        <f t="shared" si="1"/>
        <v>40000</v>
      </c>
      <c r="S55" s="3">
        <v>10000</v>
      </c>
      <c r="T55" s="3">
        <v>10000</v>
      </c>
      <c r="U55" s="3">
        <v>10000</v>
      </c>
      <c r="V55" s="3">
        <v>10000</v>
      </c>
      <c r="W55" s="721"/>
    </row>
    <row r="56" spans="1:23" ht="49.5" customHeight="1">
      <c r="A56" s="592"/>
      <c r="B56" s="839"/>
      <c r="C56" s="549" t="s">
        <v>2371</v>
      </c>
      <c r="D56" s="549" t="s">
        <v>2372</v>
      </c>
      <c r="E56" s="570">
        <v>1</v>
      </c>
      <c r="F56" s="570">
        <v>5</v>
      </c>
      <c r="G56" s="570">
        <v>10</v>
      </c>
      <c r="H56" s="570">
        <v>17</v>
      </c>
      <c r="I56" s="570">
        <v>25</v>
      </c>
      <c r="J56" s="14" t="s">
        <v>2373</v>
      </c>
      <c r="K56" s="14" t="s">
        <v>3016</v>
      </c>
      <c r="L56" s="14" t="s">
        <v>189</v>
      </c>
      <c r="M56" s="2">
        <v>1</v>
      </c>
      <c r="N56" s="2">
        <v>4</v>
      </c>
      <c r="O56" s="2">
        <v>7</v>
      </c>
      <c r="P56" s="2">
        <v>10</v>
      </c>
      <c r="Q56" s="2">
        <v>13</v>
      </c>
      <c r="R56" s="3">
        <f t="shared" si="1"/>
        <v>90000</v>
      </c>
      <c r="S56" s="3">
        <v>20000</v>
      </c>
      <c r="T56" s="3">
        <v>20000</v>
      </c>
      <c r="U56" s="3">
        <v>20000</v>
      </c>
      <c r="V56" s="3">
        <v>30000</v>
      </c>
      <c r="W56" s="721"/>
    </row>
    <row r="57" spans="1:23" ht="49.5" customHeight="1">
      <c r="A57" s="592"/>
      <c r="B57" s="839"/>
      <c r="C57" s="549"/>
      <c r="D57" s="549"/>
      <c r="E57" s="570"/>
      <c r="F57" s="570"/>
      <c r="G57" s="570"/>
      <c r="H57" s="570"/>
      <c r="I57" s="570"/>
      <c r="J57" s="14" t="s">
        <v>2375</v>
      </c>
      <c r="K57" s="14" t="s">
        <v>2359</v>
      </c>
      <c r="L57" s="14" t="s">
        <v>189</v>
      </c>
      <c r="M57" s="2">
        <v>1</v>
      </c>
      <c r="N57" s="2">
        <v>2</v>
      </c>
      <c r="O57" s="2">
        <v>3</v>
      </c>
      <c r="P57" s="2">
        <v>4</v>
      </c>
      <c r="Q57" s="2">
        <v>5</v>
      </c>
      <c r="R57" s="3">
        <f t="shared" si="1"/>
        <v>70000</v>
      </c>
      <c r="S57" s="3">
        <v>15000</v>
      </c>
      <c r="T57" s="3">
        <v>15000</v>
      </c>
      <c r="U57" s="3">
        <v>20000</v>
      </c>
      <c r="V57" s="3">
        <v>20000</v>
      </c>
      <c r="W57" s="721"/>
    </row>
    <row r="58" spans="1:23" ht="49.5" customHeight="1">
      <c r="A58" s="592"/>
      <c r="B58" s="839"/>
      <c r="C58" s="14" t="s">
        <v>318</v>
      </c>
      <c r="D58" s="14" t="s">
        <v>2377</v>
      </c>
      <c r="E58" s="2">
        <v>12</v>
      </c>
      <c r="F58" s="2">
        <v>14</v>
      </c>
      <c r="G58" s="2">
        <v>16</v>
      </c>
      <c r="H58" s="2">
        <v>18</v>
      </c>
      <c r="I58" s="2">
        <v>21</v>
      </c>
      <c r="J58" s="14" t="s">
        <v>2378</v>
      </c>
      <c r="K58" s="14" t="s">
        <v>2379</v>
      </c>
      <c r="L58" s="14" t="s">
        <v>189</v>
      </c>
      <c r="M58" s="2">
        <v>4</v>
      </c>
      <c r="N58" s="2">
        <v>6</v>
      </c>
      <c r="O58" s="2">
        <v>8</v>
      </c>
      <c r="P58" s="2">
        <v>10</v>
      </c>
      <c r="Q58" s="2">
        <v>12</v>
      </c>
      <c r="R58" s="3">
        <f t="shared" si="1"/>
        <v>95000</v>
      </c>
      <c r="S58" s="3">
        <v>15000</v>
      </c>
      <c r="T58" s="3">
        <v>20000</v>
      </c>
      <c r="U58" s="3">
        <v>25000</v>
      </c>
      <c r="V58" s="3">
        <v>35000</v>
      </c>
      <c r="W58" s="721"/>
    </row>
    <row r="59" spans="1:23" ht="49.5" customHeight="1">
      <c r="A59" s="592"/>
      <c r="B59" s="839"/>
      <c r="C59" s="14" t="s">
        <v>319</v>
      </c>
      <c r="D59" s="14" t="s">
        <v>2381</v>
      </c>
      <c r="E59" s="2">
        <v>0</v>
      </c>
      <c r="F59" s="2">
        <v>1</v>
      </c>
      <c r="G59" s="2">
        <v>2</v>
      </c>
      <c r="H59" s="2">
        <v>3</v>
      </c>
      <c r="I59" s="2">
        <v>4</v>
      </c>
      <c r="J59" s="14" t="s">
        <v>2382</v>
      </c>
      <c r="K59" s="14" t="s">
        <v>2383</v>
      </c>
      <c r="L59" s="14" t="s">
        <v>189</v>
      </c>
      <c r="M59" s="2">
        <v>0</v>
      </c>
      <c r="N59" s="2">
        <v>1</v>
      </c>
      <c r="O59" s="2">
        <v>2</v>
      </c>
      <c r="P59" s="2">
        <v>3</v>
      </c>
      <c r="Q59" s="2">
        <v>4</v>
      </c>
      <c r="R59" s="3">
        <f t="shared" si="1"/>
        <v>200000</v>
      </c>
      <c r="S59" s="3">
        <v>50000</v>
      </c>
      <c r="T59" s="3">
        <v>50000</v>
      </c>
      <c r="U59" s="3">
        <v>50000</v>
      </c>
      <c r="V59" s="3">
        <v>50000</v>
      </c>
      <c r="W59" s="721"/>
    </row>
    <row r="60" spans="1:23" ht="49.5" customHeight="1">
      <c r="A60" s="592"/>
      <c r="B60" s="839"/>
      <c r="C60" s="14" t="s">
        <v>2384</v>
      </c>
      <c r="D60" s="14" t="s">
        <v>2385</v>
      </c>
      <c r="E60" s="2">
        <v>1</v>
      </c>
      <c r="F60" s="2">
        <v>2</v>
      </c>
      <c r="G60" s="2">
        <v>2</v>
      </c>
      <c r="H60" s="2">
        <v>2</v>
      </c>
      <c r="I60" s="2">
        <v>2</v>
      </c>
      <c r="J60" s="14" t="s">
        <v>2386</v>
      </c>
      <c r="K60" s="14" t="s">
        <v>2387</v>
      </c>
      <c r="L60" s="14" t="s">
        <v>189</v>
      </c>
      <c r="M60" s="2">
        <v>1</v>
      </c>
      <c r="N60" s="2">
        <v>2</v>
      </c>
      <c r="O60" s="2">
        <v>2</v>
      </c>
      <c r="P60" s="2">
        <v>2</v>
      </c>
      <c r="Q60" s="2">
        <v>2</v>
      </c>
      <c r="R60" s="3">
        <f t="shared" si="1"/>
        <v>200000</v>
      </c>
      <c r="S60" s="3">
        <v>50000</v>
      </c>
      <c r="T60" s="3">
        <v>50000</v>
      </c>
      <c r="U60" s="3">
        <v>50000</v>
      </c>
      <c r="V60" s="3">
        <v>50000</v>
      </c>
      <c r="W60" s="721"/>
    </row>
    <row r="61" spans="1:23" ht="75" customHeight="1">
      <c r="A61" s="592" t="s">
        <v>833</v>
      </c>
      <c r="B61" s="839">
        <f>658000/R282*100%</f>
        <v>0.007363984107895573</v>
      </c>
      <c r="C61" s="14" t="s">
        <v>2407</v>
      </c>
      <c r="D61" s="14" t="s">
        <v>2408</v>
      </c>
      <c r="E61" s="2">
        <v>911</v>
      </c>
      <c r="F61" s="2">
        <v>880</v>
      </c>
      <c r="G61" s="2">
        <v>830</v>
      </c>
      <c r="H61" s="2">
        <v>780</v>
      </c>
      <c r="I61" s="2">
        <f>E61-180</f>
        <v>731</v>
      </c>
      <c r="J61" s="14" t="s">
        <v>2774</v>
      </c>
      <c r="K61" s="14" t="s">
        <v>2359</v>
      </c>
      <c r="L61" s="14" t="s">
        <v>189</v>
      </c>
      <c r="M61" s="2">
        <v>0</v>
      </c>
      <c r="N61" s="2">
        <v>1</v>
      </c>
      <c r="O61" s="2">
        <v>1</v>
      </c>
      <c r="P61" s="2">
        <v>1</v>
      </c>
      <c r="Q61" s="2">
        <v>1</v>
      </c>
      <c r="R61" s="3">
        <f t="shared" si="1"/>
        <v>12000</v>
      </c>
      <c r="S61" s="3">
        <f>150000-(SUM(S62:S91))</f>
        <v>5000</v>
      </c>
      <c r="T61" s="3">
        <f>160000-(SUM(T62:T91))</f>
        <v>0</v>
      </c>
      <c r="U61" s="3">
        <f>168000-(SUM(U62:U91))</f>
        <v>0</v>
      </c>
      <c r="V61" s="3">
        <f>180000-(SUM(V62:V91))</f>
        <v>7000</v>
      </c>
      <c r="W61" s="721" t="s">
        <v>835</v>
      </c>
    </row>
    <row r="62" spans="1:23" ht="75" customHeight="1">
      <c r="A62" s="592"/>
      <c r="B62" s="839"/>
      <c r="C62" s="14" t="s">
        <v>2409</v>
      </c>
      <c r="D62" s="14" t="s">
        <v>2410</v>
      </c>
      <c r="E62" s="2">
        <v>146</v>
      </c>
      <c r="F62" s="2">
        <v>142</v>
      </c>
      <c r="G62" s="2">
        <v>138</v>
      </c>
      <c r="H62" s="2">
        <v>134</v>
      </c>
      <c r="I62" s="2">
        <v>130</v>
      </c>
      <c r="J62" s="14" t="s">
        <v>1404</v>
      </c>
      <c r="K62" s="14" t="s">
        <v>2359</v>
      </c>
      <c r="L62" s="14" t="s">
        <v>189</v>
      </c>
      <c r="M62" s="2">
        <v>1</v>
      </c>
      <c r="N62" s="2">
        <v>2</v>
      </c>
      <c r="O62" s="2">
        <v>2</v>
      </c>
      <c r="P62" s="2">
        <v>2</v>
      </c>
      <c r="Q62" s="2">
        <v>2</v>
      </c>
      <c r="R62" s="3">
        <f t="shared" si="1"/>
        <v>13000</v>
      </c>
      <c r="S62" s="3">
        <v>5000</v>
      </c>
      <c r="T62" s="3">
        <v>0</v>
      </c>
      <c r="U62" s="3">
        <v>3000</v>
      </c>
      <c r="V62" s="3">
        <v>5000</v>
      </c>
      <c r="W62" s="721"/>
    </row>
    <row r="63" spans="1:23" ht="75" customHeight="1">
      <c r="A63" s="592"/>
      <c r="B63" s="839"/>
      <c r="C63" s="549" t="s">
        <v>2411</v>
      </c>
      <c r="D63" s="549" t="s">
        <v>2412</v>
      </c>
      <c r="E63" s="570">
        <v>0</v>
      </c>
      <c r="F63" s="570">
        <v>1</v>
      </c>
      <c r="G63" s="570">
        <v>1</v>
      </c>
      <c r="H63" s="570">
        <v>1</v>
      </c>
      <c r="I63" s="570">
        <v>1</v>
      </c>
      <c r="J63" s="113" t="s">
        <v>1405</v>
      </c>
      <c r="K63" s="14" t="s">
        <v>3016</v>
      </c>
      <c r="L63" s="14" t="s">
        <v>189</v>
      </c>
      <c r="M63" s="2">
        <v>0</v>
      </c>
      <c r="N63" s="2">
        <v>1</v>
      </c>
      <c r="O63" s="2">
        <v>2</v>
      </c>
      <c r="P63" s="2">
        <v>3</v>
      </c>
      <c r="Q63" s="2">
        <v>4</v>
      </c>
      <c r="R63" s="3">
        <f t="shared" si="1"/>
        <v>13000</v>
      </c>
      <c r="S63" s="3">
        <v>5000</v>
      </c>
      <c r="T63" s="3">
        <v>0</v>
      </c>
      <c r="U63" s="3">
        <v>3000</v>
      </c>
      <c r="V63" s="3">
        <v>5000</v>
      </c>
      <c r="W63" s="721"/>
    </row>
    <row r="64" spans="1:23" ht="75" customHeight="1">
      <c r="A64" s="592"/>
      <c r="B64" s="839"/>
      <c r="C64" s="549"/>
      <c r="D64" s="549"/>
      <c r="E64" s="570"/>
      <c r="F64" s="570"/>
      <c r="G64" s="570"/>
      <c r="H64" s="570"/>
      <c r="I64" s="570"/>
      <c r="J64" s="14" t="s">
        <v>1406</v>
      </c>
      <c r="K64" s="14" t="s">
        <v>1407</v>
      </c>
      <c r="L64" s="14" t="s">
        <v>189</v>
      </c>
      <c r="M64" s="2">
        <v>0</v>
      </c>
      <c r="N64" s="2">
        <v>2</v>
      </c>
      <c r="O64" s="2">
        <v>5</v>
      </c>
      <c r="P64" s="2">
        <v>9</v>
      </c>
      <c r="Q64" s="2">
        <v>13</v>
      </c>
      <c r="R64" s="3">
        <f t="shared" si="1"/>
        <v>20000</v>
      </c>
      <c r="S64" s="3">
        <v>0</v>
      </c>
      <c r="T64" s="3">
        <v>0</v>
      </c>
      <c r="U64" s="3">
        <v>0</v>
      </c>
      <c r="V64" s="3">
        <v>20000</v>
      </c>
      <c r="W64" s="721"/>
    </row>
    <row r="65" spans="1:23" ht="75" customHeight="1">
      <c r="A65" s="592"/>
      <c r="B65" s="839"/>
      <c r="C65" s="549"/>
      <c r="D65" s="549"/>
      <c r="E65" s="570"/>
      <c r="F65" s="570"/>
      <c r="G65" s="570"/>
      <c r="H65" s="570"/>
      <c r="I65" s="570"/>
      <c r="J65" s="14" t="s">
        <v>1408</v>
      </c>
      <c r="K65" s="14" t="s">
        <v>1409</v>
      </c>
      <c r="L65" s="14" t="s">
        <v>189</v>
      </c>
      <c r="M65" s="2">
        <v>0</v>
      </c>
      <c r="N65" s="2">
        <v>1</v>
      </c>
      <c r="O65" s="2">
        <v>2</v>
      </c>
      <c r="P65" s="2">
        <v>3</v>
      </c>
      <c r="Q65" s="2">
        <v>4</v>
      </c>
      <c r="R65" s="3">
        <f t="shared" si="1"/>
        <v>13000</v>
      </c>
      <c r="S65" s="3">
        <v>5000</v>
      </c>
      <c r="T65" s="3">
        <v>0</v>
      </c>
      <c r="U65" s="3">
        <v>3000</v>
      </c>
      <c r="V65" s="3">
        <v>5000</v>
      </c>
      <c r="W65" s="721"/>
    </row>
    <row r="66" spans="1:23" ht="75" customHeight="1">
      <c r="A66" s="592"/>
      <c r="B66" s="839"/>
      <c r="C66" s="549"/>
      <c r="D66" s="549"/>
      <c r="E66" s="570"/>
      <c r="F66" s="570"/>
      <c r="G66" s="570"/>
      <c r="H66" s="570"/>
      <c r="I66" s="570"/>
      <c r="J66" s="14" t="s">
        <v>320</v>
      </c>
      <c r="K66" s="14" t="s">
        <v>1411</v>
      </c>
      <c r="L66" s="14" t="s">
        <v>189</v>
      </c>
      <c r="M66" s="2">
        <v>0</v>
      </c>
      <c r="N66" s="2">
        <v>0</v>
      </c>
      <c r="O66" s="2">
        <v>0</v>
      </c>
      <c r="P66" s="2">
        <v>1</v>
      </c>
      <c r="Q66" s="2">
        <v>1</v>
      </c>
      <c r="R66" s="3">
        <f t="shared" si="1"/>
        <v>98000</v>
      </c>
      <c r="S66" s="3">
        <v>0</v>
      </c>
      <c r="T66" s="3">
        <v>0</v>
      </c>
      <c r="U66" s="3">
        <v>93000</v>
      </c>
      <c r="V66" s="3">
        <v>5000</v>
      </c>
      <c r="W66" s="721"/>
    </row>
    <row r="67" spans="1:23" ht="75" customHeight="1">
      <c r="A67" s="592"/>
      <c r="B67" s="839"/>
      <c r="C67" s="549"/>
      <c r="D67" s="549"/>
      <c r="E67" s="570"/>
      <c r="F67" s="570"/>
      <c r="G67" s="570"/>
      <c r="H67" s="570"/>
      <c r="I67" s="570"/>
      <c r="J67" s="14" t="s">
        <v>1412</v>
      </c>
      <c r="K67" s="14" t="s">
        <v>1413</v>
      </c>
      <c r="L67" s="14" t="s">
        <v>189</v>
      </c>
      <c r="M67" s="2">
        <v>0</v>
      </c>
      <c r="N67" s="2">
        <v>1</v>
      </c>
      <c r="O67" s="2">
        <v>1</v>
      </c>
      <c r="P67" s="2">
        <v>1</v>
      </c>
      <c r="Q67" s="2">
        <v>1</v>
      </c>
      <c r="R67" s="3">
        <f t="shared" si="1"/>
        <v>45000</v>
      </c>
      <c r="S67" s="3">
        <v>10000</v>
      </c>
      <c r="T67" s="3">
        <v>15000</v>
      </c>
      <c r="U67" s="3">
        <v>10000</v>
      </c>
      <c r="V67" s="3">
        <v>10000</v>
      </c>
      <c r="W67" s="721"/>
    </row>
    <row r="68" spans="1:23" ht="75" customHeight="1">
      <c r="A68" s="592"/>
      <c r="B68" s="839"/>
      <c r="C68" s="549"/>
      <c r="D68" s="549"/>
      <c r="E68" s="570"/>
      <c r="F68" s="570"/>
      <c r="G68" s="570"/>
      <c r="H68" s="570"/>
      <c r="I68" s="570"/>
      <c r="J68" s="14" t="s">
        <v>1414</v>
      </c>
      <c r="K68" s="14" t="s">
        <v>1415</v>
      </c>
      <c r="L68" s="14" t="s">
        <v>189</v>
      </c>
      <c r="M68" s="2">
        <v>0</v>
      </c>
      <c r="N68" s="2">
        <v>1</v>
      </c>
      <c r="O68" s="2">
        <v>1</v>
      </c>
      <c r="P68" s="2">
        <v>1</v>
      </c>
      <c r="Q68" s="2">
        <v>1</v>
      </c>
      <c r="R68" s="3">
        <f t="shared" si="1"/>
        <v>20000</v>
      </c>
      <c r="S68" s="3">
        <v>5000</v>
      </c>
      <c r="T68" s="3">
        <v>5000</v>
      </c>
      <c r="U68" s="3">
        <v>5000</v>
      </c>
      <c r="V68" s="3">
        <v>5000</v>
      </c>
      <c r="W68" s="721"/>
    </row>
    <row r="69" spans="1:23" ht="75" customHeight="1">
      <c r="A69" s="592"/>
      <c r="B69" s="839"/>
      <c r="C69" s="549"/>
      <c r="D69" s="549"/>
      <c r="E69" s="570"/>
      <c r="F69" s="570"/>
      <c r="G69" s="570"/>
      <c r="H69" s="570"/>
      <c r="I69" s="570"/>
      <c r="J69" s="14" t="s">
        <v>1416</v>
      </c>
      <c r="K69" s="14" t="s">
        <v>1417</v>
      </c>
      <c r="L69" s="14" t="s">
        <v>189</v>
      </c>
      <c r="M69" s="2">
        <v>0</v>
      </c>
      <c r="N69" s="2">
        <v>1</v>
      </c>
      <c r="O69" s="2">
        <v>1</v>
      </c>
      <c r="P69" s="2">
        <v>1</v>
      </c>
      <c r="Q69" s="2">
        <v>1</v>
      </c>
      <c r="R69" s="3">
        <f t="shared" si="1"/>
        <v>13000</v>
      </c>
      <c r="S69" s="3">
        <v>5000</v>
      </c>
      <c r="T69" s="3">
        <v>0</v>
      </c>
      <c r="U69" s="3">
        <v>3000</v>
      </c>
      <c r="V69" s="3">
        <v>5000</v>
      </c>
      <c r="W69" s="721"/>
    </row>
    <row r="70" spans="1:23" ht="75" customHeight="1">
      <c r="A70" s="592"/>
      <c r="B70" s="839"/>
      <c r="C70" s="549" t="s">
        <v>2413</v>
      </c>
      <c r="D70" s="549" t="s">
        <v>2414</v>
      </c>
      <c r="E70" s="570">
        <v>0</v>
      </c>
      <c r="F70" s="570">
        <v>1</v>
      </c>
      <c r="G70" s="570">
        <v>1</v>
      </c>
      <c r="H70" s="570">
        <v>1</v>
      </c>
      <c r="I70" s="570">
        <v>1</v>
      </c>
      <c r="J70" s="14" t="s">
        <v>1418</v>
      </c>
      <c r="K70" s="14" t="s">
        <v>1419</v>
      </c>
      <c r="L70" s="14" t="s">
        <v>189</v>
      </c>
      <c r="M70" s="2">
        <v>0</v>
      </c>
      <c r="N70" s="2">
        <v>13</v>
      </c>
      <c r="O70" s="2">
        <v>13</v>
      </c>
      <c r="P70" s="2">
        <v>13</v>
      </c>
      <c r="Q70" s="2">
        <v>13</v>
      </c>
      <c r="R70" s="3">
        <f t="shared" si="1"/>
        <v>0</v>
      </c>
      <c r="S70" s="3">
        <v>0</v>
      </c>
      <c r="T70" s="3">
        <v>0</v>
      </c>
      <c r="U70" s="3">
        <v>0</v>
      </c>
      <c r="V70" s="3">
        <v>0</v>
      </c>
      <c r="W70" s="721" t="s">
        <v>836</v>
      </c>
    </row>
    <row r="71" spans="1:23" ht="75" customHeight="1">
      <c r="A71" s="592"/>
      <c r="B71" s="839"/>
      <c r="C71" s="549"/>
      <c r="D71" s="549"/>
      <c r="E71" s="570"/>
      <c r="F71" s="570"/>
      <c r="G71" s="570"/>
      <c r="H71" s="570"/>
      <c r="I71" s="570"/>
      <c r="J71" s="14" t="s">
        <v>1421</v>
      </c>
      <c r="K71" s="14" t="s">
        <v>1422</v>
      </c>
      <c r="L71" s="14" t="s">
        <v>189</v>
      </c>
      <c r="M71" s="2">
        <v>0</v>
      </c>
      <c r="N71" s="2">
        <v>5</v>
      </c>
      <c r="O71" s="2">
        <v>5</v>
      </c>
      <c r="P71" s="2">
        <v>5</v>
      </c>
      <c r="Q71" s="2">
        <v>5</v>
      </c>
      <c r="R71" s="3">
        <f t="shared" si="1"/>
        <v>0</v>
      </c>
      <c r="S71" s="3">
        <v>0</v>
      </c>
      <c r="T71" s="3">
        <v>0</v>
      </c>
      <c r="U71" s="3">
        <v>0</v>
      </c>
      <c r="V71" s="3">
        <v>0</v>
      </c>
      <c r="W71" s="721"/>
    </row>
    <row r="72" spans="1:23" ht="75" customHeight="1">
      <c r="A72" s="592"/>
      <c r="B72" s="839"/>
      <c r="C72" s="549"/>
      <c r="D72" s="549"/>
      <c r="E72" s="570"/>
      <c r="F72" s="570"/>
      <c r="G72" s="570"/>
      <c r="H72" s="570"/>
      <c r="I72" s="570"/>
      <c r="J72" s="14" t="s">
        <v>1423</v>
      </c>
      <c r="K72" s="14" t="s">
        <v>1424</v>
      </c>
      <c r="L72" s="14" t="s">
        <v>189</v>
      </c>
      <c r="M72" s="2">
        <v>0</v>
      </c>
      <c r="N72" s="2">
        <v>1</v>
      </c>
      <c r="O72" s="2">
        <v>1</v>
      </c>
      <c r="P72" s="2">
        <v>1</v>
      </c>
      <c r="Q72" s="2">
        <v>1</v>
      </c>
      <c r="R72" s="3">
        <f t="shared" si="1"/>
        <v>0</v>
      </c>
      <c r="S72" s="3">
        <v>0</v>
      </c>
      <c r="T72" s="3">
        <v>0</v>
      </c>
      <c r="U72" s="3">
        <v>0</v>
      </c>
      <c r="V72" s="3">
        <v>0</v>
      </c>
      <c r="W72" s="721"/>
    </row>
    <row r="73" spans="1:23" ht="75" customHeight="1">
      <c r="A73" s="592"/>
      <c r="B73" s="839"/>
      <c r="C73" s="549" t="s">
        <v>2415</v>
      </c>
      <c r="D73" s="549" t="s">
        <v>2805</v>
      </c>
      <c r="E73" s="570">
        <v>0</v>
      </c>
      <c r="F73" s="570">
        <v>1</v>
      </c>
      <c r="G73" s="570">
        <v>1</v>
      </c>
      <c r="H73" s="570">
        <v>1</v>
      </c>
      <c r="I73" s="570">
        <v>1</v>
      </c>
      <c r="J73" s="14" t="s">
        <v>1425</v>
      </c>
      <c r="K73" s="14" t="s">
        <v>1333</v>
      </c>
      <c r="L73" s="14" t="s">
        <v>189</v>
      </c>
      <c r="M73" s="2">
        <v>0</v>
      </c>
      <c r="N73" s="2">
        <v>1</v>
      </c>
      <c r="O73" s="2">
        <v>1</v>
      </c>
      <c r="P73" s="2">
        <v>1</v>
      </c>
      <c r="Q73" s="2">
        <v>1</v>
      </c>
      <c r="R73" s="3">
        <f t="shared" si="1"/>
        <v>12000</v>
      </c>
      <c r="S73" s="3">
        <v>5000</v>
      </c>
      <c r="T73" s="3">
        <v>0</v>
      </c>
      <c r="U73" s="3">
        <v>2000</v>
      </c>
      <c r="V73" s="3">
        <v>5000</v>
      </c>
      <c r="W73" s="721" t="s">
        <v>834</v>
      </c>
    </row>
    <row r="74" spans="1:23" ht="75" customHeight="1">
      <c r="A74" s="592"/>
      <c r="B74" s="839"/>
      <c r="C74" s="549"/>
      <c r="D74" s="549"/>
      <c r="E74" s="570"/>
      <c r="F74" s="570"/>
      <c r="G74" s="570"/>
      <c r="H74" s="570"/>
      <c r="I74" s="570"/>
      <c r="J74" s="14" t="s">
        <v>1426</v>
      </c>
      <c r="K74" s="14" t="s">
        <v>3016</v>
      </c>
      <c r="L74" s="14" t="s">
        <v>189</v>
      </c>
      <c r="M74" s="2">
        <v>0</v>
      </c>
      <c r="N74" s="2">
        <v>2</v>
      </c>
      <c r="O74" s="2">
        <v>4</v>
      </c>
      <c r="P74" s="2">
        <v>6</v>
      </c>
      <c r="Q74" s="2">
        <v>8</v>
      </c>
      <c r="R74" s="3">
        <f t="shared" si="1"/>
        <v>12000</v>
      </c>
      <c r="S74" s="3">
        <v>5000</v>
      </c>
      <c r="T74" s="3">
        <v>0</v>
      </c>
      <c r="U74" s="3">
        <v>2000</v>
      </c>
      <c r="V74" s="3">
        <v>5000</v>
      </c>
      <c r="W74" s="721"/>
    </row>
    <row r="75" spans="1:23" ht="75" customHeight="1">
      <c r="A75" s="592"/>
      <c r="B75" s="839"/>
      <c r="C75" s="549"/>
      <c r="D75" s="549"/>
      <c r="E75" s="570"/>
      <c r="F75" s="570"/>
      <c r="G75" s="570"/>
      <c r="H75" s="570"/>
      <c r="I75" s="570"/>
      <c r="J75" s="14" t="s">
        <v>1427</v>
      </c>
      <c r="K75" s="14" t="s">
        <v>1428</v>
      </c>
      <c r="L75" s="14" t="s">
        <v>189</v>
      </c>
      <c r="M75" s="2">
        <v>0</v>
      </c>
      <c r="N75" s="2">
        <v>1</v>
      </c>
      <c r="O75" s="2">
        <v>1</v>
      </c>
      <c r="P75" s="2">
        <v>1</v>
      </c>
      <c r="Q75" s="2">
        <v>1</v>
      </c>
      <c r="R75" s="3">
        <f t="shared" si="1"/>
        <v>20000</v>
      </c>
      <c r="S75" s="3">
        <v>20000</v>
      </c>
      <c r="T75" s="3">
        <v>0</v>
      </c>
      <c r="U75" s="3">
        <v>0</v>
      </c>
      <c r="V75" s="3">
        <v>0</v>
      </c>
      <c r="W75" s="721"/>
    </row>
    <row r="76" spans="1:23" ht="75" customHeight="1">
      <c r="A76" s="592"/>
      <c r="B76" s="839"/>
      <c r="C76" s="549"/>
      <c r="D76" s="549"/>
      <c r="E76" s="570"/>
      <c r="F76" s="570"/>
      <c r="G76" s="570"/>
      <c r="H76" s="570"/>
      <c r="I76" s="570"/>
      <c r="J76" s="14" t="s">
        <v>1429</v>
      </c>
      <c r="K76" s="14" t="s">
        <v>1430</v>
      </c>
      <c r="L76" s="14" t="s">
        <v>189</v>
      </c>
      <c r="M76" s="2">
        <v>0</v>
      </c>
      <c r="N76" s="2">
        <v>0</v>
      </c>
      <c r="O76" s="2">
        <v>0</v>
      </c>
      <c r="P76" s="2">
        <v>3</v>
      </c>
      <c r="Q76" s="2">
        <v>3</v>
      </c>
      <c r="R76" s="3">
        <f t="shared" si="1"/>
        <v>25000</v>
      </c>
      <c r="S76" s="3">
        <v>0</v>
      </c>
      <c r="T76" s="3">
        <v>0</v>
      </c>
      <c r="U76" s="3">
        <v>0</v>
      </c>
      <c r="V76" s="3">
        <v>25000</v>
      </c>
      <c r="W76" s="721"/>
    </row>
    <row r="77" spans="1:23" ht="75" customHeight="1">
      <c r="A77" s="592"/>
      <c r="B77" s="839"/>
      <c r="C77" s="549" t="s">
        <v>2806</v>
      </c>
      <c r="D77" s="549" t="s">
        <v>2807</v>
      </c>
      <c r="E77" s="570">
        <v>0</v>
      </c>
      <c r="F77" s="570">
        <v>1</v>
      </c>
      <c r="G77" s="570">
        <v>1</v>
      </c>
      <c r="H77" s="570">
        <v>1</v>
      </c>
      <c r="I77" s="570">
        <v>1</v>
      </c>
      <c r="J77" s="14" t="s">
        <v>321</v>
      </c>
      <c r="K77" s="14" t="s">
        <v>1432</v>
      </c>
      <c r="L77" s="14" t="s">
        <v>189</v>
      </c>
      <c r="M77" s="2">
        <v>0</v>
      </c>
      <c r="N77" s="2">
        <v>0</v>
      </c>
      <c r="O77" s="2">
        <v>1</v>
      </c>
      <c r="P77" s="2">
        <v>2</v>
      </c>
      <c r="Q77" s="2">
        <v>3</v>
      </c>
      <c r="R77" s="3">
        <f t="shared" si="1"/>
        <v>7000</v>
      </c>
      <c r="S77" s="3">
        <v>0</v>
      </c>
      <c r="T77" s="3">
        <v>0</v>
      </c>
      <c r="U77" s="3">
        <v>2000</v>
      </c>
      <c r="V77" s="3">
        <v>5000</v>
      </c>
      <c r="W77" s="721"/>
    </row>
    <row r="78" spans="1:23" ht="75" customHeight="1">
      <c r="A78" s="592"/>
      <c r="B78" s="839"/>
      <c r="C78" s="549"/>
      <c r="D78" s="549"/>
      <c r="E78" s="570"/>
      <c r="F78" s="570"/>
      <c r="G78" s="570"/>
      <c r="H78" s="570"/>
      <c r="I78" s="570"/>
      <c r="J78" s="14" t="s">
        <v>322</v>
      </c>
      <c r="K78" s="14" t="s">
        <v>1434</v>
      </c>
      <c r="L78" s="14" t="s">
        <v>189</v>
      </c>
      <c r="M78" s="2">
        <v>0</v>
      </c>
      <c r="N78" s="2">
        <v>0</v>
      </c>
      <c r="O78" s="2">
        <v>1</v>
      </c>
      <c r="P78" s="2">
        <v>2</v>
      </c>
      <c r="Q78" s="2">
        <v>3</v>
      </c>
      <c r="R78" s="3">
        <f t="shared" si="1"/>
        <v>7000</v>
      </c>
      <c r="S78" s="3">
        <v>0</v>
      </c>
      <c r="T78" s="3">
        <v>0</v>
      </c>
      <c r="U78" s="3">
        <v>2000</v>
      </c>
      <c r="V78" s="3">
        <v>5000</v>
      </c>
      <c r="W78" s="721"/>
    </row>
    <row r="79" spans="1:23" ht="75" customHeight="1">
      <c r="A79" s="592"/>
      <c r="B79" s="839"/>
      <c r="C79" s="549"/>
      <c r="D79" s="549"/>
      <c r="E79" s="570"/>
      <c r="F79" s="570"/>
      <c r="G79" s="570"/>
      <c r="H79" s="570"/>
      <c r="I79" s="570"/>
      <c r="J79" s="14" t="s">
        <v>1435</v>
      </c>
      <c r="K79" s="14" t="s">
        <v>1436</v>
      </c>
      <c r="L79" s="14" t="s">
        <v>189</v>
      </c>
      <c r="M79" s="2">
        <v>0</v>
      </c>
      <c r="N79" s="2">
        <v>2</v>
      </c>
      <c r="O79" s="2">
        <v>4</v>
      </c>
      <c r="P79" s="2">
        <v>7</v>
      </c>
      <c r="Q79" s="2">
        <v>10</v>
      </c>
      <c r="R79" s="3">
        <f t="shared" si="1"/>
        <v>10000</v>
      </c>
      <c r="S79" s="3">
        <v>5000</v>
      </c>
      <c r="T79" s="3">
        <v>0</v>
      </c>
      <c r="U79" s="3">
        <v>2000</v>
      </c>
      <c r="V79" s="3">
        <v>3000</v>
      </c>
      <c r="W79" s="721"/>
    </row>
    <row r="80" spans="1:23" ht="75" customHeight="1">
      <c r="A80" s="592"/>
      <c r="B80" s="839"/>
      <c r="C80" s="549" t="s">
        <v>2808</v>
      </c>
      <c r="D80" s="549" t="s">
        <v>8</v>
      </c>
      <c r="E80" s="845">
        <v>100</v>
      </c>
      <c r="F80" s="845">
        <v>100</v>
      </c>
      <c r="G80" s="845">
        <v>100</v>
      </c>
      <c r="H80" s="845">
        <v>100</v>
      </c>
      <c r="I80" s="570">
        <v>100</v>
      </c>
      <c r="J80" s="14" t="s">
        <v>1437</v>
      </c>
      <c r="K80" s="14" t="s">
        <v>1438</v>
      </c>
      <c r="L80" s="14" t="s">
        <v>189</v>
      </c>
      <c r="M80" s="2">
        <v>0</v>
      </c>
      <c r="N80" s="2">
        <v>0</v>
      </c>
      <c r="O80" s="2">
        <v>1</v>
      </c>
      <c r="P80" s="2">
        <v>1</v>
      </c>
      <c r="Q80" s="2">
        <v>1</v>
      </c>
      <c r="R80" s="3">
        <f t="shared" si="1"/>
        <v>140000</v>
      </c>
      <c r="S80" s="3">
        <v>0</v>
      </c>
      <c r="T80" s="3">
        <v>140000</v>
      </c>
      <c r="U80" s="3">
        <v>0</v>
      </c>
      <c r="V80" s="3">
        <v>0</v>
      </c>
      <c r="W80" s="721"/>
    </row>
    <row r="81" spans="1:23" ht="75" customHeight="1">
      <c r="A81" s="592"/>
      <c r="B81" s="839"/>
      <c r="C81" s="549"/>
      <c r="D81" s="549"/>
      <c r="E81" s="845"/>
      <c r="F81" s="845"/>
      <c r="G81" s="845"/>
      <c r="H81" s="845"/>
      <c r="I81" s="570"/>
      <c r="J81" s="14" t="s">
        <v>1439</v>
      </c>
      <c r="K81" s="14" t="s">
        <v>1440</v>
      </c>
      <c r="L81" s="14" t="s">
        <v>189</v>
      </c>
      <c r="M81" s="2">
        <v>0</v>
      </c>
      <c r="N81" s="2">
        <v>1</v>
      </c>
      <c r="O81" s="2">
        <v>2</v>
      </c>
      <c r="P81" s="2">
        <v>3</v>
      </c>
      <c r="Q81" s="2">
        <v>4</v>
      </c>
      <c r="R81" s="3">
        <f t="shared" si="1"/>
        <v>0</v>
      </c>
      <c r="S81" s="3">
        <v>0</v>
      </c>
      <c r="T81" s="3">
        <v>0</v>
      </c>
      <c r="U81" s="3">
        <v>0</v>
      </c>
      <c r="V81" s="3">
        <v>0</v>
      </c>
      <c r="W81" s="721"/>
    </row>
    <row r="82" spans="1:23" ht="75" customHeight="1">
      <c r="A82" s="592"/>
      <c r="B82" s="839"/>
      <c r="C82" s="549"/>
      <c r="D82" s="549"/>
      <c r="E82" s="845"/>
      <c r="F82" s="845"/>
      <c r="G82" s="845"/>
      <c r="H82" s="845"/>
      <c r="I82" s="570"/>
      <c r="J82" s="14" t="s">
        <v>1441</v>
      </c>
      <c r="K82" s="14" t="s">
        <v>1442</v>
      </c>
      <c r="L82" s="14" t="s">
        <v>189</v>
      </c>
      <c r="M82" s="2">
        <v>0</v>
      </c>
      <c r="N82" s="2">
        <v>0</v>
      </c>
      <c r="O82" s="2">
        <v>0</v>
      </c>
      <c r="P82" s="2">
        <v>1</v>
      </c>
      <c r="Q82" s="2">
        <v>1</v>
      </c>
      <c r="R82" s="3">
        <f t="shared" si="1"/>
        <v>40000</v>
      </c>
      <c r="S82" s="3">
        <v>0</v>
      </c>
      <c r="T82" s="3">
        <v>0</v>
      </c>
      <c r="U82" s="3">
        <v>35000</v>
      </c>
      <c r="V82" s="3">
        <v>5000</v>
      </c>
      <c r="W82" s="721"/>
    </row>
    <row r="83" spans="1:23" ht="75" customHeight="1">
      <c r="A83" s="592"/>
      <c r="B83" s="839"/>
      <c r="C83" s="14" t="s">
        <v>9</v>
      </c>
      <c r="D83" s="14" t="s">
        <v>323</v>
      </c>
      <c r="E83" s="2" t="s">
        <v>2978</v>
      </c>
      <c r="F83" s="2">
        <v>20</v>
      </c>
      <c r="G83" s="2">
        <v>50</v>
      </c>
      <c r="H83" s="2">
        <v>75</v>
      </c>
      <c r="I83" s="2">
        <v>100</v>
      </c>
      <c r="J83" s="14" t="s">
        <v>324</v>
      </c>
      <c r="K83" s="14" t="s">
        <v>1444</v>
      </c>
      <c r="L83" s="14" t="s">
        <v>189</v>
      </c>
      <c r="M83" s="2">
        <v>0</v>
      </c>
      <c r="N83" s="2">
        <v>100</v>
      </c>
      <c r="O83" s="2">
        <v>150</v>
      </c>
      <c r="P83" s="2">
        <v>200</v>
      </c>
      <c r="Q83" s="2">
        <v>250</v>
      </c>
      <c r="R83" s="3">
        <f t="shared" si="1"/>
        <v>0</v>
      </c>
      <c r="S83" s="3">
        <v>0</v>
      </c>
      <c r="T83" s="3">
        <v>0</v>
      </c>
      <c r="U83" s="3">
        <v>0</v>
      </c>
      <c r="V83" s="3">
        <v>0</v>
      </c>
      <c r="W83" s="721"/>
    </row>
    <row r="84" spans="1:23" ht="75" customHeight="1">
      <c r="A84" s="592"/>
      <c r="B84" s="839"/>
      <c r="C84" s="14" t="s">
        <v>11</v>
      </c>
      <c r="D84" s="14" t="s">
        <v>12</v>
      </c>
      <c r="E84" s="2">
        <v>0</v>
      </c>
      <c r="F84" s="2">
        <v>1</v>
      </c>
      <c r="G84" s="2">
        <v>1</v>
      </c>
      <c r="H84" s="2">
        <v>1</v>
      </c>
      <c r="I84" s="2">
        <v>1</v>
      </c>
      <c r="J84" s="14" t="s">
        <v>1445</v>
      </c>
      <c r="K84" s="14" t="s">
        <v>1446</v>
      </c>
      <c r="L84" s="14" t="s">
        <v>189</v>
      </c>
      <c r="M84" s="2">
        <v>0</v>
      </c>
      <c r="N84" s="2">
        <v>1</v>
      </c>
      <c r="O84" s="2">
        <v>1</v>
      </c>
      <c r="P84" s="2">
        <v>1</v>
      </c>
      <c r="Q84" s="2">
        <v>1</v>
      </c>
      <c r="R84" s="3">
        <f t="shared" si="1"/>
        <v>10000</v>
      </c>
      <c r="S84" s="3">
        <v>10000</v>
      </c>
      <c r="T84" s="3">
        <v>0</v>
      </c>
      <c r="U84" s="3">
        <v>0</v>
      </c>
      <c r="V84" s="3">
        <v>0</v>
      </c>
      <c r="W84" s="721"/>
    </row>
    <row r="85" spans="1:23" ht="75" customHeight="1">
      <c r="A85" s="592"/>
      <c r="B85" s="839"/>
      <c r="C85" s="14" t="s">
        <v>2420</v>
      </c>
      <c r="D85" s="14" t="s">
        <v>2421</v>
      </c>
      <c r="E85" s="2">
        <v>0</v>
      </c>
      <c r="F85" s="2">
        <v>1</v>
      </c>
      <c r="G85" s="2">
        <v>1</v>
      </c>
      <c r="H85" s="2">
        <v>1</v>
      </c>
      <c r="I85" s="2">
        <v>1</v>
      </c>
      <c r="J85" s="14" t="s">
        <v>1447</v>
      </c>
      <c r="K85" s="14" t="s">
        <v>1448</v>
      </c>
      <c r="L85" s="14" t="s">
        <v>189</v>
      </c>
      <c r="M85" s="2">
        <v>0</v>
      </c>
      <c r="N85" s="2">
        <v>1</v>
      </c>
      <c r="O85" s="2">
        <v>1</v>
      </c>
      <c r="P85" s="2">
        <v>1</v>
      </c>
      <c r="Q85" s="2">
        <v>1</v>
      </c>
      <c r="R85" s="3">
        <f t="shared" si="1"/>
        <v>30000</v>
      </c>
      <c r="S85" s="3">
        <v>30000</v>
      </c>
      <c r="T85" s="3">
        <v>0</v>
      </c>
      <c r="U85" s="3">
        <v>0</v>
      </c>
      <c r="V85" s="3">
        <v>0</v>
      </c>
      <c r="W85" s="721"/>
    </row>
    <row r="86" spans="1:23" ht="75" customHeight="1">
      <c r="A86" s="592"/>
      <c r="B86" s="839"/>
      <c r="C86" s="549" t="s">
        <v>2422</v>
      </c>
      <c r="D86" s="14" t="s">
        <v>2423</v>
      </c>
      <c r="E86" s="2">
        <v>0</v>
      </c>
      <c r="F86" s="2">
        <v>1</v>
      </c>
      <c r="G86" s="2">
        <v>1</v>
      </c>
      <c r="H86" s="2">
        <v>1</v>
      </c>
      <c r="I86" s="2">
        <v>1</v>
      </c>
      <c r="J86" s="549" t="s">
        <v>1449</v>
      </c>
      <c r="K86" s="549" t="s">
        <v>1450</v>
      </c>
      <c r="L86" s="549" t="s">
        <v>189</v>
      </c>
      <c r="M86" s="570">
        <v>0</v>
      </c>
      <c r="N86" s="570">
        <v>1</v>
      </c>
      <c r="O86" s="570">
        <v>1</v>
      </c>
      <c r="P86" s="570">
        <v>1</v>
      </c>
      <c r="Q86" s="570">
        <v>1</v>
      </c>
      <c r="R86" s="596">
        <f t="shared" si="1"/>
        <v>15000</v>
      </c>
      <c r="S86" s="816">
        <v>5000</v>
      </c>
      <c r="T86" s="570">
        <v>0</v>
      </c>
      <c r="U86" s="570">
        <v>0</v>
      </c>
      <c r="V86" s="816">
        <v>10000</v>
      </c>
      <c r="W86" s="721"/>
    </row>
    <row r="87" spans="1:23" ht="75" customHeight="1">
      <c r="A87" s="592"/>
      <c r="B87" s="839"/>
      <c r="C87" s="549"/>
      <c r="D87" s="14" t="s">
        <v>2424</v>
      </c>
      <c r="E87" s="2">
        <v>0</v>
      </c>
      <c r="F87" s="2">
        <v>1</v>
      </c>
      <c r="G87" s="2">
        <v>1</v>
      </c>
      <c r="H87" s="2">
        <v>1</v>
      </c>
      <c r="I87" s="2">
        <v>1</v>
      </c>
      <c r="J87" s="549"/>
      <c r="K87" s="549"/>
      <c r="L87" s="549"/>
      <c r="M87" s="570"/>
      <c r="N87" s="570"/>
      <c r="O87" s="570"/>
      <c r="P87" s="570"/>
      <c r="Q87" s="570"/>
      <c r="R87" s="596"/>
      <c r="S87" s="816"/>
      <c r="T87" s="570"/>
      <c r="U87" s="570"/>
      <c r="V87" s="816"/>
      <c r="W87" s="721"/>
    </row>
    <row r="88" spans="1:23" ht="75" customHeight="1">
      <c r="A88" s="592"/>
      <c r="B88" s="839"/>
      <c r="C88" s="14" t="s">
        <v>2425</v>
      </c>
      <c r="D88" s="14" t="s">
        <v>2426</v>
      </c>
      <c r="E88" s="3">
        <v>1500</v>
      </c>
      <c r="F88" s="3">
        <v>1450</v>
      </c>
      <c r="G88" s="3">
        <v>1375</v>
      </c>
      <c r="H88" s="3">
        <v>1325</v>
      </c>
      <c r="I88" s="3">
        <f>+E88-225</f>
        <v>1275</v>
      </c>
      <c r="J88" s="14" t="s">
        <v>1451</v>
      </c>
      <c r="K88" s="14" t="s">
        <v>1452</v>
      </c>
      <c r="L88" s="14" t="s">
        <v>2775</v>
      </c>
      <c r="M88" s="2">
        <v>0</v>
      </c>
      <c r="N88" s="2">
        <v>5</v>
      </c>
      <c r="O88" s="2">
        <v>7</v>
      </c>
      <c r="P88" s="2">
        <v>10</v>
      </c>
      <c r="Q88" s="2">
        <v>13</v>
      </c>
      <c r="R88" s="3">
        <f t="shared" si="1"/>
        <v>33000</v>
      </c>
      <c r="S88" s="3">
        <v>5000</v>
      </c>
      <c r="T88" s="3">
        <v>0</v>
      </c>
      <c r="U88" s="3">
        <v>3000</v>
      </c>
      <c r="V88" s="3">
        <v>25000</v>
      </c>
      <c r="W88" s="721"/>
    </row>
    <row r="89" spans="1:23" ht="75" customHeight="1">
      <c r="A89" s="592"/>
      <c r="B89" s="839"/>
      <c r="C89" s="14" t="s">
        <v>2776</v>
      </c>
      <c r="D89" s="14" t="s">
        <v>1397</v>
      </c>
      <c r="E89" s="3">
        <v>203</v>
      </c>
      <c r="F89" s="3">
        <v>195</v>
      </c>
      <c r="G89" s="3">
        <v>185</v>
      </c>
      <c r="H89" s="3">
        <v>172</v>
      </c>
      <c r="I89" s="95">
        <v>162</v>
      </c>
      <c r="J89" s="14" t="s">
        <v>1453</v>
      </c>
      <c r="K89" s="14" t="s">
        <v>3016</v>
      </c>
      <c r="L89" s="14" t="s">
        <v>189</v>
      </c>
      <c r="M89" s="2">
        <v>1</v>
      </c>
      <c r="N89" s="2">
        <v>2</v>
      </c>
      <c r="O89" s="2">
        <v>2</v>
      </c>
      <c r="P89" s="2">
        <v>2</v>
      </c>
      <c r="Q89" s="2">
        <v>2</v>
      </c>
      <c r="R89" s="3">
        <f t="shared" si="1"/>
        <v>10000</v>
      </c>
      <c r="S89" s="3">
        <v>5000</v>
      </c>
      <c r="T89" s="3">
        <v>0</v>
      </c>
      <c r="U89" s="3">
        <v>0</v>
      </c>
      <c r="V89" s="3">
        <v>5000</v>
      </c>
      <c r="W89" s="721"/>
    </row>
    <row r="90" spans="1:23" ht="75" customHeight="1">
      <c r="A90" s="592"/>
      <c r="B90" s="839"/>
      <c r="C90" s="14" t="s">
        <v>2777</v>
      </c>
      <c r="D90" s="14" t="s">
        <v>1399</v>
      </c>
      <c r="E90" s="3">
        <v>451</v>
      </c>
      <c r="F90" s="3">
        <v>421</v>
      </c>
      <c r="G90" s="3">
        <v>391</v>
      </c>
      <c r="H90" s="3">
        <v>376</v>
      </c>
      <c r="I90" s="3">
        <v>361</v>
      </c>
      <c r="J90" s="14" t="s">
        <v>325</v>
      </c>
      <c r="K90" s="14" t="s">
        <v>1455</v>
      </c>
      <c r="L90" s="14" t="s">
        <v>189</v>
      </c>
      <c r="M90" s="2">
        <v>1</v>
      </c>
      <c r="N90" s="2">
        <v>2</v>
      </c>
      <c r="O90" s="2">
        <v>3</v>
      </c>
      <c r="P90" s="2">
        <v>4</v>
      </c>
      <c r="Q90" s="2">
        <v>5</v>
      </c>
      <c r="R90" s="3">
        <f t="shared" si="1"/>
        <v>10000</v>
      </c>
      <c r="S90" s="3">
        <v>5000</v>
      </c>
      <c r="T90" s="3">
        <v>0</v>
      </c>
      <c r="U90" s="3">
        <v>0</v>
      </c>
      <c r="V90" s="3">
        <v>5000</v>
      </c>
      <c r="W90" s="721"/>
    </row>
    <row r="91" spans="1:23" ht="75" customHeight="1">
      <c r="A91" s="592"/>
      <c r="B91" s="839"/>
      <c r="C91" s="14" t="s">
        <v>2778</v>
      </c>
      <c r="D91" s="14" t="s">
        <v>1401</v>
      </c>
      <c r="E91" s="11">
        <v>0.76</v>
      </c>
      <c r="F91" s="11">
        <v>0.71</v>
      </c>
      <c r="G91" s="11">
        <v>0.66</v>
      </c>
      <c r="H91" s="11">
        <v>0.56</v>
      </c>
      <c r="I91" s="11">
        <v>0.46</v>
      </c>
      <c r="J91" s="14" t="s">
        <v>326</v>
      </c>
      <c r="K91" s="14" t="s">
        <v>327</v>
      </c>
      <c r="L91" s="14" t="s">
        <v>189</v>
      </c>
      <c r="M91" s="2">
        <v>12</v>
      </c>
      <c r="N91" s="2">
        <v>17</v>
      </c>
      <c r="O91" s="2">
        <v>22</v>
      </c>
      <c r="P91" s="2">
        <v>27</v>
      </c>
      <c r="Q91" s="2">
        <v>32</v>
      </c>
      <c r="R91" s="3">
        <f t="shared" si="1"/>
        <v>30000</v>
      </c>
      <c r="S91" s="3">
        <v>15000</v>
      </c>
      <c r="T91" s="3">
        <v>0</v>
      </c>
      <c r="U91" s="3">
        <v>0</v>
      </c>
      <c r="V91" s="3">
        <v>15000</v>
      </c>
      <c r="W91" s="721"/>
    </row>
    <row r="92" spans="1:23" ht="78.75" customHeight="1">
      <c r="A92" s="592" t="s">
        <v>837</v>
      </c>
      <c r="B92" s="839">
        <f>640000/R282*100%</f>
        <v>0.007162537734123354</v>
      </c>
      <c r="C92" s="14" t="s">
        <v>1459</v>
      </c>
      <c r="D92" s="14" t="s">
        <v>1460</v>
      </c>
      <c r="E92" s="2">
        <v>0</v>
      </c>
      <c r="F92" s="2">
        <v>1</v>
      </c>
      <c r="G92" s="2">
        <v>1</v>
      </c>
      <c r="H92" s="2">
        <v>1</v>
      </c>
      <c r="I92" s="2">
        <v>1</v>
      </c>
      <c r="J92" s="2" t="s">
        <v>1461</v>
      </c>
      <c r="K92" s="10" t="s">
        <v>3031</v>
      </c>
      <c r="L92" s="10" t="s">
        <v>189</v>
      </c>
      <c r="M92" s="2">
        <v>10</v>
      </c>
      <c r="N92" s="2">
        <v>15</v>
      </c>
      <c r="O92" s="2">
        <v>22</v>
      </c>
      <c r="P92" s="2">
        <v>20</v>
      </c>
      <c r="Q92" s="2">
        <v>23</v>
      </c>
      <c r="R92" s="3">
        <f t="shared" si="1"/>
        <v>220000</v>
      </c>
      <c r="S92" s="3">
        <f>150000-(SUM(S93:S95))</f>
        <v>80000</v>
      </c>
      <c r="T92" s="3">
        <f>160000-(SUM(T93:T95))</f>
        <v>10000</v>
      </c>
      <c r="U92" s="3">
        <f>160000-(SUM(U93:U95))</f>
        <v>70000</v>
      </c>
      <c r="V92" s="3">
        <f>170000-(SUM(V93:V95))</f>
        <v>60000</v>
      </c>
      <c r="W92" s="721" t="s">
        <v>649</v>
      </c>
    </row>
    <row r="93" spans="1:23" ht="78.75" customHeight="1">
      <c r="A93" s="592"/>
      <c r="B93" s="839"/>
      <c r="C93" s="14" t="s">
        <v>1462</v>
      </c>
      <c r="D93" s="14" t="s">
        <v>1463</v>
      </c>
      <c r="E93" s="2">
        <v>0</v>
      </c>
      <c r="F93" s="2">
        <v>3</v>
      </c>
      <c r="G93" s="2">
        <v>7</v>
      </c>
      <c r="H93" s="2">
        <v>10</v>
      </c>
      <c r="I93" s="2">
        <v>13</v>
      </c>
      <c r="J93" s="2" t="s">
        <v>1464</v>
      </c>
      <c r="K93" s="10" t="s">
        <v>3016</v>
      </c>
      <c r="L93" s="10" t="s">
        <v>189</v>
      </c>
      <c r="M93" s="2">
        <v>0</v>
      </c>
      <c r="N93" s="2">
        <v>10</v>
      </c>
      <c r="O93" s="2">
        <v>20</v>
      </c>
      <c r="P93" s="2">
        <v>25</v>
      </c>
      <c r="Q93" s="2">
        <v>30</v>
      </c>
      <c r="R93" s="3">
        <f t="shared" si="1"/>
        <v>140000</v>
      </c>
      <c r="S93" s="3">
        <v>20000</v>
      </c>
      <c r="T93" s="3">
        <v>30000</v>
      </c>
      <c r="U93" s="3">
        <v>40000</v>
      </c>
      <c r="V93" s="3">
        <v>50000</v>
      </c>
      <c r="W93" s="721"/>
    </row>
    <row r="94" spans="1:23" ht="78.75" customHeight="1">
      <c r="A94" s="592"/>
      <c r="B94" s="839"/>
      <c r="C94" s="14" t="s">
        <v>1465</v>
      </c>
      <c r="D94" s="14" t="s">
        <v>1466</v>
      </c>
      <c r="E94" s="2">
        <v>0</v>
      </c>
      <c r="F94" s="2">
        <v>0</v>
      </c>
      <c r="G94" s="2">
        <v>1</v>
      </c>
      <c r="H94" s="2">
        <v>1</v>
      </c>
      <c r="I94" s="2">
        <v>1</v>
      </c>
      <c r="J94" s="2" t="s">
        <v>1467</v>
      </c>
      <c r="K94" s="10" t="s">
        <v>1448</v>
      </c>
      <c r="L94" s="10" t="s">
        <v>189</v>
      </c>
      <c r="M94" s="2">
        <v>0</v>
      </c>
      <c r="N94" s="2">
        <v>0</v>
      </c>
      <c r="O94" s="2">
        <v>1</v>
      </c>
      <c r="P94" s="2">
        <v>1</v>
      </c>
      <c r="Q94" s="2">
        <v>1</v>
      </c>
      <c r="R94" s="3">
        <f t="shared" si="1"/>
        <v>80000</v>
      </c>
      <c r="S94" s="3">
        <v>0</v>
      </c>
      <c r="T94" s="3">
        <v>80000</v>
      </c>
      <c r="U94" s="3">
        <v>0</v>
      </c>
      <c r="V94" s="3">
        <v>0</v>
      </c>
      <c r="W94" s="721"/>
    </row>
    <row r="95" spans="1:23" ht="78.75" customHeight="1">
      <c r="A95" s="592"/>
      <c r="B95" s="839"/>
      <c r="C95" s="14" t="s">
        <v>1468</v>
      </c>
      <c r="D95" s="14" t="s">
        <v>1469</v>
      </c>
      <c r="E95" s="2">
        <v>1</v>
      </c>
      <c r="F95" s="2">
        <v>2</v>
      </c>
      <c r="G95" s="2">
        <v>2</v>
      </c>
      <c r="H95" s="2">
        <v>2</v>
      </c>
      <c r="I95" s="2">
        <v>2</v>
      </c>
      <c r="J95" s="2" t="s">
        <v>1470</v>
      </c>
      <c r="K95" s="10" t="s">
        <v>1471</v>
      </c>
      <c r="L95" s="10" t="s">
        <v>189</v>
      </c>
      <c r="M95" s="2">
        <v>1</v>
      </c>
      <c r="N95" s="2">
        <v>2</v>
      </c>
      <c r="O95" s="2">
        <v>2</v>
      </c>
      <c r="P95" s="2">
        <v>2</v>
      </c>
      <c r="Q95" s="2">
        <v>2</v>
      </c>
      <c r="R95" s="3">
        <f t="shared" si="1"/>
        <v>200000</v>
      </c>
      <c r="S95" s="3">
        <v>50000</v>
      </c>
      <c r="T95" s="3">
        <v>40000</v>
      </c>
      <c r="U95" s="3">
        <v>50000</v>
      </c>
      <c r="V95" s="3">
        <v>60000</v>
      </c>
      <c r="W95" s="721"/>
    </row>
    <row r="96" spans="1:23" ht="78.75" customHeight="1">
      <c r="A96" s="592" t="s">
        <v>838</v>
      </c>
      <c r="B96" s="839">
        <f>640000/R282*100%</f>
        <v>0.007162537734123354</v>
      </c>
      <c r="C96" s="14" t="s">
        <v>1496</v>
      </c>
      <c r="D96" s="14" t="s">
        <v>2372</v>
      </c>
      <c r="E96" s="2">
        <v>0</v>
      </c>
      <c r="F96" s="2">
        <v>5</v>
      </c>
      <c r="G96" s="2">
        <v>10</v>
      </c>
      <c r="H96" s="2">
        <v>17</v>
      </c>
      <c r="I96" s="2">
        <v>24</v>
      </c>
      <c r="J96" s="2" t="s">
        <v>1497</v>
      </c>
      <c r="K96" s="10" t="s">
        <v>3016</v>
      </c>
      <c r="L96" s="10" t="s">
        <v>189</v>
      </c>
      <c r="M96" s="2">
        <v>0</v>
      </c>
      <c r="N96" s="2">
        <v>5</v>
      </c>
      <c r="O96" s="2">
        <v>10</v>
      </c>
      <c r="P96" s="2">
        <v>17</v>
      </c>
      <c r="Q96" s="2">
        <v>24</v>
      </c>
      <c r="R96" s="3">
        <f t="shared" si="1"/>
        <v>120000</v>
      </c>
      <c r="S96" s="3">
        <f>150000-(SUM(S97:S101))</f>
        <v>50000</v>
      </c>
      <c r="T96" s="3">
        <f>160000-(SUM(T97:T101))</f>
        <v>10000</v>
      </c>
      <c r="U96" s="3">
        <f>160000-(SUM(U97:U101))</f>
        <v>35000</v>
      </c>
      <c r="V96" s="3">
        <f>170000-(SUM(V97:V101))</f>
        <v>25000</v>
      </c>
      <c r="W96" s="721" t="s">
        <v>649</v>
      </c>
    </row>
    <row r="97" spans="1:23" ht="78.75" customHeight="1">
      <c r="A97" s="592"/>
      <c r="B97" s="839"/>
      <c r="C97" s="14" t="s">
        <v>1498</v>
      </c>
      <c r="D97" s="14" t="s">
        <v>1499</v>
      </c>
      <c r="E97" s="2">
        <v>0</v>
      </c>
      <c r="F97" s="2">
        <v>0</v>
      </c>
      <c r="G97" s="2">
        <v>1</v>
      </c>
      <c r="H97" s="2">
        <v>1</v>
      </c>
      <c r="I97" s="2">
        <v>1</v>
      </c>
      <c r="J97" s="2" t="s">
        <v>2779</v>
      </c>
      <c r="K97" s="10" t="s">
        <v>1501</v>
      </c>
      <c r="L97" s="10" t="s">
        <v>189</v>
      </c>
      <c r="M97" s="2">
        <v>0</v>
      </c>
      <c r="N97" s="2">
        <v>0</v>
      </c>
      <c r="O97" s="2">
        <v>1</v>
      </c>
      <c r="P97" s="2">
        <v>1</v>
      </c>
      <c r="Q97" s="2">
        <v>1</v>
      </c>
      <c r="R97" s="3">
        <f t="shared" si="1"/>
        <v>90000</v>
      </c>
      <c r="S97" s="3">
        <v>0</v>
      </c>
      <c r="T97" s="3">
        <v>90000</v>
      </c>
      <c r="U97" s="3">
        <v>0</v>
      </c>
      <c r="V97" s="3">
        <v>0</v>
      </c>
      <c r="W97" s="721"/>
    </row>
    <row r="98" spans="1:23" ht="78.75" customHeight="1">
      <c r="A98" s="592"/>
      <c r="B98" s="839"/>
      <c r="C98" s="14" t="s">
        <v>1502</v>
      </c>
      <c r="D98" s="14" t="s">
        <v>1503</v>
      </c>
      <c r="E98" s="2">
        <v>1</v>
      </c>
      <c r="F98" s="2">
        <v>2</v>
      </c>
      <c r="G98" s="2">
        <v>2</v>
      </c>
      <c r="H98" s="2">
        <v>2</v>
      </c>
      <c r="I98" s="2">
        <v>2</v>
      </c>
      <c r="J98" s="2" t="s">
        <v>1504</v>
      </c>
      <c r="K98" s="10" t="s">
        <v>1505</v>
      </c>
      <c r="L98" s="10" t="s">
        <v>189</v>
      </c>
      <c r="M98" s="2">
        <v>1</v>
      </c>
      <c r="N98" s="2">
        <v>2</v>
      </c>
      <c r="O98" s="2">
        <v>2</v>
      </c>
      <c r="P98" s="2">
        <v>2</v>
      </c>
      <c r="Q98" s="2">
        <v>2</v>
      </c>
      <c r="R98" s="3">
        <f t="shared" si="1"/>
        <v>200000</v>
      </c>
      <c r="S98" s="3">
        <v>50000</v>
      </c>
      <c r="T98" s="3">
        <v>20000</v>
      </c>
      <c r="U98" s="3">
        <v>60000</v>
      </c>
      <c r="V98" s="3">
        <v>70000</v>
      </c>
      <c r="W98" s="721"/>
    </row>
    <row r="99" spans="1:23" ht="78.75" customHeight="1">
      <c r="A99" s="592"/>
      <c r="B99" s="839"/>
      <c r="C99" s="14" t="s">
        <v>1506</v>
      </c>
      <c r="D99" s="14" t="s">
        <v>1507</v>
      </c>
      <c r="E99" s="2">
        <v>0</v>
      </c>
      <c r="F99" s="2">
        <v>1</v>
      </c>
      <c r="G99" s="2">
        <v>1</v>
      </c>
      <c r="H99" s="2">
        <v>1</v>
      </c>
      <c r="I99" s="2">
        <v>1</v>
      </c>
      <c r="J99" s="2" t="s">
        <v>1508</v>
      </c>
      <c r="K99" s="10" t="s">
        <v>2359</v>
      </c>
      <c r="L99" s="10" t="s">
        <v>189</v>
      </c>
      <c r="M99" s="2">
        <v>0</v>
      </c>
      <c r="N99" s="2">
        <v>1</v>
      </c>
      <c r="O99" s="2">
        <v>1</v>
      </c>
      <c r="P99" s="2">
        <v>1</v>
      </c>
      <c r="Q99" s="2">
        <v>1</v>
      </c>
      <c r="R99" s="3">
        <f t="shared" si="1"/>
        <v>40000</v>
      </c>
      <c r="S99" s="3">
        <v>10000</v>
      </c>
      <c r="T99" s="3">
        <v>10000</v>
      </c>
      <c r="U99" s="3">
        <v>10000</v>
      </c>
      <c r="V99" s="3">
        <v>10000</v>
      </c>
      <c r="W99" s="721"/>
    </row>
    <row r="100" spans="1:23" ht="78.75" customHeight="1">
      <c r="A100" s="592"/>
      <c r="B100" s="839"/>
      <c r="C100" s="14" t="s">
        <v>1509</v>
      </c>
      <c r="D100" s="14" t="s">
        <v>1510</v>
      </c>
      <c r="E100" s="2">
        <v>1</v>
      </c>
      <c r="F100" s="2">
        <v>2</v>
      </c>
      <c r="G100" s="2">
        <v>3</v>
      </c>
      <c r="H100" s="2">
        <v>4</v>
      </c>
      <c r="I100" s="2">
        <v>5</v>
      </c>
      <c r="J100" s="2" t="s">
        <v>1511</v>
      </c>
      <c r="K100" s="10" t="s">
        <v>1323</v>
      </c>
      <c r="L100" s="10" t="s">
        <v>189</v>
      </c>
      <c r="M100" s="3">
        <v>500</v>
      </c>
      <c r="N100" s="3">
        <v>650</v>
      </c>
      <c r="O100" s="3">
        <v>800</v>
      </c>
      <c r="P100" s="3">
        <v>950</v>
      </c>
      <c r="Q100" s="3">
        <v>1100</v>
      </c>
      <c r="R100" s="3">
        <f t="shared" si="1"/>
        <v>90000</v>
      </c>
      <c r="S100" s="3">
        <v>20000</v>
      </c>
      <c r="T100" s="3">
        <v>20000</v>
      </c>
      <c r="U100" s="3">
        <v>25000</v>
      </c>
      <c r="V100" s="3">
        <v>25000</v>
      </c>
      <c r="W100" s="721"/>
    </row>
    <row r="101" spans="1:23" ht="78.75" customHeight="1">
      <c r="A101" s="592"/>
      <c r="B101" s="839"/>
      <c r="C101" s="14" t="s">
        <v>1512</v>
      </c>
      <c r="D101" s="14" t="s">
        <v>1513</v>
      </c>
      <c r="E101" s="97">
        <v>0.32</v>
      </c>
      <c r="F101" s="97">
        <v>0.38</v>
      </c>
      <c r="G101" s="97">
        <v>0.46</v>
      </c>
      <c r="H101" s="97">
        <v>0.54</v>
      </c>
      <c r="I101" s="97">
        <v>0.62</v>
      </c>
      <c r="J101" s="2" t="s">
        <v>1514</v>
      </c>
      <c r="K101" s="10" t="s">
        <v>1515</v>
      </c>
      <c r="L101" s="10" t="s">
        <v>189</v>
      </c>
      <c r="M101" s="3">
        <v>6000</v>
      </c>
      <c r="N101" s="3">
        <v>6500</v>
      </c>
      <c r="O101" s="3">
        <v>7043</v>
      </c>
      <c r="P101" s="3">
        <v>7943</v>
      </c>
      <c r="Q101" s="3">
        <v>8843</v>
      </c>
      <c r="R101" s="3">
        <f t="shared" si="1"/>
        <v>100000</v>
      </c>
      <c r="S101" s="3">
        <v>20000</v>
      </c>
      <c r="T101" s="3">
        <v>10000</v>
      </c>
      <c r="U101" s="3">
        <v>30000</v>
      </c>
      <c r="V101" s="3">
        <v>40000</v>
      </c>
      <c r="W101" s="10" t="s">
        <v>436</v>
      </c>
    </row>
    <row r="102" spans="1:23" ht="78.75" customHeight="1">
      <c r="A102" s="592" t="s">
        <v>839</v>
      </c>
      <c r="B102" s="839">
        <f>230000/R282*100%</f>
        <v>0.0025740369982005804</v>
      </c>
      <c r="C102" s="14" t="s">
        <v>1518</v>
      </c>
      <c r="D102" s="14" t="s">
        <v>1519</v>
      </c>
      <c r="E102" s="2">
        <v>0</v>
      </c>
      <c r="F102" s="2">
        <v>200</v>
      </c>
      <c r="G102" s="2">
        <v>400</v>
      </c>
      <c r="H102" s="2">
        <v>700</v>
      </c>
      <c r="I102" s="3">
        <v>1000</v>
      </c>
      <c r="J102" s="113" t="s">
        <v>1520</v>
      </c>
      <c r="K102" s="10" t="s">
        <v>1521</v>
      </c>
      <c r="L102" s="10" t="s">
        <v>189</v>
      </c>
      <c r="M102" s="2">
        <v>0</v>
      </c>
      <c r="N102" s="2">
        <v>10</v>
      </c>
      <c r="O102" s="2">
        <v>20</v>
      </c>
      <c r="P102" s="2">
        <v>35</v>
      </c>
      <c r="Q102" s="2">
        <v>50</v>
      </c>
      <c r="R102" s="3">
        <f t="shared" si="1"/>
        <v>31000</v>
      </c>
      <c r="S102" s="3">
        <f>50000-(SUM(S103:S108))</f>
        <v>9000</v>
      </c>
      <c r="T102" s="3">
        <f>60000-(SUM(T103:T108))</f>
        <v>4000</v>
      </c>
      <c r="U102" s="3">
        <f>60000-(SUM(U103:U108))</f>
        <v>9000</v>
      </c>
      <c r="V102" s="3">
        <f>60000-(SUM(V103:V108))</f>
        <v>9000</v>
      </c>
      <c r="W102" s="721" t="s">
        <v>840</v>
      </c>
    </row>
    <row r="103" spans="1:23" ht="78.75" customHeight="1">
      <c r="A103" s="592"/>
      <c r="B103" s="839"/>
      <c r="C103" s="14" t="s">
        <v>1523</v>
      </c>
      <c r="D103" s="14" t="s">
        <v>1524</v>
      </c>
      <c r="E103" s="2">
        <v>1</v>
      </c>
      <c r="F103" s="2">
        <v>1</v>
      </c>
      <c r="G103" s="2">
        <v>2</v>
      </c>
      <c r="H103" s="2">
        <v>2</v>
      </c>
      <c r="I103" s="2">
        <v>2</v>
      </c>
      <c r="J103" s="113" t="s">
        <v>1525</v>
      </c>
      <c r="K103" s="10" t="s">
        <v>1526</v>
      </c>
      <c r="L103" s="10" t="s">
        <v>189</v>
      </c>
      <c r="M103" s="2">
        <v>1</v>
      </c>
      <c r="N103" s="2">
        <v>1</v>
      </c>
      <c r="O103" s="2">
        <v>2</v>
      </c>
      <c r="P103" s="2">
        <v>2</v>
      </c>
      <c r="Q103" s="2">
        <v>2</v>
      </c>
      <c r="R103" s="3">
        <f t="shared" si="1"/>
        <v>25000</v>
      </c>
      <c r="S103" s="3">
        <v>0</v>
      </c>
      <c r="T103" s="3">
        <v>25000</v>
      </c>
      <c r="U103" s="3">
        <v>0</v>
      </c>
      <c r="V103" s="3">
        <v>0</v>
      </c>
      <c r="W103" s="721"/>
    </row>
    <row r="104" spans="1:23" ht="78.75" customHeight="1">
      <c r="A104" s="592"/>
      <c r="B104" s="839"/>
      <c r="C104" s="549" t="s">
        <v>1527</v>
      </c>
      <c r="D104" s="549" t="s">
        <v>1528</v>
      </c>
      <c r="E104" s="570">
        <v>0</v>
      </c>
      <c r="F104" s="570">
        <v>1</v>
      </c>
      <c r="G104" s="570">
        <v>1</v>
      </c>
      <c r="H104" s="570">
        <v>1</v>
      </c>
      <c r="I104" s="570">
        <v>1</v>
      </c>
      <c r="J104" s="113" t="s">
        <v>1529</v>
      </c>
      <c r="K104" s="10" t="s">
        <v>3016</v>
      </c>
      <c r="L104" s="10" t="s">
        <v>189</v>
      </c>
      <c r="M104" s="2">
        <v>0</v>
      </c>
      <c r="N104" s="2">
        <v>1</v>
      </c>
      <c r="O104" s="2">
        <v>1</v>
      </c>
      <c r="P104" s="2">
        <v>1</v>
      </c>
      <c r="Q104" s="2">
        <v>1</v>
      </c>
      <c r="R104" s="3">
        <f t="shared" si="1"/>
        <v>40000</v>
      </c>
      <c r="S104" s="3">
        <v>10000</v>
      </c>
      <c r="T104" s="3">
        <v>10000</v>
      </c>
      <c r="U104" s="3">
        <v>10000</v>
      </c>
      <c r="V104" s="3">
        <v>10000</v>
      </c>
      <c r="W104" s="721" t="s">
        <v>649</v>
      </c>
    </row>
    <row r="105" spans="1:23" ht="78.75" customHeight="1">
      <c r="A105" s="592"/>
      <c r="B105" s="839"/>
      <c r="C105" s="549"/>
      <c r="D105" s="549"/>
      <c r="E105" s="570"/>
      <c r="F105" s="570"/>
      <c r="G105" s="570"/>
      <c r="H105" s="570"/>
      <c r="I105" s="570"/>
      <c r="J105" s="113" t="s">
        <v>1531</v>
      </c>
      <c r="K105" s="10" t="s">
        <v>1507</v>
      </c>
      <c r="L105" s="10" t="s">
        <v>189</v>
      </c>
      <c r="M105" s="2">
        <v>0</v>
      </c>
      <c r="N105" s="2">
        <v>1</v>
      </c>
      <c r="O105" s="2">
        <v>1</v>
      </c>
      <c r="P105" s="2">
        <v>1</v>
      </c>
      <c r="Q105" s="2">
        <v>1</v>
      </c>
      <c r="R105" s="3">
        <f t="shared" si="1"/>
        <v>4000</v>
      </c>
      <c r="S105" s="3">
        <v>1000</v>
      </c>
      <c r="T105" s="3">
        <v>1000</v>
      </c>
      <c r="U105" s="3">
        <v>1000</v>
      </c>
      <c r="V105" s="3">
        <v>1000</v>
      </c>
      <c r="W105" s="721"/>
    </row>
    <row r="106" spans="1:23" ht="78.75" customHeight="1">
      <c r="A106" s="592"/>
      <c r="B106" s="839"/>
      <c r="C106" s="14" t="s">
        <v>1532</v>
      </c>
      <c r="D106" s="14" t="s">
        <v>1533</v>
      </c>
      <c r="E106" s="2">
        <v>0</v>
      </c>
      <c r="F106" s="2">
        <v>13</v>
      </c>
      <c r="G106" s="2">
        <v>13</v>
      </c>
      <c r="H106" s="2">
        <v>13</v>
      </c>
      <c r="I106" s="2">
        <v>13</v>
      </c>
      <c r="J106" s="113" t="s">
        <v>1534</v>
      </c>
      <c r="K106" s="10" t="s">
        <v>1535</v>
      </c>
      <c r="L106" s="10" t="s">
        <v>189</v>
      </c>
      <c r="M106" s="2">
        <v>0</v>
      </c>
      <c r="N106" s="2">
        <v>13</v>
      </c>
      <c r="O106" s="2">
        <v>13</v>
      </c>
      <c r="P106" s="2">
        <v>13</v>
      </c>
      <c r="Q106" s="2">
        <v>13</v>
      </c>
      <c r="R106" s="3">
        <f aca="true" t="shared" si="2" ref="R106:R129">+S106+T106+U106+V106</f>
        <v>65000</v>
      </c>
      <c r="S106" s="3">
        <v>15000</v>
      </c>
      <c r="T106" s="3">
        <v>10000</v>
      </c>
      <c r="U106" s="3">
        <v>20000</v>
      </c>
      <c r="V106" s="3">
        <v>20000</v>
      </c>
      <c r="W106" s="10" t="s">
        <v>840</v>
      </c>
    </row>
    <row r="107" spans="1:23" ht="78.75" customHeight="1">
      <c r="A107" s="592"/>
      <c r="B107" s="839"/>
      <c r="C107" s="14" t="s">
        <v>1536</v>
      </c>
      <c r="D107" s="14" t="s">
        <v>1537</v>
      </c>
      <c r="E107" s="2">
        <v>0</v>
      </c>
      <c r="F107" s="2">
        <v>500</v>
      </c>
      <c r="G107" s="2">
        <v>1000</v>
      </c>
      <c r="H107" s="2">
        <v>1500</v>
      </c>
      <c r="I107" s="3">
        <v>2000</v>
      </c>
      <c r="J107" s="113" t="s">
        <v>1538</v>
      </c>
      <c r="K107" s="10" t="s">
        <v>1539</v>
      </c>
      <c r="L107" s="10" t="s">
        <v>189</v>
      </c>
      <c r="M107" s="2">
        <v>0</v>
      </c>
      <c r="N107" s="2">
        <v>100</v>
      </c>
      <c r="O107" s="2">
        <v>200</v>
      </c>
      <c r="P107" s="2">
        <v>350</v>
      </c>
      <c r="Q107" s="2">
        <v>500</v>
      </c>
      <c r="R107" s="3">
        <f t="shared" si="2"/>
        <v>45000</v>
      </c>
      <c r="S107" s="3">
        <v>10000</v>
      </c>
      <c r="T107" s="3">
        <v>5000</v>
      </c>
      <c r="U107" s="3">
        <v>15000</v>
      </c>
      <c r="V107" s="3">
        <v>15000</v>
      </c>
      <c r="W107" s="10" t="s">
        <v>834</v>
      </c>
    </row>
    <row r="108" spans="1:23" ht="78.75" customHeight="1">
      <c r="A108" s="592"/>
      <c r="B108" s="839"/>
      <c r="C108" s="14" t="s">
        <v>1540</v>
      </c>
      <c r="D108" s="14" t="s">
        <v>1541</v>
      </c>
      <c r="E108" s="2">
        <v>0</v>
      </c>
      <c r="F108" s="2">
        <v>1</v>
      </c>
      <c r="G108" s="2">
        <v>1</v>
      </c>
      <c r="H108" s="2">
        <v>1</v>
      </c>
      <c r="I108" s="2">
        <v>1</v>
      </c>
      <c r="J108" s="113" t="s">
        <v>1542</v>
      </c>
      <c r="K108" s="10" t="s">
        <v>1543</v>
      </c>
      <c r="L108" s="297" t="s">
        <v>189</v>
      </c>
      <c r="M108" s="2">
        <v>0</v>
      </c>
      <c r="N108" s="2">
        <v>1</v>
      </c>
      <c r="O108" s="2">
        <v>1</v>
      </c>
      <c r="P108" s="2">
        <v>1</v>
      </c>
      <c r="Q108" s="2">
        <v>1</v>
      </c>
      <c r="R108" s="3">
        <f t="shared" si="2"/>
        <v>20000</v>
      </c>
      <c r="S108" s="3">
        <v>5000</v>
      </c>
      <c r="T108" s="3">
        <v>5000</v>
      </c>
      <c r="U108" s="3">
        <v>5000</v>
      </c>
      <c r="V108" s="3">
        <v>5000</v>
      </c>
      <c r="W108" s="10" t="s">
        <v>834</v>
      </c>
    </row>
    <row r="109" spans="1:23" ht="78.75" customHeight="1">
      <c r="A109" s="592" t="s">
        <v>841</v>
      </c>
      <c r="B109" s="839">
        <f>300000/R282*100%</f>
        <v>0.0033574395628703222</v>
      </c>
      <c r="C109" s="549" t="s">
        <v>1545</v>
      </c>
      <c r="D109" s="549" t="s">
        <v>1546</v>
      </c>
      <c r="E109" s="570">
        <v>0</v>
      </c>
      <c r="F109" s="570">
        <v>100</v>
      </c>
      <c r="G109" s="570">
        <v>100</v>
      </c>
      <c r="H109" s="570">
        <v>100</v>
      </c>
      <c r="I109" s="570">
        <v>100</v>
      </c>
      <c r="J109" s="14" t="s">
        <v>1547</v>
      </c>
      <c r="K109" s="14" t="s">
        <v>613</v>
      </c>
      <c r="L109" s="14" t="s">
        <v>189</v>
      </c>
      <c r="M109" s="2">
        <v>0</v>
      </c>
      <c r="N109" s="2">
        <v>50</v>
      </c>
      <c r="O109" s="2">
        <v>50</v>
      </c>
      <c r="P109" s="2">
        <v>50</v>
      </c>
      <c r="Q109" s="2">
        <v>50</v>
      </c>
      <c r="R109" s="3">
        <f t="shared" si="2"/>
        <v>0</v>
      </c>
      <c r="S109" s="3">
        <v>0</v>
      </c>
      <c r="T109" s="3">
        <v>0</v>
      </c>
      <c r="U109" s="3">
        <v>0</v>
      </c>
      <c r="V109" s="3">
        <v>0</v>
      </c>
      <c r="W109" s="721" t="s">
        <v>1977</v>
      </c>
    </row>
    <row r="110" spans="1:23" ht="78.75" customHeight="1">
      <c r="A110" s="592"/>
      <c r="B110" s="839"/>
      <c r="C110" s="549"/>
      <c r="D110" s="549"/>
      <c r="E110" s="570"/>
      <c r="F110" s="570"/>
      <c r="G110" s="570"/>
      <c r="H110" s="570"/>
      <c r="I110" s="570"/>
      <c r="J110" s="113" t="s">
        <v>328</v>
      </c>
      <c r="K110" s="14" t="s">
        <v>329</v>
      </c>
      <c r="L110" s="14" t="s">
        <v>189</v>
      </c>
      <c r="M110" s="2">
        <v>0</v>
      </c>
      <c r="N110" s="2">
        <v>50</v>
      </c>
      <c r="O110" s="2">
        <v>50</v>
      </c>
      <c r="P110" s="2">
        <v>50</v>
      </c>
      <c r="Q110" s="2">
        <v>50</v>
      </c>
      <c r="R110" s="3">
        <f t="shared" si="2"/>
        <v>0</v>
      </c>
      <c r="S110" s="3">
        <v>0</v>
      </c>
      <c r="T110" s="3">
        <v>0</v>
      </c>
      <c r="U110" s="3">
        <v>0</v>
      </c>
      <c r="V110" s="3">
        <v>0</v>
      </c>
      <c r="W110" s="721"/>
    </row>
    <row r="111" spans="1:23" ht="78.75" customHeight="1">
      <c r="A111" s="592"/>
      <c r="B111" s="839"/>
      <c r="C111" s="14" t="s">
        <v>2634</v>
      </c>
      <c r="D111" s="14" t="s">
        <v>2635</v>
      </c>
      <c r="E111" s="2">
        <v>0</v>
      </c>
      <c r="F111" s="2">
        <v>0</v>
      </c>
      <c r="G111" s="2">
        <v>110</v>
      </c>
      <c r="H111" s="2">
        <v>110</v>
      </c>
      <c r="I111" s="2">
        <v>110</v>
      </c>
      <c r="J111" s="113" t="s">
        <v>1550</v>
      </c>
      <c r="K111" s="10" t="s">
        <v>1551</v>
      </c>
      <c r="L111" s="10" t="s">
        <v>189</v>
      </c>
      <c r="M111" s="2">
        <v>0.02</v>
      </c>
      <c r="N111" s="2">
        <v>0</v>
      </c>
      <c r="O111" s="2">
        <v>1</v>
      </c>
      <c r="P111" s="2">
        <v>1</v>
      </c>
      <c r="Q111" s="2">
        <v>1</v>
      </c>
      <c r="R111" s="3">
        <f t="shared" si="2"/>
        <v>150000</v>
      </c>
      <c r="S111" s="3">
        <v>0</v>
      </c>
      <c r="T111" s="3">
        <v>50000</v>
      </c>
      <c r="U111" s="3">
        <f>+T111</f>
        <v>50000</v>
      </c>
      <c r="V111" s="3">
        <f>+U111</f>
        <v>50000</v>
      </c>
      <c r="W111" s="721"/>
    </row>
    <row r="112" spans="1:23" ht="78.75" customHeight="1">
      <c r="A112" s="592"/>
      <c r="B112" s="839"/>
      <c r="C112" s="14" t="s">
        <v>2636</v>
      </c>
      <c r="D112" s="14" t="s">
        <v>2637</v>
      </c>
      <c r="E112" s="2">
        <v>0</v>
      </c>
      <c r="F112" s="2">
        <v>58</v>
      </c>
      <c r="G112" s="2">
        <v>58</v>
      </c>
      <c r="H112" s="2">
        <v>58</v>
      </c>
      <c r="I112" s="2">
        <v>58</v>
      </c>
      <c r="J112" s="113" t="s">
        <v>1550</v>
      </c>
      <c r="K112" s="10" t="s">
        <v>1551</v>
      </c>
      <c r="L112" s="10" t="s">
        <v>189</v>
      </c>
      <c r="M112" s="2">
        <v>0</v>
      </c>
      <c r="N112" s="2">
        <v>0</v>
      </c>
      <c r="O112" s="2">
        <v>1</v>
      </c>
      <c r="P112" s="2">
        <v>1</v>
      </c>
      <c r="Q112" s="2">
        <v>1</v>
      </c>
      <c r="R112" s="3">
        <f t="shared" si="2"/>
        <v>150000</v>
      </c>
      <c r="S112" s="3">
        <v>0</v>
      </c>
      <c r="T112" s="3">
        <v>50000</v>
      </c>
      <c r="U112" s="3">
        <f>+T112</f>
        <v>50000</v>
      </c>
      <c r="V112" s="3">
        <f>+U112</f>
        <v>50000</v>
      </c>
      <c r="W112" s="721"/>
    </row>
    <row r="113" spans="1:23" ht="78.75" customHeight="1">
      <c r="A113" s="592" t="s">
        <v>842</v>
      </c>
      <c r="B113" s="839">
        <f>110000/R282*100%</f>
        <v>0.0012310611730524514</v>
      </c>
      <c r="C113" s="549" t="s">
        <v>2639</v>
      </c>
      <c r="D113" s="549" t="s">
        <v>2640</v>
      </c>
      <c r="E113" s="816">
        <v>15695</v>
      </c>
      <c r="F113" s="816">
        <v>16700</v>
      </c>
      <c r="G113" s="816">
        <v>17700</v>
      </c>
      <c r="H113" s="816">
        <v>18700</v>
      </c>
      <c r="I113" s="816">
        <v>20000</v>
      </c>
      <c r="J113" s="14" t="s">
        <v>2641</v>
      </c>
      <c r="K113" s="14" t="s">
        <v>2642</v>
      </c>
      <c r="L113" s="14" t="s">
        <v>189</v>
      </c>
      <c r="M113" s="2">
        <v>37</v>
      </c>
      <c r="N113" s="2">
        <v>39</v>
      </c>
      <c r="O113" s="2">
        <v>41</v>
      </c>
      <c r="P113" s="2">
        <v>43</v>
      </c>
      <c r="Q113" s="2">
        <v>45</v>
      </c>
      <c r="R113" s="3">
        <f t="shared" si="2"/>
        <v>40000</v>
      </c>
      <c r="S113" s="3">
        <f>50000-(SUM(S114:S117))</f>
        <v>10000</v>
      </c>
      <c r="T113" s="3">
        <f>50000-(SUM(T114:T117))</f>
        <v>10000</v>
      </c>
      <c r="U113" s="3">
        <f>60000-(SUM(U114:U117))</f>
        <v>10000</v>
      </c>
      <c r="V113" s="3">
        <f>60000-(SUM(V114:V117))</f>
        <v>10000</v>
      </c>
      <c r="W113" s="721" t="s">
        <v>835</v>
      </c>
    </row>
    <row r="114" spans="1:23" ht="78.75" customHeight="1">
      <c r="A114" s="592"/>
      <c r="B114" s="839"/>
      <c r="C114" s="549"/>
      <c r="D114" s="549"/>
      <c r="E114" s="816"/>
      <c r="F114" s="816"/>
      <c r="G114" s="816"/>
      <c r="H114" s="816"/>
      <c r="I114" s="816"/>
      <c r="J114" s="14" t="s">
        <v>1564</v>
      </c>
      <c r="K114" s="14" t="s">
        <v>330</v>
      </c>
      <c r="L114" s="14" t="s">
        <v>189</v>
      </c>
      <c r="M114" s="2">
        <v>1</v>
      </c>
      <c r="N114" s="2">
        <v>3</v>
      </c>
      <c r="O114" s="2">
        <v>5</v>
      </c>
      <c r="P114" s="2">
        <v>7</v>
      </c>
      <c r="Q114" s="2">
        <v>9</v>
      </c>
      <c r="R114" s="3">
        <f t="shared" si="2"/>
        <v>70000</v>
      </c>
      <c r="S114" s="3">
        <v>15000</v>
      </c>
      <c r="T114" s="3">
        <v>15000</v>
      </c>
      <c r="U114" s="3">
        <v>20000</v>
      </c>
      <c r="V114" s="3">
        <v>20000</v>
      </c>
      <c r="W114" s="721"/>
    </row>
    <row r="115" spans="1:23" ht="78.75" customHeight="1">
      <c r="A115" s="592"/>
      <c r="B115" s="839"/>
      <c r="C115" s="549"/>
      <c r="D115" s="549"/>
      <c r="E115" s="816"/>
      <c r="F115" s="816"/>
      <c r="G115" s="816"/>
      <c r="H115" s="816"/>
      <c r="I115" s="816"/>
      <c r="J115" s="14" t="s">
        <v>331</v>
      </c>
      <c r="K115" s="14" t="s">
        <v>332</v>
      </c>
      <c r="L115" s="14" t="s">
        <v>189</v>
      </c>
      <c r="M115" s="2">
        <v>0</v>
      </c>
      <c r="N115" s="2">
        <v>1</v>
      </c>
      <c r="O115" s="2">
        <v>2</v>
      </c>
      <c r="P115" s="2">
        <v>3</v>
      </c>
      <c r="Q115" s="2">
        <v>4</v>
      </c>
      <c r="R115" s="3">
        <f t="shared" si="2"/>
        <v>0</v>
      </c>
      <c r="S115" s="3"/>
      <c r="T115" s="3"/>
      <c r="U115" s="3"/>
      <c r="V115" s="3"/>
      <c r="W115" s="10" t="s">
        <v>1977</v>
      </c>
    </row>
    <row r="116" spans="1:23" ht="78.75" customHeight="1">
      <c r="A116" s="592"/>
      <c r="B116" s="839"/>
      <c r="C116" s="549"/>
      <c r="D116" s="549"/>
      <c r="E116" s="816"/>
      <c r="F116" s="816"/>
      <c r="G116" s="816"/>
      <c r="H116" s="816"/>
      <c r="I116" s="816"/>
      <c r="J116" s="14" t="s">
        <v>2643</v>
      </c>
      <c r="K116" s="14" t="s">
        <v>2644</v>
      </c>
      <c r="L116" s="14" t="s">
        <v>189</v>
      </c>
      <c r="M116" s="2">
        <v>0</v>
      </c>
      <c r="N116" s="2">
        <v>1</v>
      </c>
      <c r="O116" s="2">
        <v>2</v>
      </c>
      <c r="P116" s="2">
        <v>3</v>
      </c>
      <c r="Q116" s="2">
        <v>4</v>
      </c>
      <c r="R116" s="3">
        <f t="shared" si="2"/>
        <v>70000</v>
      </c>
      <c r="S116" s="3">
        <v>15000</v>
      </c>
      <c r="T116" s="3">
        <v>15000</v>
      </c>
      <c r="U116" s="3">
        <v>20000</v>
      </c>
      <c r="V116" s="3">
        <v>20000</v>
      </c>
      <c r="W116" s="721" t="s">
        <v>834</v>
      </c>
    </row>
    <row r="117" spans="1:23" ht="78.75" customHeight="1">
      <c r="A117" s="592"/>
      <c r="B117" s="839"/>
      <c r="C117" s="14" t="s">
        <v>2645</v>
      </c>
      <c r="D117" s="14" t="s">
        <v>2646</v>
      </c>
      <c r="E117" s="2">
        <v>0</v>
      </c>
      <c r="F117" s="2">
        <v>2</v>
      </c>
      <c r="G117" s="2">
        <v>4</v>
      </c>
      <c r="H117" s="2">
        <v>6</v>
      </c>
      <c r="I117" s="2">
        <v>8</v>
      </c>
      <c r="J117" s="14" t="s">
        <v>1548</v>
      </c>
      <c r="K117" s="14" t="s">
        <v>1549</v>
      </c>
      <c r="L117" s="14" t="s">
        <v>189</v>
      </c>
      <c r="M117" s="2">
        <v>0</v>
      </c>
      <c r="N117" s="2">
        <v>2</v>
      </c>
      <c r="O117" s="2">
        <v>4</v>
      </c>
      <c r="P117" s="2">
        <v>6</v>
      </c>
      <c r="Q117" s="2">
        <v>8</v>
      </c>
      <c r="R117" s="3">
        <f t="shared" si="2"/>
        <v>40000</v>
      </c>
      <c r="S117" s="3">
        <v>10000</v>
      </c>
      <c r="T117" s="3">
        <v>10000</v>
      </c>
      <c r="U117" s="3">
        <v>10000</v>
      </c>
      <c r="V117" s="3">
        <v>10000</v>
      </c>
      <c r="W117" s="721"/>
    </row>
    <row r="118" spans="1:23" ht="78.75" customHeight="1">
      <c r="A118" s="592" t="s">
        <v>843</v>
      </c>
      <c r="B118" s="839">
        <f>400000/R282*100%</f>
        <v>0.004476586083827096</v>
      </c>
      <c r="C118" s="14" t="s">
        <v>1553</v>
      </c>
      <c r="D118" s="14" t="s">
        <v>1554</v>
      </c>
      <c r="E118" s="2">
        <v>0</v>
      </c>
      <c r="F118" s="2">
        <v>5</v>
      </c>
      <c r="G118" s="2">
        <v>10</v>
      </c>
      <c r="H118" s="2">
        <v>15</v>
      </c>
      <c r="I118" s="2">
        <v>20</v>
      </c>
      <c r="J118" s="14" t="s">
        <v>333</v>
      </c>
      <c r="K118" s="14" t="s">
        <v>1554</v>
      </c>
      <c r="L118" s="14" t="s">
        <v>189</v>
      </c>
      <c r="M118" s="2" t="s">
        <v>2978</v>
      </c>
      <c r="N118" s="2">
        <v>1</v>
      </c>
      <c r="O118" s="2">
        <v>2</v>
      </c>
      <c r="P118" s="2">
        <v>3</v>
      </c>
      <c r="Q118" s="2">
        <v>4</v>
      </c>
      <c r="R118" s="3">
        <f t="shared" si="2"/>
        <v>100000</v>
      </c>
      <c r="S118" s="3">
        <v>25000</v>
      </c>
      <c r="T118" s="3">
        <f aca="true" t="shared" si="3" ref="T118:V120">+S118</f>
        <v>25000</v>
      </c>
      <c r="U118" s="3">
        <f t="shared" si="3"/>
        <v>25000</v>
      </c>
      <c r="V118" s="3">
        <f t="shared" si="3"/>
        <v>25000</v>
      </c>
      <c r="W118" s="549" t="s">
        <v>1977</v>
      </c>
    </row>
    <row r="119" spans="1:23" ht="78.75" customHeight="1">
      <c r="A119" s="592"/>
      <c r="B119" s="839"/>
      <c r="C119" s="14" t="s">
        <v>1556</v>
      </c>
      <c r="D119" s="14" t="s">
        <v>348</v>
      </c>
      <c r="E119" s="2">
        <v>0</v>
      </c>
      <c r="F119" s="2">
        <v>5</v>
      </c>
      <c r="G119" s="2">
        <v>10</v>
      </c>
      <c r="H119" s="2">
        <v>15</v>
      </c>
      <c r="I119" s="2">
        <v>20</v>
      </c>
      <c r="J119" s="14" t="s">
        <v>2780</v>
      </c>
      <c r="K119" s="14" t="s">
        <v>2781</v>
      </c>
      <c r="L119" s="14" t="s">
        <v>189</v>
      </c>
      <c r="M119" s="2" t="s">
        <v>2978</v>
      </c>
      <c r="N119" s="2">
        <v>0</v>
      </c>
      <c r="O119" s="2">
        <v>10</v>
      </c>
      <c r="P119" s="2">
        <v>15</v>
      </c>
      <c r="Q119" s="2">
        <v>20</v>
      </c>
      <c r="R119" s="3">
        <f t="shared" si="2"/>
        <v>100000</v>
      </c>
      <c r="S119" s="3">
        <v>25000</v>
      </c>
      <c r="T119" s="3">
        <f t="shared" si="3"/>
        <v>25000</v>
      </c>
      <c r="U119" s="3">
        <f t="shared" si="3"/>
        <v>25000</v>
      </c>
      <c r="V119" s="3">
        <f t="shared" si="3"/>
        <v>25000</v>
      </c>
      <c r="W119" s="549"/>
    </row>
    <row r="120" spans="1:23" ht="78.75" customHeight="1">
      <c r="A120" s="592"/>
      <c r="B120" s="839"/>
      <c r="C120" s="14" t="s">
        <v>1560</v>
      </c>
      <c r="D120" s="14" t="s">
        <v>1561</v>
      </c>
      <c r="E120" s="2">
        <v>0</v>
      </c>
      <c r="F120" s="2"/>
      <c r="G120" s="2"/>
      <c r="H120" s="2"/>
      <c r="I120" s="2">
        <v>20</v>
      </c>
      <c r="J120" s="14" t="s">
        <v>334</v>
      </c>
      <c r="K120" s="14" t="s">
        <v>1563</v>
      </c>
      <c r="L120" s="14" t="s">
        <v>189</v>
      </c>
      <c r="M120" s="2" t="s">
        <v>2978</v>
      </c>
      <c r="N120" s="2">
        <v>1</v>
      </c>
      <c r="O120" s="2">
        <v>3</v>
      </c>
      <c r="P120" s="2">
        <v>4</v>
      </c>
      <c r="Q120" s="2">
        <v>5</v>
      </c>
      <c r="R120" s="3">
        <f t="shared" si="2"/>
        <v>200000</v>
      </c>
      <c r="S120" s="3">
        <v>50000</v>
      </c>
      <c r="T120" s="3">
        <f t="shared" si="3"/>
        <v>50000</v>
      </c>
      <c r="U120" s="3">
        <f t="shared" si="3"/>
        <v>50000</v>
      </c>
      <c r="V120" s="3">
        <f t="shared" si="3"/>
        <v>50000</v>
      </c>
      <c r="W120" s="549"/>
    </row>
    <row r="121" spans="1:23" ht="78.75" customHeight="1">
      <c r="A121" s="592" t="s">
        <v>844</v>
      </c>
      <c r="B121" s="839">
        <f>400000/R282*100%</f>
        <v>0.004476586083827096</v>
      </c>
      <c r="C121" s="14" t="s">
        <v>2782</v>
      </c>
      <c r="D121" s="14" t="s">
        <v>1571</v>
      </c>
      <c r="E121" s="2" t="s">
        <v>2978</v>
      </c>
      <c r="F121" s="2">
        <v>40</v>
      </c>
      <c r="G121" s="2">
        <v>80</v>
      </c>
      <c r="H121" s="2">
        <v>120</v>
      </c>
      <c r="I121" s="2">
        <v>160</v>
      </c>
      <c r="J121" s="4" t="s">
        <v>2783</v>
      </c>
      <c r="K121" s="4" t="s">
        <v>2784</v>
      </c>
      <c r="L121" s="4" t="s">
        <v>189</v>
      </c>
      <c r="M121" s="2">
        <v>40</v>
      </c>
      <c r="N121" s="2">
        <v>41</v>
      </c>
      <c r="O121" s="2">
        <v>42</v>
      </c>
      <c r="P121" s="2">
        <v>43</v>
      </c>
      <c r="Q121" s="2">
        <v>44</v>
      </c>
      <c r="R121" s="3">
        <f t="shared" si="2"/>
        <v>0</v>
      </c>
      <c r="S121" s="3">
        <v>0</v>
      </c>
      <c r="T121" s="3">
        <v>0</v>
      </c>
      <c r="U121" s="3">
        <v>0</v>
      </c>
      <c r="V121" s="3">
        <v>0</v>
      </c>
      <c r="W121" s="549" t="s">
        <v>1977</v>
      </c>
    </row>
    <row r="122" spans="1:23" ht="78.75" customHeight="1">
      <c r="A122" s="592"/>
      <c r="B122" s="839"/>
      <c r="C122" s="549" t="s">
        <v>1574</v>
      </c>
      <c r="D122" s="549" t="s">
        <v>2640</v>
      </c>
      <c r="E122" s="570" t="s">
        <v>2978</v>
      </c>
      <c r="F122" s="570">
        <v>30</v>
      </c>
      <c r="G122" s="570">
        <v>60</v>
      </c>
      <c r="H122" s="570">
        <v>90</v>
      </c>
      <c r="I122" s="570">
        <v>120</v>
      </c>
      <c r="J122" s="14" t="s">
        <v>1575</v>
      </c>
      <c r="K122" s="14" t="s">
        <v>1576</v>
      </c>
      <c r="L122" s="14" t="s">
        <v>189</v>
      </c>
      <c r="M122" s="2">
        <v>1</v>
      </c>
      <c r="N122" s="2">
        <v>2</v>
      </c>
      <c r="O122" s="2">
        <v>3</v>
      </c>
      <c r="P122" s="2">
        <v>4</v>
      </c>
      <c r="Q122" s="2">
        <v>5</v>
      </c>
      <c r="R122" s="3">
        <f t="shared" si="2"/>
        <v>0</v>
      </c>
      <c r="S122" s="3">
        <v>0</v>
      </c>
      <c r="T122" s="3">
        <v>0</v>
      </c>
      <c r="U122" s="3">
        <v>0</v>
      </c>
      <c r="V122" s="3">
        <v>0</v>
      </c>
      <c r="W122" s="549"/>
    </row>
    <row r="123" spans="1:23" ht="78.75" customHeight="1">
      <c r="A123" s="592"/>
      <c r="B123" s="839"/>
      <c r="C123" s="549"/>
      <c r="D123" s="549"/>
      <c r="E123" s="570"/>
      <c r="F123" s="570"/>
      <c r="G123" s="570"/>
      <c r="H123" s="570"/>
      <c r="I123" s="570"/>
      <c r="J123" s="14" t="s">
        <v>1577</v>
      </c>
      <c r="K123" s="14" t="s">
        <v>664</v>
      </c>
      <c r="L123" s="14" t="s">
        <v>189</v>
      </c>
      <c r="M123" s="2">
        <v>1</v>
      </c>
      <c r="N123" s="2">
        <v>2</v>
      </c>
      <c r="O123" s="2">
        <v>3</v>
      </c>
      <c r="P123" s="2">
        <v>4</v>
      </c>
      <c r="Q123" s="2">
        <v>5</v>
      </c>
      <c r="R123" s="3">
        <f t="shared" si="2"/>
        <v>0</v>
      </c>
      <c r="S123" s="3">
        <v>0</v>
      </c>
      <c r="T123" s="3">
        <v>0</v>
      </c>
      <c r="U123" s="3">
        <v>0</v>
      </c>
      <c r="V123" s="3">
        <v>0</v>
      </c>
      <c r="W123" s="549"/>
    </row>
    <row r="124" spans="1:23" ht="78.75" customHeight="1">
      <c r="A124" s="592"/>
      <c r="B124" s="839"/>
      <c r="C124" s="549" t="s">
        <v>665</v>
      </c>
      <c r="D124" s="549" t="s">
        <v>666</v>
      </c>
      <c r="E124" s="570" t="s">
        <v>2978</v>
      </c>
      <c r="F124" s="570">
        <v>1</v>
      </c>
      <c r="G124" s="570">
        <v>4</v>
      </c>
      <c r="H124" s="570">
        <v>6</v>
      </c>
      <c r="I124" s="570">
        <v>8</v>
      </c>
      <c r="J124" s="14" t="s">
        <v>667</v>
      </c>
      <c r="K124" s="14" t="s">
        <v>668</v>
      </c>
      <c r="L124" s="14" t="s">
        <v>189</v>
      </c>
      <c r="M124" s="2">
        <v>0</v>
      </c>
      <c r="N124" s="2">
        <v>1</v>
      </c>
      <c r="O124" s="2">
        <v>4</v>
      </c>
      <c r="P124" s="2">
        <v>6</v>
      </c>
      <c r="Q124" s="2">
        <v>8</v>
      </c>
      <c r="R124" s="3">
        <f t="shared" si="2"/>
        <v>200000</v>
      </c>
      <c r="S124" s="3">
        <v>50000</v>
      </c>
      <c r="T124" s="3">
        <f>+S124</f>
        <v>50000</v>
      </c>
      <c r="U124" s="3">
        <f>+T124</f>
        <v>50000</v>
      </c>
      <c r="V124" s="3">
        <f>+U124</f>
        <v>50000</v>
      </c>
      <c r="W124" s="549"/>
    </row>
    <row r="125" spans="1:23" ht="78.75" customHeight="1">
      <c r="A125" s="592"/>
      <c r="B125" s="839"/>
      <c r="C125" s="549"/>
      <c r="D125" s="549"/>
      <c r="E125" s="570"/>
      <c r="F125" s="570"/>
      <c r="G125" s="570"/>
      <c r="H125" s="570"/>
      <c r="I125" s="570"/>
      <c r="J125" s="14" t="s">
        <v>670</v>
      </c>
      <c r="K125" s="14" t="s">
        <v>671</v>
      </c>
      <c r="L125" s="14" t="s">
        <v>189</v>
      </c>
      <c r="M125" s="2">
        <v>1</v>
      </c>
      <c r="N125" s="2">
        <v>2</v>
      </c>
      <c r="O125" s="2">
        <v>3</v>
      </c>
      <c r="P125" s="2">
        <v>4</v>
      </c>
      <c r="Q125" s="2">
        <v>6</v>
      </c>
      <c r="R125" s="3">
        <f t="shared" si="2"/>
        <v>0</v>
      </c>
      <c r="S125" s="3">
        <v>0</v>
      </c>
      <c r="T125" s="3">
        <v>0</v>
      </c>
      <c r="U125" s="3">
        <v>0</v>
      </c>
      <c r="V125" s="3">
        <v>0</v>
      </c>
      <c r="W125" s="549"/>
    </row>
    <row r="126" spans="1:23" ht="78.75" customHeight="1">
      <c r="A126" s="592"/>
      <c r="B126" s="839"/>
      <c r="C126" s="14" t="s">
        <v>672</v>
      </c>
      <c r="D126" s="14" t="s">
        <v>673</v>
      </c>
      <c r="E126" s="2" t="s">
        <v>2978</v>
      </c>
      <c r="F126" s="2">
        <v>5</v>
      </c>
      <c r="G126" s="2">
        <v>10</v>
      </c>
      <c r="H126" s="2">
        <v>15</v>
      </c>
      <c r="I126" s="2">
        <v>20</v>
      </c>
      <c r="J126" s="4" t="s">
        <v>674</v>
      </c>
      <c r="K126" s="4" t="s">
        <v>675</v>
      </c>
      <c r="L126" s="4" t="s">
        <v>2809</v>
      </c>
      <c r="M126" s="2" t="s">
        <v>1683</v>
      </c>
      <c r="N126" s="2">
        <v>5</v>
      </c>
      <c r="O126" s="2">
        <v>10</v>
      </c>
      <c r="P126" s="2">
        <v>15</v>
      </c>
      <c r="Q126" s="2">
        <v>20</v>
      </c>
      <c r="R126" s="3">
        <f t="shared" si="2"/>
        <v>0</v>
      </c>
      <c r="S126" s="3">
        <v>0</v>
      </c>
      <c r="T126" s="3">
        <v>0</v>
      </c>
      <c r="U126" s="3">
        <v>0</v>
      </c>
      <c r="V126" s="3">
        <v>0</v>
      </c>
      <c r="W126" s="549"/>
    </row>
    <row r="127" spans="1:23" ht="78.75" customHeight="1">
      <c r="A127" s="592"/>
      <c r="B127" s="839"/>
      <c r="C127" s="14" t="s">
        <v>676</v>
      </c>
      <c r="D127" s="14" t="s">
        <v>677</v>
      </c>
      <c r="E127" s="2" t="s">
        <v>678</v>
      </c>
      <c r="F127" s="2" t="s">
        <v>678</v>
      </c>
      <c r="G127" s="2" t="s">
        <v>678</v>
      </c>
      <c r="H127" s="2" t="s">
        <v>678</v>
      </c>
      <c r="I127" s="2" t="s">
        <v>678</v>
      </c>
      <c r="J127" s="4" t="s">
        <v>335</v>
      </c>
      <c r="K127" s="4" t="s">
        <v>680</v>
      </c>
      <c r="L127" s="4" t="s">
        <v>2809</v>
      </c>
      <c r="M127" s="2">
        <v>1</v>
      </c>
      <c r="N127" s="2">
        <v>1</v>
      </c>
      <c r="O127" s="2">
        <v>1</v>
      </c>
      <c r="P127" s="2">
        <v>1</v>
      </c>
      <c r="Q127" s="2">
        <v>1</v>
      </c>
      <c r="R127" s="3">
        <f t="shared" si="2"/>
        <v>0</v>
      </c>
      <c r="S127" s="3">
        <v>0</v>
      </c>
      <c r="T127" s="3">
        <v>0</v>
      </c>
      <c r="U127" s="3">
        <v>0</v>
      </c>
      <c r="V127" s="3">
        <v>0</v>
      </c>
      <c r="W127" s="549"/>
    </row>
    <row r="128" spans="1:23" ht="78.75" customHeight="1">
      <c r="A128" s="592"/>
      <c r="B128" s="839"/>
      <c r="C128" s="14" t="s">
        <v>681</v>
      </c>
      <c r="D128" s="14" t="s">
        <v>682</v>
      </c>
      <c r="E128" s="2">
        <v>14</v>
      </c>
      <c r="F128" s="2">
        <v>18</v>
      </c>
      <c r="G128" s="2">
        <v>22</v>
      </c>
      <c r="H128" s="2">
        <v>24</v>
      </c>
      <c r="I128" s="2">
        <v>24</v>
      </c>
      <c r="J128" s="14" t="s">
        <v>53</v>
      </c>
      <c r="K128" s="14" t="s">
        <v>54</v>
      </c>
      <c r="L128" s="14" t="s">
        <v>189</v>
      </c>
      <c r="M128" s="113">
        <v>14</v>
      </c>
      <c r="N128" s="113">
        <v>18</v>
      </c>
      <c r="O128" s="113">
        <v>22</v>
      </c>
      <c r="P128" s="113">
        <v>24</v>
      </c>
      <c r="Q128" s="2">
        <v>24</v>
      </c>
      <c r="R128" s="3">
        <f t="shared" si="2"/>
        <v>100000</v>
      </c>
      <c r="S128" s="3">
        <v>25000</v>
      </c>
      <c r="T128" s="3">
        <f aca="true" t="shared" si="4" ref="T128:V129">+S128</f>
        <v>25000</v>
      </c>
      <c r="U128" s="3">
        <f t="shared" si="4"/>
        <v>25000</v>
      </c>
      <c r="V128" s="3">
        <f t="shared" si="4"/>
        <v>25000</v>
      </c>
      <c r="W128" s="549"/>
    </row>
    <row r="129" spans="1:23" ht="78.75" customHeight="1">
      <c r="A129" s="592"/>
      <c r="B129" s="839"/>
      <c r="C129" s="14" t="s">
        <v>55</v>
      </c>
      <c r="D129" s="14" t="s">
        <v>56</v>
      </c>
      <c r="E129" s="2">
        <v>40</v>
      </c>
      <c r="F129" s="2">
        <v>40</v>
      </c>
      <c r="G129" s="2">
        <v>90</v>
      </c>
      <c r="H129" s="2">
        <v>90</v>
      </c>
      <c r="I129" s="2">
        <v>90</v>
      </c>
      <c r="J129" s="14" t="s">
        <v>55</v>
      </c>
      <c r="K129" s="14" t="s">
        <v>56</v>
      </c>
      <c r="L129" s="14" t="s">
        <v>189</v>
      </c>
      <c r="M129" s="113">
        <v>40</v>
      </c>
      <c r="N129" s="113">
        <v>40</v>
      </c>
      <c r="O129" s="113">
        <v>90</v>
      </c>
      <c r="P129" s="113">
        <v>90</v>
      </c>
      <c r="Q129" s="2">
        <v>90</v>
      </c>
      <c r="R129" s="3">
        <f t="shared" si="2"/>
        <v>100000</v>
      </c>
      <c r="S129" s="3">
        <v>25000</v>
      </c>
      <c r="T129" s="3">
        <f t="shared" si="4"/>
        <v>25000</v>
      </c>
      <c r="U129" s="3">
        <f t="shared" si="4"/>
        <v>25000</v>
      </c>
      <c r="V129" s="3">
        <f t="shared" si="4"/>
        <v>25000</v>
      </c>
      <c r="W129" s="549"/>
    </row>
    <row r="130" spans="1:23" ht="78.75" customHeight="1">
      <c r="A130" s="592" t="s">
        <v>845</v>
      </c>
      <c r="B130" s="839">
        <f>2400000/R282*100%</f>
        <v>0.026859516502962578</v>
      </c>
      <c r="C130" s="14" t="s">
        <v>57</v>
      </c>
      <c r="D130" s="14" t="s">
        <v>58</v>
      </c>
      <c r="E130" s="3">
        <v>1000</v>
      </c>
      <c r="F130" s="3">
        <v>1200</v>
      </c>
      <c r="G130" s="3">
        <v>1500</v>
      </c>
      <c r="H130" s="3">
        <v>1900</v>
      </c>
      <c r="I130" s="3">
        <v>2200</v>
      </c>
      <c r="J130" s="4" t="s">
        <v>59</v>
      </c>
      <c r="K130" s="4" t="s">
        <v>58</v>
      </c>
      <c r="L130" s="4" t="s">
        <v>189</v>
      </c>
      <c r="M130" s="2">
        <v>1000</v>
      </c>
      <c r="N130" s="2">
        <v>1200</v>
      </c>
      <c r="O130" s="2">
        <v>1500</v>
      </c>
      <c r="P130" s="2">
        <v>1900</v>
      </c>
      <c r="Q130" s="2">
        <v>2200</v>
      </c>
      <c r="R130" s="3">
        <f aca="true" t="shared" si="5" ref="R130:R154">+S130+T130+U130+V130</f>
        <v>720000</v>
      </c>
      <c r="S130" s="3">
        <v>150000</v>
      </c>
      <c r="T130" s="3">
        <v>200000</v>
      </c>
      <c r="U130" s="3">
        <v>185000</v>
      </c>
      <c r="V130" s="3">
        <v>185000</v>
      </c>
      <c r="W130" s="596" t="s">
        <v>536</v>
      </c>
    </row>
    <row r="131" spans="1:23" ht="78.75" customHeight="1">
      <c r="A131" s="592"/>
      <c r="B131" s="839"/>
      <c r="C131" s="14" t="s">
        <v>60</v>
      </c>
      <c r="D131" s="14" t="s">
        <v>61</v>
      </c>
      <c r="E131" s="3">
        <v>12000</v>
      </c>
      <c r="F131" s="3">
        <v>15000</v>
      </c>
      <c r="G131" s="3">
        <v>18000</v>
      </c>
      <c r="H131" s="3">
        <v>21000</v>
      </c>
      <c r="I131" s="3">
        <v>24000</v>
      </c>
      <c r="J131" s="4" t="s">
        <v>62</v>
      </c>
      <c r="K131" s="4" t="s">
        <v>63</v>
      </c>
      <c r="L131" s="4" t="s">
        <v>189</v>
      </c>
      <c r="M131" s="2">
        <v>4</v>
      </c>
      <c r="N131" s="2">
        <v>6</v>
      </c>
      <c r="O131" s="2">
        <v>10</v>
      </c>
      <c r="P131" s="2">
        <v>12</v>
      </c>
      <c r="Q131" s="2">
        <v>12</v>
      </c>
      <c r="R131" s="3">
        <f t="shared" si="5"/>
        <v>95000</v>
      </c>
      <c r="S131" s="3">
        <v>20000</v>
      </c>
      <c r="T131" s="3">
        <v>25000</v>
      </c>
      <c r="U131" s="3">
        <v>25000</v>
      </c>
      <c r="V131" s="3">
        <v>25000</v>
      </c>
      <c r="W131" s="596"/>
    </row>
    <row r="132" spans="1:23" ht="78.75" customHeight="1">
      <c r="A132" s="592"/>
      <c r="B132" s="839"/>
      <c r="C132" s="14" t="s">
        <v>707</v>
      </c>
      <c r="D132" s="14" t="s">
        <v>708</v>
      </c>
      <c r="E132" s="137">
        <v>500</v>
      </c>
      <c r="F132" s="137">
        <v>600</v>
      </c>
      <c r="G132" s="137">
        <v>700</v>
      </c>
      <c r="H132" s="137">
        <v>1000</v>
      </c>
      <c r="I132" s="137">
        <v>1300</v>
      </c>
      <c r="J132" s="4" t="s">
        <v>709</v>
      </c>
      <c r="K132" s="4" t="s">
        <v>710</v>
      </c>
      <c r="L132" s="4" t="s">
        <v>189</v>
      </c>
      <c r="M132" s="202">
        <v>0</v>
      </c>
      <c r="N132" s="202">
        <v>1</v>
      </c>
      <c r="O132" s="202">
        <v>3</v>
      </c>
      <c r="P132" s="202">
        <v>6</v>
      </c>
      <c r="Q132" s="113">
        <v>8</v>
      </c>
      <c r="R132" s="3">
        <f t="shared" si="5"/>
        <v>220000</v>
      </c>
      <c r="S132" s="3">
        <v>45000</v>
      </c>
      <c r="T132" s="3">
        <v>55000</v>
      </c>
      <c r="U132" s="3">
        <v>60000</v>
      </c>
      <c r="V132" s="3">
        <v>60000</v>
      </c>
      <c r="W132" s="596"/>
    </row>
    <row r="133" spans="1:23" ht="78.75" customHeight="1">
      <c r="A133" s="592"/>
      <c r="B133" s="839"/>
      <c r="C133" s="14" t="s">
        <v>711</v>
      </c>
      <c r="D133" s="14" t="s">
        <v>712</v>
      </c>
      <c r="E133" s="137">
        <v>3300</v>
      </c>
      <c r="F133" s="137">
        <v>4500</v>
      </c>
      <c r="G133" s="137">
        <v>5800</v>
      </c>
      <c r="H133" s="137">
        <v>7000</v>
      </c>
      <c r="I133" s="137">
        <v>8500</v>
      </c>
      <c r="J133" s="4" t="s">
        <v>713</v>
      </c>
      <c r="K133" s="4" t="s">
        <v>714</v>
      </c>
      <c r="L133" s="4" t="s">
        <v>189</v>
      </c>
      <c r="M133" s="137">
        <v>3300</v>
      </c>
      <c r="N133" s="137">
        <v>4500</v>
      </c>
      <c r="O133" s="137">
        <v>5800</v>
      </c>
      <c r="P133" s="137">
        <v>7000</v>
      </c>
      <c r="Q133" s="3">
        <v>8500</v>
      </c>
      <c r="R133" s="3">
        <f t="shared" si="5"/>
        <v>450000</v>
      </c>
      <c r="S133" s="3">
        <v>120000</v>
      </c>
      <c r="T133" s="3">
        <v>110000</v>
      </c>
      <c r="U133" s="3">
        <v>110000</v>
      </c>
      <c r="V133" s="3">
        <v>110000</v>
      </c>
      <c r="W133" s="596"/>
    </row>
    <row r="134" spans="1:23" ht="78.75" customHeight="1">
      <c r="A134" s="592"/>
      <c r="B134" s="839"/>
      <c r="C134" s="14" t="s">
        <v>715</v>
      </c>
      <c r="D134" s="14" t="s">
        <v>716</v>
      </c>
      <c r="E134" s="202">
        <v>1</v>
      </c>
      <c r="F134" s="202">
        <v>1</v>
      </c>
      <c r="G134" s="202">
        <v>1</v>
      </c>
      <c r="H134" s="202">
        <v>1</v>
      </c>
      <c r="I134" s="202">
        <v>1</v>
      </c>
      <c r="J134" s="4" t="s">
        <v>717</v>
      </c>
      <c r="K134" s="4" t="s">
        <v>718</v>
      </c>
      <c r="L134" s="4" t="s">
        <v>2809</v>
      </c>
      <c r="M134" s="202">
        <v>1</v>
      </c>
      <c r="N134" s="202">
        <v>1</v>
      </c>
      <c r="O134" s="202">
        <v>1</v>
      </c>
      <c r="P134" s="202">
        <v>1</v>
      </c>
      <c r="Q134" s="113">
        <v>1</v>
      </c>
      <c r="R134" s="3">
        <f t="shared" si="5"/>
        <v>95000</v>
      </c>
      <c r="S134" s="3">
        <v>20000</v>
      </c>
      <c r="T134" s="3">
        <v>25000</v>
      </c>
      <c r="U134" s="3">
        <v>25000</v>
      </c>
      <c r="V134" s="3">
        <v>25000</v>
      </c>
      <c r="W134" s="596"/>
    </row>
    <row r="135" spans="1:23" ht="78.75" customHeight="1">
      <c r="A135" s="592"/>
      <c r="B135" s="839"/>
      <c r="C135" s="14" t="s">
        <v>719</v>
      </c>
      <c r="D135" s="14" t="s">
        <v>336</v>
      </c>
      <c r="E135" s="202">
        <v>14</v>
      </c>
      <c r="F135" s="202">
        <v>15</v>
      </c>
      <c r="G135" s="202">
        <v>15</v>
      </c>
      <c r="H135" s="202">
        <v>15</v>
      </c>
      <c r="I135" s="202">
        <v>15</v>
      </c>
      <c r="J135" s="4" t="s">
        <v>721</v>
      </c>
      <c r="K135" s="4" t="s">
        <v>722</v>
      </c>
      <c r="L135" s="4" t="s">
        <v>189</v>
      </c>
      <c r="M135" s="202">
        <v>1</v>
      </c>
      <c r="N135" s="202">
        <v>1</v>
      </c>
      <c r="O135" s="202">
        <v>21</v>
      </c>
      <c r="P135" s="202">
        <v>41</v>
      </c>
      <c r="Q135" s="113">
        <v>51</v>
      </c>
      <c r="R135" s="3">
        <f t="shared" si="5"/>
        <v>120000</v>
      </c>
      <c r="S135" s="3">
        <v>30000</v>
      </c>
      <c r="T135" s="3">
        <v>30000</v>
      </c>
      <c r="U135" s="3">
        <v>30000</v>
      </c>
      <c r="V135" s="3">
        <v>30000</v>
      </c>
      <c r="W135" s="596"/>
    </row>
    <row r="136" spans="1:23" ht="78.75" customHeight="1">
      <c r="A136" s="592"/>
      <c r="B136" s="839"/>
      <c r="C136" s="14" t="s">
        <v>64</v>
      </c>
      <c r="D136" s="14" t="s">
        <v>65</v>
      </c>
      <c r="E136" s="202">
        <v>0</v>
      </c>
      <c r="F136" s="202">
        <v>0</v>
      </c>
      <c r="G136" s="202">
        <v>3</v>
      </c>
      <c r="H136" s="202">
        <v>6</v>
      </c>
      <c r="I136" s="202">
        <v>8</v>
      </c>
      <c r="J136" s="4" t="s">
        <v>66</v>
      </c>
      <c r="K136" s="4" t="s">
        <v>67</v>
      </c>
      <c r="L136" s="4" t="s">
        <v>189</v>
      </c>
      <c r="M136" s="202">
        <v>0</v>
      </c>
      <c r="N136" s="202">
        <v>0</v>
      </c>
      <c r="O136" s="202">
        <v>3</v>
      </c>
      <c r="P136" s="202">
        <v>6</v>
      </c>
      <c r="Q136" s="113">
        <v>8</v>
      </c>
      <c r="R136" s="3">
        <f t="shared" si="5"/>
        <v>120000</v>
      </c>
      <c r="S136" s="3">
        <v>15000</v>
      </c>
      <c r="T136" s="3">
        <v>35000</v>
      </c>
      <c r="U136" s="3">
        <v>35000</v>
      </c>
      <c r="V136" s="3">
        <v>35000</v>
      </c>
      <c r="W136" s="596"/>
    </row>
    <row r="137" spans="1:23" ht="87" customHeight="1">
      <c r="A137" s="592"/>
      <c r="B137" s="839"/>
      <c r="C137" s="14" t="s">
        <v>68</v>
      </c>
      <c r="D137" s="14" t="s">
        <v>69</v>
      </c>
      <c r="E137" s="202">
        <v>37000</v>
      </c>
      <c r="F137" s="202">
        <v>47000</v>
      </c>
      <c r="G137" s="202">
        <v>57000</v>
      </c>
      <c r="H137" s="202">
        <v>77000</v>
      </c>
      <c r="I137" s="202">
        <v>97000</v>
      </c>
      <c r="J137" s="4" t="s">
        <v>705</v>
      </c>
      <c r="K137" s="4" t="s">
        <v>706</v>
      </c>
      <c r="L137" s="4" t="s">
        <v>189</v>
      </c>
      <c r="M137" s="202">
        <v>0</v>
      </c>
      <c r="N137" s="202">
        <v>4</v>
      </c>
      <c r="O137" s="202">
        <v>8</v>
      </c>
      <c r="P137" s="202">
        <v>12</v>
      </c>
      <c r="Q137" s="113">
        <v>16</v>
      </c>
      <c r="R137" s="3">
        <f t="shared" si="5"/>
        <v>440000</v>
      </c>
      <c r="S137" s="3">
        <v>100000</v>
      </c>
      <c r="T137" s="3">
        <v>120000</v>
      </c>
      <c r="U137" s="3">
        <v>110000</v>
      </c>
      <c r="V137" s="3">
        <v>110000</v>
      </c>
      <c r="W137" s="596"/>
    </row>
    <row r="138" spans="1:23" ht="87" customHeight="1">
      <c r="A138" s="592"/>
      <c r="B138" s="839"/>
      <c r="C138" s="14" t="s">
        <v>2785</v>
      </c>
      <c r="D138" s="14" t="s">
        <v>725</v>
      </c>
      <c r="E138" s="324" t="s">
        <v>1683</v>
      </c>
      <c r="F138" s="325">
        <v>1</v>
      </c>
      <c r="G138" s="325">
        <v>1</v>
      </c>
      <c r="H138" s="325">
        <v>1</v>
      </c>
      <c r="I138" s="325">
        <v>1</v>
      </c>
      <c r="J138" s="14" t="s">
        <v>2785</v>
      </c>
      <c r="K138" s="14" t="s">
        <v>725</v>
      </c>
      <c r="L138" s="14" t="s">
        <v>189</v>
      </c>
      <c r="M138" s="324" t="s">
        <v>1683</v>
      </c>
      <c r="N138" s="326">
        <v>1</v>
      </c>
      <c r="O138" s="325">
        <f aca="true" t="shared" si="6" ref="O138:Q139">+N138</f>
        <v>1</v>
      </c>
      <c r="P138" s="325">
        <f t="shared" si="6"/>
        <v>1</v>
      </c>
      <c r="Q138" s="325">
        <f t="shared" si="6"/>
        <v>1</v>
      </c>
      <c r="R138" s="3">
        <f t="shared" si="5"/>
        <v>0</v>
      </c>
      <c r="S138" s="324">
        <v>0</v>
      </c>
      <c r="T138" s="324">
        <v>0</v>
      </c>
      <c r="U138" s="324">
        <v>0</v>
      </c>
      <c r="V138" s="324">
        <v>0</v>
      </c>
      <c r="W138" s="596"/>
    </row>
    <row r="139" spans="1:23" ht="87" customHeight="1">
      <c r="A139" s="592"/>
      <c r="B139" s="839"/>
      <c r="C139" s="14" t="s">
        <v>2786</v>
      </c>
      <c r="D139" s="14" t="s">
        <v>727</v>
      </c>
      <c r="E139" s="324" t="s">
        <v>1683</v>
      </c>
      <c r="F139" s="325">
        <v>1</v>
      </c>
      <c r="G139" s="325">
        <v>1</v>
      </c>
      <c r="H139" s="325">
        <v>1</v>
      </c>
      <c r="I139" s="325">
        <v>1</v>
      </c>
      <c r="J139" s="14" t="s">
        <v>2786</v>
      </c>
      <c r="K139" s="14" t="s">
        <v>727</v>
      </c>
      <c r="L139" s="14" t="s">
        <v>189</v>
      </c>
      <c r="M139" s="324" t="s">
        <v>1683</v>
      </c>
      <c r="N139" s="326">
        <v>1</v>
      </c>
      <c r="O139" s="325">
        <f t="shared" si="6"/>
        <v>1</v>
      </c>
      <c r="P139" s="325">
        <f t="shared" si="6"/>
        <v>1</v>
      </c>
      <c r="Q139" s="325">
        <f t="shared" si="6"/>
        <v>1</v>
      </c>
      <c r="R139" s="3">
        <f t="shared" si="5"/>
        <v>0</v>
      </c>
      <c r="S139" s="324">
        <v>0</v>
      </c>
      <c r="T139" s="324">
        <v>0</v>
      </c>
      <c r="U139" s="324">
        <v>0</v>
      </c>
      <c r="V139" s="324">
        <v>0</v>
      </c>
      <c r="W139" s="596"/>
    </row>
    <row r="140" spans="1:23" ht="87" customHeight="1">
      <c r="A140" s="592"/>
      <c r="B140" s="839"/>
      <c r="C140" s="14" t="s">
        <v>2787</v>
      </c>
      <c r="D140" s="14" t="s">
        <v>729</v>
      </c>
      <c r="E140" s="324" t="s">
        <v>1683</v>
      </c>
      <c r="F140" s="325">
        <v>1</v>
      </c>
      <c r="G140" s="325">
        <v>1</v>
      </c>
      <c r="H140" s="325">
        <v>1</v>
      </c>
      <c r="I140" s="325">
        <v>1</v>
      </c>
      <c r="J140" s="14" t="s">
        <v>728</v>
      </c>
      <c r="K140" s="14" t="s">
        <v>729</v>
      </c>
      <c r="L140" s="14" t="s">
        <v>189</v>
      </c>
      <c r="M140" s="324" t="s">
        <v>1683</v>
      </c>
      <c r="N140" s="326">
        <v>1</v>
      </c>
      <c r="O140" s="325">
        <f>+N140</f>
        <v>1</v>
      </c>
      <c r="P140" s="325">
        <f>+O140</f>
        <v>1</v>
      </c>
      <c r="Q140" s="325">
        <f>+P140</f>
        <v>1</v>
      </c>
      <c r="R140" s="3">
        <f t="shared" si="5"/>
        <v>0</v>
      </c>
      <c r="S140" s="324">
        <v>0</v>
      </c>
      <c r="T140" s="324">
        <v>0</v>
      </c>
      <c r="U140" s="324">
        <v>0</v>
      </c>
      <c r="V140" s="324">
        <v>0</v>
      </c>
      <c r="W140" s="596"/>
    </row>
    <row r="141" spans="1:23" ht="87" customHeight="1">
      <c r="A141" s="592"/>
      <c r="B141" s="839"/>
      <c r="C141" s="14" t="s">
        <v>2788</v>
      </c>
      <c r="D141" s="14" t="s">
        <v>731</v>
      </c>
      <c r="E141" s="324">
        <v>1000</v>
      </c>
      <c r="F141" s="324">
        <v>975</v>
      </c>
      <c r="G141" s="324">
        <v>950</v>
      </c>
      <c r="H141" s="324">
        <v>925</v>
      </c>
      <c r="I141" s="324">
        <v>900</v>
      </c>
      <c r="J141" s="14" t="s">
        <v>2788</v>
      </c>
      <c r="K141" s="14" t="s">
        <v>731</v>
      </c>
      <c r="L141" s="14" t="s">
        <v>19</v>
      </c>
      <c r="M141" s="324">
        <v>1000</v>
      </c>
      <c r="N141" s="324">
        <v>975</v>
      </c>
      <c r="O141" s="324">
        <v>950</v>
      </c>
      <c r="P141" s="324">
        <v>925</v>
      </c>
      <c r="Q141" s="324">
        <v>900</v>
      </c>
      <c r="R141" s="3">
        <f t="shared" si="5"/>
        <v>100000</v>
      </c>
      <c r="S141" s="3">
        <v>25000</v>
      </c>
      <c r="T141" s="3">
        <v>25000</v>
      </c>
      <c r="U141" s="3">
        <v>25000</v>
      </c>
      <c r="V141" s="3">
        <v>25000</v>
      </c>
      <c r="W141" s="596"/>
    </row>
    <row r="142" spans="1:23" ht="87" customHeight="1">
      <c r="A142" s="592"/>
      <c r="B142" s="839"/>
      <c r="C142" s="14" t="s">
        <v>732</v>
      </c>
      <c r="D142" s="14" t="s">
        <v>733</v>
      </c>
      <c r="E142" s="324" t="s">
        <v>1683</v>
      </c>
      <c r="F142" s="324">
        <v>50</v>
      </c>
      <c r="G142" s="324">
        <v>100</v>
      </c>
      <c r="H142" s="324">
        <v>150</v>
      </c>
      <c r="I142" s="324">
        <v>200</v>
      </c>
      <c r="J142" s="14" t="s">
        <v>732</v>
      </c>
      <c r="K142" s="14" t="s">
        <v>733</v>
      </c>
      <c r="L142" s="14" t="s">
        <v>189</v>
      </c>
      <c r="M142" s="324" t="s">
        <v>1683</v>
      </c>
      <c r="N142" s="324">
        <v>50</v>
      </c>
      <c r="O142" s="324">
        <v>100</v>
      </c>
      <c r="P142" s="324">
        <v>150</v>
      </c>
      <c r="Q142" s="324">
        <v>200</v>
      </c>
      <c r="R142" s="3">
        <f t="shared" si="5"/>
        <v>40000</v>
      </c>
      <c r="S142" s="3">
        <v>10000</v>
      </c>
      <c r="T142" s="3">
        <f>+S142</f>
        <v>10000</v>
      </c>
      <c r="U142" s="3">
        <f>+T142</f>
        <v>10000</v>
      </c>
      <c r="V142" s="3">
        <f>+U142</f>
        <v>10000</v>
      </c>
      <c r="W142" s="596"/>
    </row>
    <row r="143" spans="1:23" ht="87" customHeight="1">
      <c r="A143" s="592" t="s">
        <v>734</v>
      </c>
      <c r="B143" s="839">
        <f>1835000/R282*100%</f>
        <v>0.020536338659556803</v>
      </c>
      <c r="C143" s="14" t="s">
        <v>735</v>
      </c>
      <c r="D143" s="14" t="s">
        <v>736</v>
      </c>
      <c r="E143" s="113">
        <v>0</v>
      </c>
      <c r="F143" s="113">
        <v>400</v>
      </c>
      <c r="G143" s="113">
        <v>1400</v>
      </c>
      <c r="H143" s="113">
        <v>1900</v>
      </c>
      <c r="I143" s="113">
        <v>2400</v>
      </c>
      <c r="J143" s="4" t="s">
        <v>737</v>
      </c>
      <c r="K143" s="4" t="s">
        <v>710</v>
      </c>
      <c r="L143" s="4" t="s">
        <v>189</v>
      </c>
      <c r="M143" s="113">
        <v>0</v>
      </c>
      <c r="N143" s="113">
        <v>4</v>
      </c>
      <c r="O143" s="113">
        <v>14</v>
      </c>
      <c r="P143" s="113">
        <v>23</v>
      </c>
      <c r="Q143" s="113">
        <v>32</v>
      </c>
      <c r="R143" s="3">
        <f t="shared" si="5"/>
        <v>300000</v>
      </c>
      <c r="S143" s="3">
        <v>50000</v>
      </c>
      <c r="T143" s="3">
        <v>70000</v>
      </c>
      <c r="U143" s="3">
        <v>90000</v>
      </c>
      <c r="V143" s="3">
        <v>90000</v>
      </c>
      <c r="W143" s="844" t="s">
        <v>536</v>
      </c>
    </row>
    <row r="144" spans="1:23" ht="87" customHeight="1">
      <c r="A144" s="592"/>
      <c r="B144" s="839"/>
      <c r="C144" s="14" t="s">
        <v>738</v>
      </c>
      <c r="D144" s="14" t="s">
        <v>736</v>
      </c>
      <c r="E144" s="113">
        <v>0</v>
      </c>
      <c r="F144" s="113">
        <v>100</v>
      </c>
      <c r="G144" s="113">
        <v>200</v>
      </c>
      <c r="H144" s="113">
        <v>300</v>
      </c>
      <c r="I144" s="113">
        <v>400</v>
      </c>
      <c r="J144" s="4" t="s">
        <v>739</v>
      </c>
      <c r="K144" s="4" t="s">
        <v>710</v>
      </c>
      <c r="L144" s="4" t="s">
        <v>189</v>
      </c>
      <c r="M144" s="113">
        <v>0</v>
      </c>
      <c r="N144" s="113">
        <v>2</v>
      </c>
      <c r="O144" s="113">
        <v>4</v>
      </c>
      <c r="P144" s="113">
        <v>6</v>
      </c>
      <c r="Q144" s="113">
        <v>8</v>
      </c>
      <c r="R144" s="3">
        <f t="shared" si="5"/>
        <v>110000</v>
      </c>
      <c r="S144" s="3">
        <v>20000</v>
      </c>
      <c r="T144" s="3">
        <v>27000</v>
      </c>
      <c r="U144" s="3">
        <v>30000</v>
      </c>
      <c r="V144" s="3">
        <v>33000</v>
      </c>
      <c r="W144" s="844"/>
    </row>
    <row r="145" spans="1:23" ht="87" customHeight="1">
      <c r="A145" s="592"/>
      <c r="B145" s="839"/>
      <c r="C145" s="14" t="s">
        <v>740</v>
      </c>
      <c r="D145" s="14" t="s">
        <v>741</v>
      </c>
      <c r="E145" s="113">
        <v>14</v>
      </c>
      <c r="F145" s="113">
        <v>16</v>
      </c>
      <c r="G145" s="113">
        <v>22</v>
      </c>
      <c r="H145" s="113">
        <v>25</v>
      </c>
      <c r="I145" s="113">
        <v>30</v>
      </c>
      <c r="J145" s="4" t="s">
        <v>742</v>
      </c>
      <c r="K145" s="4" t="s">
        <v>743</v>
      </c>
      <c r="L145" s="4" t="s">
        <v>189</v>
      </c>
      <c r="M145" s="113">
        <v>14</v>
      </c>
      <c r="N145" s="113">
        <v>16</v>
      </c>
      <c r="O145" s="113">
        <v>22</v>
      </c>
      <c r="P145" s="113">
        <v>25</v>
      </c>
      <c r="Q145" s="113">
        <v>30</v>
      </c>
      <c r="R145" s="3">
        <f t="shared" si="5"/>
        <v>413000</v>
      </c>
      <c r="S145" s="3">
        <v>70000</v>
      </c>
      <c r="T145" s="3">
        <v>120000</v>
      </c>
      <c r="U145" s="3">
        <v>110000</v>
      </c>
      <c r="V145" s="3">
        <v>113000</v>
      </c>
      <c r="W145" s="844"/>
    </row>
    <row r="146" spans="1:23" ht="87" customHeight="1">
      <c r="A146" s="592"/>
      <c r="B146" s="839"/>
      <c r="C146" s="14" t="s">
        <v>751</v>
      </c>
      <c r="D146" s="14" t="s">
        <v>752</v>
      </c>
      <c r="E146" s="113">
        <v>6400</v>
      </c>
      <c r="F146" s="113">
        <v>7400</v>
      </c>
      <c r="G146" s="113">
        <v>9900</v>
      </c>
      <c r="H146" s="113">
        <v>12400</v>
      </c>
      <c r="I146" s="113">
        <v>14400</v>
      </c>
      <c r="J146" s="4" t="s">
        <v>753</v>
      </c>
      <c r="K146" s="4" t="s">
        <v>754</v>
      </c>
      <c r="L146" s="4" t="s">
        <v>189</v>
      </c>
      <c r="M146" s="113">
        <v>6400</v>
      </c>
      <c r="N146" s="113">
        <v>7400</v>
      </c>
      <c r="O146" s="113">
        <v>9900</v>
      </c>
      <c r="P146" s="113">
        <v>12400</v>
      </c>
      <c r="Q146" s="113">
        <v>15400</v>
      </c>
      <c r="R146" s="3">
        <f t="shared" si="5"/>
        <v>503000</v>
      </c>
      <c r="S146" s="3">
        <f>65*1000</f>
        <v>65000</v>
      </c>
      <c r="T146" s="3">
        <v>135000</v>
      </c>
      <c r="U146" s="3">
        <v>157000</v>
      </c>
      <c r="V146" s="3">
        <v>146000</v>
      </c>
      <c r="W146" s="844"/>
    </row>
    <row r="147" spans="1:23" ht="87" customHeight="1">
      <c r="A147" s="592"/>
      <c r="B147" s="839"/>
      <c r="C147" s="14" t="s">
        <v>755</v>
      </c>
      <c r="D147" s="14" t="s">
        <v>756</v>
      </c>
      <c r="E147" s="113">
        <v>0</v>
      </c>
      <c r="F147" s="113">
        <v>500</v>
      </c>
      <c r="G147" s="113">
        <v>2500</v>
      </c>
      <c r="H147" s="113">
        <v>5000</v>
      </c>
      <c r="I147" s="113">
        <v>7000</v>
      </c>
      <c r="J147" s="4" t="s">
        <v>757</v>
      </c>
      <c r="K147" s="4" t="s">
        <v>758</v>
      </c>
      <c r="L147" s="4" t="s">
        <v>189</v>
      </c>
      <c r="M147" s="113">
        <v>0</v>
      </c>
      <c r="N147" s="113">
        <v>0</v>
      </c>
      <c r="O147" s="113">
        <v>1</v>
      </c>
      <c r="P147" s="113">
        <v>1</v>
      </c>
      <c r="Q147" s="113">
        <v>1</v>
      </c>
      <c r="R147" s="3">
        <f t="shared" si="5"/>
        <v>42000</v>
      </c>
      <c r="S147" s="3">
        <v>0</v>
      </c>
      <c r="T147" s="3">
        <v>20000</v>
      </c>
      <c r="U147" s="3">
        <v>11000</v>
      </c>
      <c r="V147" s="3">
        <f aca="true" t="shared" si="7" ref="V147:V154">+U147</f>
        <v>11000</v>
      </c>
      <c r="W147" s="844"/>
    </row>
    <row r="148" spans="1:23" ht="87" customHeight="1">
      <c r="A148" s="592"/>
      <c r="B148" s="839"/>
      <c r="C148" s="14" t="s">
        <v>759</v>
      </c>
      <c r="D148" s="14" t="s">
        <v>760</v>
      </c>
      <c r="E148" s="113">
        <v>0</v>
      </c>
      <c r="F148" s="113">
        <v>0</v>
      </c>
      <c r="G148" s="113">
        <v>1</v>
      </c>
      <c r="H148" s="113">
        <v>1</v>
      </c>
      <c r="I148" s="113">
        <v>1</v>
      </c>
      <c r="J148" s="4" t="s">
        <v>761</v>
      </c>
      <c r="K148" s="4" t="s">
        <v>762</v>
      </c>
      <c r="L148" s="4" t="s">
        <v>189</v>
      </c>
      <c r="M148" s="113">
        <v>0</v>
      </c>
      <c r="N148" s="113">
        <v>0</v>
      </c>
      <c r="O148" s="113">
        <v>1</v>
      </c>
      <c r="P148" s="113">
        <v>1</v>
      </c>
      <c r="Q148" s="113">
        <v>1</v>
      </c>
      <c r="R148" s="3">
        <f t="shared" si="5"/>
        <v>35000</v>
      </c>
      <c r="S148" s="3">
        <v>0</v>
      </c>
      <c r="T148" s="3">
        <v>15000</v>
      </c>
      <c r="U148" s="3">
        <v>10000</v>
      </c>
      <c r="V148" s="3">
        <f t="shared" si="7"/>
        <v>10000</v>
      </c>
      <c r="W148" s="844"/>
    </row>
    <row r="149" spans="1:23" ht="87" customHeight="1">
      <c r="A149" s="592"/>
      <c r="B149" s="839"/>
      <c r="C149" s="14" t="s">
        <v>763</v>
      </c>
      <c r="D149" s="14" t="s">
        <v>764</v>
      </c>
      <c r="E149" s="113">
        <v>0</v>
      </c>
      <c r="F149" s="113">
        <v>0</v>
      </c>
      <c r="G149" s="113">
        <v>1</v>
      </c>
      <c r="H149" s="113">
        <v>1</v>
      </c>
      <c r="I149" s="113">
        <v>1</v>
      </c>
      <c r="J149" s="4" t="s">
        <v>765</v>
      </c>
      <c r="K149" s="4" t="s">
        <v>766</v>
      </c>
      <c r="L149" s="4" t="s">
        <v>189</v>
      </c>
      <c r="M149" s="113">
        <v>0</v>
      </c>
      <c r="N149" s="113">
        <v>1</v>
      </c>
      <c r="O149" s="113">
        <v>4</v>
      </c>
      <c r="P149" s="113">
        <v>6</v>
      </c>
      <c r="Q149" s="113">
        <v>8</v>
      </c>
      <c r="R149" s="3">
        <f t="shared" si="5"/>
        <v>188000</v>
      </c>
      <c r="S149" s="3">
        <v>47000</v>
      </c>
      <c r="T149" s="3">
        <v>47000</v>
      </c>
      <c r="U149" s="3">
        <v>47000</v>
      </c>
      <c r="V149" s="3">
        <f t="shared" si="7"/>
        <v>47000</v>
      </c>
      <c r="W149" s="844"/>
    </row>
    <row r="150" spans="1:23" ht="87" customHeight="1">
      <c r="A150" s="592"/>
      <c r="B150" s="839"/>
      <c r="C150" s="14" t="s">
        <v>767</v>
      </c>
      <c r="D150" s="14" t="s">
        <v>150</v>
      </c>
      <c r="E150" s="113">
        <v>0</v>
      </c>
      <c r="F150" s="113">
        <v>0</v>
      </c>
      <c r="G150" s="6">
        <v>1</v>
      </c>
      <c r="H150" s="6">
        <v>1</v>
      </c>
      <c r="I150" s="6">
        <v>1</v>
      </c>
      <c r="J150" s="4" t="s">
        <v>768</v>
      </c>
      <c r="K150" s="4" t="s">
        <v>769</v>
      </c>
      <c r="L150" s="4" t="s">
        <v>189</v>
      </c>
      <c r="M150" s="113">
        <v>0</v>
      </c>
      <c r="N150" s="113">
        <v>0</v>
      </c>
      <c r="O150" s="113">
        <v>1</v>
      </c>
      <c r="P150" s="113">
        <v>1</v>
      </c>
      <c r="Q150" s="113">
        <v>1</v>
      </c>
      <c r="R150" s="3">
        <f t="shared" si="5"/>
        <v>16000</v>
      </c>
      <c r="S150" s="3">
        <v>0</v>
      </c>
      <c r="T150" s="3">
        <v>12000</v>
      </c>
      <c r="U150" s="3">
        <v>2000</v>
      </c>
      <c r="V150" s="3">
        <f t="shared" si="7"/>
        <v>2000</v>
      </c>
      <c r="W150" s="844"/>
    </row>
    <row r="151" spans="1:23" ht="87" customHeight="1">
      <c r="A151" s="592"/>
      <c r="B151" s="839"/>
      <c r="C151" s="14" t="s">
        <v>770</v>
      </c>
      <c r="D151" s="14" t="s">
        <v>771</v>
      </c>
      <c r="E151" s="113">
        <v>0</v>
      </c>
      <c r="F151" s="11">
        <v>0.05</v>
      </c>
      <c r="G151" s="11">
        <v>0.15</v>
      </c>
      <c r="H151" s="11">
        <v>0.3</v>
      </c>
      <c r="I151" s="6">
        <v>0.4</v>
      </c>
      <c r="J151" s="4" t="s">
        <v>772</v>
      </c>
      <c r="K151" s="4" t="s">
        <v>773</v>
      </c>
      <c r="L151" s="4" t="s">
        <v>189</v>
      </c>
      <c r="M151" s="113">
        <v>0</v>
      </c>
      <c r="N151" s="113">
        <v>1</v>
      </c>
      <c r="O151" s="113">
        <v>3</v>
      </c>
      <c r="P151" s="113">
        <v>6</v>
      </c>
      <c r="Q151" s="113">
        <v>8</v>
      </c>
      <c r="R151" s="3">
        <f t="shared" si="5"/>
        <v>29000</v>
      </c>
      <c r="S151" s="3">
        <v>5000</v>
      </c>
      <c r="T151" s="3">
        <v>8000</v>
      </c>
      <c r="U151" s="3">
        <v>8000</v>
      </c>
      <c r="V151" s="3">
        <f t="shared" si="7"/>
        <v>8000</v>
      </c>
      <c r="W151" s="844"/>
    </row>
    <row r="152" spans="1:23" ht="87" customHeight="1">
      <c r="A152" s="592"/>
      <c r="B152" s="839"/>
      <c r="C152" s="14" t="s">
        <v>774</v>
      </c>
      <c r="D152" s="14" t="s">
        <v>775</v>
      </c>
      <c r="E152" s="113">
        <v>0</v>
      </c>
      <c r="F152" s="30">
        <v>30</v>
      </c>
      <c r="G152" s="30">
        <v>50</v>
      </c>
      <c r="H152" s="30">
        <v>90</v>
      </c>
      <c r="I152" s="30">
        <v>120</v>
      </c>
      <c r="J152" s="4" t="s">
        <v>776</v>
      </c>
      <c r="K152" s="4" t="s">
        <v>777</v>
      </c>
      <c r="L152" s="4" t="s">
        <v>189</v>
      </c>
      <c r="M152" s="113">
        <v>0</v>
      </c>
      <c r="N152" s="113">
        <v>30</v>
      </c>
      <c r="O152" s="113">
        <v>50</v>
      </c>
      <c r="P152" s="113">
        <v>90</v>
      </c>
      <c r="Q152" s="113">
        <v>120</v>
      </c>
      <c r="R152" s="3">
        <f t="shared" si="5"/>
        <v>110000</v>
      </c>
      <c r="S152" s="3">
        <v>25000</v>
      </c>
      <c r="T152" s="3">
        <v>25000</v>
      </c>
      <c r="U152" s="3">
        <v>30000</v>
      </c>
      <c r="V152" s="3">
        <f t="shared" si="7"/>
        <v>30000</v>
      </c>
      <c r="W152" s="844"/>
    </row>
    <row r="153" spans="1:23" ht="87" customHeight="1">
      <c r="A153" s="592"/>
      <c r="B153" s="839"/>
      <c r="C153" s="14" t="s">
        <v>778</v>
      </c>
      <c r="D153" s="14" t="s">
        <v>779</v>
      </c>
      <c r="E153" s="113">
        <v>0</v>
      </c>
      <c r="F153" s="113">
        <v>50</v>
      </c>
      <c r="G153" s="113">
        <v>200</v>
      </c>
      <c r="H153" s="113">
        <v>300</v>
      </c>
      <c r="I153" s="113">
        <v>400</v>
      </c>
      <c r="J153" s="4" t="s">
        <v>780</v>
      </c>
      <c r="K153" s="4" t="s">
        <v>781</v>
      </c>
      <c r="L153" s="4" t="s">
        <v>189</v>
      </c>
      <c r="M153" s="113">
        <v>0</v>
      </c>
      <c r="N153" s="113">
        <v>1</v>
      </c>
      <c r="O153" s="113">
        <v>4</v>
      </c>
      <c r="P153" s="113">
        <v>6</v>
      </c>
      <c r="Q153" s="113">
        <v>8</v>
      </c>
      <c r="R153" s="3">
        <f t="shared" si="5"/>
        <v>56000</v>
      </c>
      <c r="S153" s="3">
        <v>13000</v>
      </c>
      <c r="T153" s="3">
        <v>13000</v>
      </c>
      <c r="U153" s="3">
        <v>15000</v>
      </c>
      <c r="V153" s="3">
        <f t="shared" si="7"/>
        <v>15000</v>
      </c>
      <c r="W153" s="844"/>
    </row>
    <row r="154" spans="1:23" ht="87" customHeight="1">
      <c r="A154" s="592"/>
      <c r="B154" s="839"/>
      <c r="C154" s="14" t="s">
        <v>782</v>
      </c>
      <c r="D154" s="14" t="s">
        <v>783</v>
      </c>
      <c r="E154" s="113">
        <v>0</v>
      </c>
      <c r="F154" s="113">
        <v>0</v>
      </c>
      <c r="G154" s="113">
        <v>0</v>
      </c>
      <c r="H154" s="113">
        <v>0</v>
      </c>
      <c r="I154" s="113">
        <v>1</v>
      </c>
      <c r="J154" s="4" t="s">
        <v>148</v>
      </c>
      <c r="K154" s="4" t="s">
        <v>149</v>
      </c>
      <c r="L154" s="4" t="s">
        <v>189</v>
      </c>
      <c r="M154" s="113">
        <v>0</v>
      </c>
      <c r="N154" s="113">
        <v>2</v>
      </c>
      <c r="O154" s="113">
        <v>6</v>
      </c>
      <c r="P154" s="113">
        <v>11</v>
      </c>
      <c r="Q154" s="113">
        <v>16</v>
      </c>
      <c r="R154" s="3">
        <f t="shared" si="5"/>
        <v>33000</v>
      </c>
      <c r="S154" s="3">
        <v>5000</v>
      </c>
      <c r="T154" s="3">
        <v>8000</v>
      </c>
      <c r="U154" s="3">
        <v>10000</v>
      </c>
      <c r="V154" s="3">
        <f t="shared" si="7"/>
        <v>10000</v>
      </c>
      <c r="W154" s="844"/>
    </row>
    <row r="155" spans="1:23" ht="87" customHeight="1">
      <c r="A155" s="592" t="s">
        <v>151</v>
      </c>
      <c r="B155" s="839">
        <f>10238000/R282*100%</f>
        <v>0.11457822081555452</v>
      </c>
      <c r="C155" s="14" t="s">
        <v>152</v>
      </c>
      <c r="D155" s="14" t="s">
        <v>153</v>
      </c>
      <c r="E155" s="202">
        <v>4400</v>
      </c>
      <c r="F155" s="202">
        <v>6860</v>
      </c>
      <c r="G155" s="202">
        <v>9320</v>
      </c>
      <c r="H155" s="202">
        <v>11800</v>
      </c>
      <c r="I155" s="202">
        <v>12400</v>
      </c>
      <c r="J155" s="4" t="s">
        <v>2789</v>
      </c>
      <c r="K155" s="4" t="s">
        <v>155</v>
      </c>
      <c r="L155" s="4" t="s">
        <v>189</v>
      </c>
      <c r="M155" s="202">
        <v>5</v>
      </c>
      <c r="N155" s="202">
        <v>9</v>
      </c>
      <c r="O155" s="202">
        <v>13</v>
      </c>
      <c r="P155" s="202">
        <v>17</v>
      </c>
      <c r="Q155" s="202">
        <v>18</v>
      </c>
      <c r="R155" s="3">
        <f>+S155+T155+U155+V155</f>
        <v>6013000</v>
      </c>
      <c r="S155" s="3">
        <v>1500000</v>
      </c>
      <c r="T155" s="3">
        <v>1442000</v>
      </c>
      <c r="U155" s="3">
        <v>1504000</v>
      </c>
      <c r="V155" s="3">
        <v>1567000</v>
      </c>
      <c r="W155" s="596" t="s">
        <v>536</v>
      </c>
    </row>
    <row r="156" spans="1:23" ht="87" customHeight="1">
      <c r="A156" s="592"/>
      <c r="B156" s="839"/>
      <c r="C156" s="14" t="s">
        <v>156</v>
      </c>
      <c r="D156" s="14" t="s">
        <v>153</v>
      </c>
      <c r="E156" s="202">
        <v>200</v>
      </c>
      <c r="F156" s="202">
        <v>390</v>
      </c>
      <c r="G156" s="202">
        <v>460</v>
      </c>
      <c r="H156" s="202">
        <v>460</v>
      </c>
      <c r="I156" s="202">
        <v>460</v>
      </c>
      <c r="J156" s="4" t="s">
        <v>157</v>
      </c>
      <c r="K156" s="4" t="s">
        <v>158</v>
      </c>
      <c r="L156" s="4" t="s">
        <v>189</v>
      </c>
      <c r="M156" s="202">
        <v>6</v>
      </c>
      <c r="N156" s="202">
        <v>11</v>
      </c>
      <c r="O156" s="202">
        <v>13</v>
      </c>
      <c r="P156" s="202">
        <v>13</v>
      </c>
      <c r="Q156" s="202">
        <v>13</v>
      </c>
      <c r="R156" s="3">
        <f>+S156+T156+U156+V156</f>
        <v>2508000</v>
      </c>
      <c r="S156" s="3">
        <v>600000</v>
      </c>
      <c r="T156" s="3">
        <v>618000</v>
      </c>
      <c r="U156" s="3">
        <v>637000</v>
      </c>
      <c r="V156" s="3">
        <v>653000</v>
      </c>
      <c r="W156" s="596"/>
    </row>
    <row r="157" spans="1:23" ht="87" customHeight="1">
      <c r="A157" s="592"/>
      <c r="B157" s="839"/>
      <c r="C157" s="14" t="s">
        <v>159</v>
      </c>
      <c r="D157" s="14" t="s">
        <v>153</v>
      </c>
      <c r="E157" s="202">
        <v>20000</v>
      </c>
      <c r="F157" s="202">
        <v>25000</v>
      </c>
      <c r="G157" s="202">
        <v>30000</v>
      </c>
      <c r="H157" s="202">
        <v>40100</v>
      </c>
      <c r="I157" s="202">
        <v>45200</v>
      </c>
      <c r="J157" s="4" t="s">
        <v>160</v>
      </c>
      <c r="K157" s="4" t="s">
        <v>161</v>
      </c>
      <c r="L157" s="4" t="s">
        <v>189</v>
      </c>
      <c r="M157" s="3">
        <v>16</v>
      </c>
      <c r="N157" s="3">
        <v>20</v>
      </c>
      <c r="O157" s="3">
        <v>24</v>
      </c>
      <c r="P157" s="3">
        <v>28</v>
      </c>
      <c r="Q157" s="3">
        <v>32</v>
      </c>
      <c r="R157" s="3">
        <f aca="true" t="shared" si="8" ref="R157:R206">+S157+T157+U157+V157</f>
        <v>811000</v>
      </c>
      <c r="S157" s="3">
        <v>241000</v>
      </c>
      <c r="T157" s="3">
        <v>200000</v>
      </c>
      <c r="U157" s="3">
        <v>200000</v>
      </c>
      <c r="V157" s="3">
        <v>170000</v>
      </c>
      <c r="W157" s="596"/>
    </row>
    <row r="158" spans="1:23" ht="87" customHeight="1">
      <c r="A158" s="592"/>
      <c r="B158" s="839"/>
      <c r="C158" s="14" t="s">
        <v>162</v>
      </c>
      <c r="D158" s="14" t="s">
        <v>163</v>
      </c>
      <c r="E158" s="202">
        <v>0</v>
      </c>
      <c r="F158" s="202">
        <v>0</v>
      </c>
      <c r="G158" s="202">
        <v>2</v>
      </c>
      <c r="H158" s="202">
        <v>2</v>
      </c>
      <c r="I158" s="202">
        <v>2</v>
      </c>
      <c r="J158" s="4" t="s">
        <v>164</v>
      </c>
      <c r="K158" s="4" t="s">
        <v>165</v>
      </c>
      <c r="L158" s="4" t="s">
        <v>189</v>
      </c>
      <c r="M158" s="3">
        <v>0</v>
      </c>
      <c r="N158" s="3">
        <v>1</v>
      </c>
      <c r="O158" s="3">
        <v>2</v>
      </c>
      <c r="P158" s="3">
        <v>2</v>
      </c>
      <c r="Q158" s="3">
        <v>2</v>
      </c>
      <c r="R158" s="3">
        <f t="shared" si="8"/>
        <v>80000</v>
      </c>
      <c r="S158" s="3">
        <v>30000</v>
      </c>
      <c r="T158" s="3">
        <v>50000</v>
      </c>
      <c r="U158" s="3">
        <v>0</v>
      </c>
      <c r="V158" s="3">
        <v>0</v>
      </c>
      <c r="W158" s="596"/>
    </row>
    <row r="159" spans="1:23" ht="87" customHeight="1">
      <c r="A159" s="592"/>
      <c r="B159" s="839"/>
      <c r="C159" s="549" t="s">
        <v>166</v>
      </c>
      <c r="D159" s="549" t="s">
        <v>525</v>
      </c>
      <c r="E159" s="843">
        <v>0</v>
      </c>
      <c r="F159" s="843">
        <v>0</v>
      </c>
      <c r="G159" s="843">
        <v>1</v>
      </c>
      <c r="H159" s="843">
        <v>1</v>
      </c>
      <c r="I159" s="843">
        <v>1</v>
      </c>
      <c r="J159" s="4" t="s">
        <v>526</v>
      </c>
      <c r="K159" s="4" t="s">
        <v>527</v>
      </c>
      <c r="L159" s="4" t="s">
        <v>189</v>
      </c>
      <c r="M159" s="3">
        <v>0</v>
      </c>
      <c r="N159" s="3">
        <v>1</v>
      </c>
      <c r="O159" s="3">
        <v>1</v>
      </c>
      <c r="P159" s="3">
        <v>1</v>
      </c>
      <c r="Q159" s="3">
        <v>1</v>
      </c>
      <c r="R159" s="3">
        <f t="shared" si="8"/>
        <v>60000</v>
      </c>
      <c r="S159" s="3">
        <v>40000</v>
      </c>
      <c r="T159" s="3">
        <v>10000</v>
      </c>
      <c r="U159" s="3">
        <v>5000</v>
      </c>
      <c r="V159" s="3">
        <f>+U159</f>
        <v>5000</v>
      </c>
      <c r="W159" s="596"/>
    </row>
    <row r="160" spans="1:23" ht="87" customHeight="1">
      <c r="A160" s="592"/>
      <c r="B160" s="839"/>
      <c r="C160" s="549"/>
      <c r="D160" s="549"/>
      <c r="E160" s="843"/>
      <c r="F160" s="843"/>
      <c r="G160" s="843"/>
      <c r="H160" s="843"/>
      <c r="I160" s="843"/>
      <c r="J160" s="4" t="s">
        <v>528</v>
      </c>
      <c r="K160" s="4" t="s">
        <v>529</v>
      </c>
      <c r="L160" s="4" t="s">
        <v>189</v>
      </c>
      <c r="M160" s="3">
        <v>0</v>
      </c>
      <c r="N160" s="3">
        <v>0</v>
      </c>
      <c r="O160" s="3">
        <v>1</v>
      </c>
      <c r="P160" s="3">
        <v>1</v>
      </c>
      <c r="Q160" s="3">
        <v>1</v>
      </c>
      <c r="R160" s="3">
        <f t="shared" si="8"/>
        <v>65000</v>
      </c>
      <c r="S160" s="3">
        <v>0</v>
      </c>
      <c r="T160" s="3">
        <v>50000</v>
      </c>
      <c r="U160" s="3">
        <v>15000</v>
      </c>
      <c r="V160" s="3">
        <v>0</v>
      </c>
      <c r="W160" s="596"/>
    </row>
    <row r="161" spans="1:23" ht="87" customHeight="1">
      <c r="A161" s="592"/>
      <c r="B161" s="839"/>
      <c r="C161" s="14" t="s">
        <v>530</v>
      </c>
      <c r="D161" s="14" t="s">
        <v>153</v>
      </c>
      <c r="E161" s="202">
        <v>0</v>
      </c>
      <c r="F161" s="202">
        <v>480</v>
      </c>
      <c r="G161" s="202">
        <v>960</v>
      </c>
      <c r="H161" s="202">
        <v>1440</v>
      </c>
      <c r="I161" s="202">
        <v>1920</v>
      </c>
      <c r="J161" s="4" t="s">
        <v>531</v>
      </c>
      <c r="K161" s="4" t="s">
        <v>532</v>
      </c>
      <c r="L161" s="4" t="s">
        <v>189</v>
      </c>
      <c r="M161" s="3">
        <v>0</v>
      </c>
      <c r="N161" s="3">
        <v>12</v>
      </c>
      <c r="O161" s="3">
        <v>24</v>
      </c>
      <c r="P161" s="3">
        <v>36</v>
      </c>
      <c r="Q161" s="3">
        <v>48</v>
      </c>
      <c r="R161" s="3">
        <f t="shared" si="8"/>
        <v>661000</v>
      </c>
      <c r="S161" s="3">
        <v>100000</v>
      </c>
      <c r="T161" s="3">
        <v>150000</v>
      </c>
      <c r="U161" s="3">
        <v>231000</v>
      </c>
      <c r="V161" s="3">
        <v>180000</v>
      </c>
      <c r="W161" s="596"/>
    </row>
    <row r="162" spans="1:23" ht="87" customHeight="1">
      <c r="A162" s="592"/>
      <c r="B162" s="839"/>
      <c r="C162" s="14" t="s">
        <v>533</v>
      </c>
      <c r="D162" s="14" t="s">
        <v>534</v>
      </c>
      <c r="E162" s="202">
        <v>0</v>
      </c>
      <c r="F162" s="202">
        <v>0</v>
      </c>
      <c r="G162" s="202">
        <v>0</v>
      </c>
      <c r="H162" s="202">
        <v>0</v>
      </c>
      <c r="I162" s="202">
        <v>1</v>
      </c>
      <c r="J162" s="4" t="s">
        <v>535</v>
      </c>
      <c r="K162" s="4" t="s">
        <v>149</v>
      </c>
      <c r="L162" s="4" t="s">
        <v>2775</v>
      </c>
      <c r="M162" s="3">
        <v>0</v>
      </c>
      <c r="N162" s="3">
        <v>4</v>
      </c>
      <c r="O162" s="3">
        <v>8</v>
      </c>
      <c r="P162" s="3">
        <v>12</v>
      </c>
      <c r="Q162" s="3">
        <v>16</v>
      </c>
      <c r="R162" s="3">
        <f t="shared" si="8"/>
        <v>40000</v>
      </c>
      <c r="S162" s="3">
        <v>0</v>
      </c>
      <c r="T162" s="3">
        <v>20000</v>
      </c>
      <c r="U162" s="3">
        <v>10000</v>
      </c>
      <c r="V162" s="3">
        <v>10000</v>
      </c>
      <c r="W162" s="596"/>
    </row>
    <row r="163" spans="1:23" ht="87" customHeight="1">
      <c r="A163" s="592" t="s">
        <v>537</v>
      </c>
      <c r="B163" s="839">
        <f>1650000/R282*100%</f>
        <v>0.018465917595786772</v>
      </c>
      <c r="C163" s="14" t="s">
        <v>538</v>
      </c>
      <c r="D163" s="14" t="s">
        <v>539</v>
      </c>
      <c r="E163" s="202">
        <v>4</v>
      </c>
      <c r="F163" s="202">
        <v>6</v>
      </c>
      <c r="G163" s="202">
        <v>8</v>
      </c>
      <c r="H163" s="202">
        <v>10</v>
      </c>
      <c r="I163" s="202">
        <v>12</v>
      </c>
      <c r="J163" s="4" t="s">
        <v>540</v>
      </c>
      <c r="K163" s="4" t="s">
        <v>541</v>
      </c>
      <c r="L163" s="4" t="s">
        <v>189</v>
      </c>
      <c r="M163" s="3">
        <v>4</v>
      </c>
      <c r="N163" s="3">
        <v>6</v>
      </c>
      <c r="O163" s="3">
        <v>8</v>
      </c>
      <c r="P163" s="3">
        <v>10</v>
      </c>
      <c r="Q163" s="3">
        <v>12</v>
      </c>
      <c r="R163" s="3">
        <f t="shared" si="8"/>
        <v>205000</v>
      </c>
      <c r="S163" s="3">
        <v>50000</v>
      </c>
      <c r="T163" s="3">
        <v>50000</v>
      </c>
      <c r="U163" s="3">
        <f aca="true" t="shared" si="9" ref="U163:U168">+T163</f>
        <v>50000</v>
      </c>
      <c r="V163" s="3">
        <v>55000</v>
      </c>
      <c r="W163" s="596" t="s">
        <v>536</v>
      </c>
    </row>
    <row r="164" spans="1:23" ht="87" customHeight="1">
      <c r="A164" s="592"/>
      <c r="B164" s="839"/>
      <c r="C164" s="14" t="s">
        <v>542</v>
      </c>
      <c r="D164" s="14" t="s">
        <v>543</v>
      </c>
      <c r="E164" s="202">
        <v>0</v>
      </c>
      <c r="F164" s="3">
        <v>30</v>
      </c>
      <c r="G164" s="3">
        <v>60</v>
      </c>
      <c r="H164" s="3">
        <v>90</v>
      </c>
      <c r="I164" s="202">
        <v>120</v>
      </c>
      <c r="J164" s="4" t="s">
        <v>544</v>
      </c>
      <c r="K164" s="4" t="s">
        <v>545</v>
      </c>
      <c r="L164" s="4" t="s">
        <v>189</v>
      </c>
      <c r="M164" s="3">
        <v>0</v>
      </c>
      <c r="N164" s="3">
        <v>30</v>
      </c>
      <c r="O164" s="3">
        <v>60</v>
      </c>
      <c r="P164" s="3">
        <v>90</v>
      </c>
      <c r="Q164" s="3">
        <v>120</v>
      </c>
      <c r="R164" s="3">
        <f t="shared" si="8"/>
        <v>683000</v>
      </c>
      <c r="S164" s="3">
        <v>83000</v>
      </c>
      <c r="T164" s="3">
        <v>200000</v>
      </c>
      <c r="U164" s="3">
        <f t="shared" si="9"/>
        <v>200000</v>
      </c>
      <c r="V164" s="3">
        <v>200000</v>
      </c>
      <c r="W164" s="596"/>
    </row>
    <row r="165" spans="1:23" ht="87" customHeight="1">
      <c r="A165" s="592"/>
      <c r="B165" s="839"/>
      <c r="C165" s="549" t="s">
        <v>546</v>
      </c>
      <c r="D165" s="549" t="s">
        <v>153</v>
      </c>
      <c r="E165" s="843">
        <v>40</v>
      </c>
      <c r="F165" s="843">
        <v>190</v>
      </c>
      <c r="G165" s="843">
        <v>300</v>
      </c>
      <c r="H165" s="843">
        <v>410</v>
      </c>
      <c r="I165" s="843">
        <v>480</v>
      </c>
      <c r="J165" s="4" t="s">
        <v>547</v>
      </c>
      <c r="K165" s="4" t="s">
        <v>548</v>
      </c>
      <c r="L165" s="4" t="s">
        <v>189</v>
      </c>
      <c r="M165" s="3">
        <v>0</v>
      </c>
      <c r="N165" s="3">
        <v>100</v>
      </c>
      <c r="O165" s="3">
        <v>200</v>
      </c>
      <c r="P165" s="3">
        <v>300</v>
      </c>
      <c r="Q165" s="3">
        <v>400</v>
      </c>
      <c r="R165" s="3">
        <f t="shared" si="8"/>
        <v>192000</v>
      </c>
      <c r="S165" s="3">
        <v>12000</v>
      </c>
      <c r="T165" s="3">
        <v>60000</v>
      </c>
      <c r="U165" s="3">
        <f t="shared" si="9"/>
        <v>60000</v>
      </c>
      <c r="V165" s="3">
        <v>60000</v>
      </c>
      <c r="W165" s="596"/>
    </row>
    <row r="166" spans="1:23" ht="87" customHeight="1">
      <c r="A166" s="592"/>
      <c r="B166" s="839"/>
      <c r="C166" s="549"/>
      <c r="D166" s="549"/>
      <c r="E166" s="843"/>
      <c r="F166" s="843"/>
      <c r="G166" s="843"/>
      <c r="H166" s="843"/>
      <c r="I166" s="843"/>
      <c r="J166" s="4" t="s">
        <v>549</v>
      </c>
      <c r="K166" s="4" t="s">
        <v>550</v>
      </c>
      <c r="L166" s="4" t="s">
        <v>189</v>
      </c>
      <c r="M166" s="3">
        <v>40</v>
      </c>
      <c r="N166" s="3">
        <v>50</v>
      </c>
      <c r="O166" s="3">
        <v>60</v>
      </c>
      <c r="P166" s="3">
        <v>70</v>
      </c>
      <c r="Q166" s="3">
        <v>80</v>
      </c>
      <c r="R166" s="3">
        <f t="shared" si="8"/>
        <v>90000</v>
      </c>
      <c r="S166" s="3">
        <v>15000</v>
      </c>
      <c r="T166" s="3">
        <v>30000</v>
      </c>
      <c r="U166" s="3">
        <f t="shared" si="9"/>
        <v>30000</v>
      </c>
      <c r="V166" s="3">
        <v>15000</v>
      </c>
      <c r="W166" s="596"/>
    </row>
    <row r="167" spans="1:23" ht="87" customHeight="1">
      <c r="A167" s="592"/>
      <c r="B167" s="839"/>
      <c r="C167" s="14" t="s">
        <v>551</v>
      </c>
      <c r="D167" s="14" t="s">
        <v>552</v>
      </c>
      <c r="E167" s="202">
        <v>0</v>
      </c>
      <c r="F167" s="202">
        <v>22500</v>
      </c>
      <c r="G167" s="202">
        <v>45000</v>
      </c>
      <c r="H167" s="202">
        <v>67500</v>
      </c>
      <c r="I167" s="137">
        <v>90000</v>
      </c>
      <c r="J167" s="4" t="s">
        <v>553</v>
      </c>
      <c r="K167" s="4" t="s">
        <v>554</v>
      </c>
      <c r="L167" s="4" t="s">
        <v>189</v>
      </c>
      <c r="M167" s="3">
        <v>0</v>
      </c>
      <c r="N167" s="3">
        <v>4</v>
      </c>
      <c r="O167" s="3">
        <v>8</v>
      </c>
      <c r="P167" s="3">
        <v>12</v>
      </c>
      <c r="Q167" s="3">
        <v>16</v>
      </c>
      <c r="R167" s="3">
        <f t="shared" si="8"/>
        <v>140000</v>
      </c>
      <c r="S167" s="3">
        <v>20000</v>
      </c>
      <c r="T167" s="3">
        <v>50000</v>
      </c>
      <c r="U167" s="3">
        <f t="shared" si="9"/>
        <v>50000</v>
      </c>
      <c r="V167" s="3">
        <v>20000</v>
      </c>
      <c r="W167" s="596"/>
    </row>
    <row r="168" spans="1:23" ht="87" customHeight="1">
      <c r="A168" s="592"/>
      <c r="B168" s="839"/>
      <c r="C168" s="14" t="s">
        <v>555</v>
      </c>
      <c r="D168" s="14" t="s">
        <v>556</v>
      </c>
      <c r="E168" s="202">
        <v>400</v>
      </c>
      <c r="F168" s="202">
        <v>510</v>
      </c>
      <c r="G168" s="202">
        <v>620</v>
      </c>
      <c r="H168" s="202">
        <v>730</v>
      </c>
      <c r="I168" s="202">
        <v>840</v>
      </c>
      <c r="J168" s="4" t="s">
        <v>557</v>
      </c>
      <c r="K168" s="4" t="s">
        <v>558</v>
      </c>
      <c r="L168" s="4" t="s">
        <v>189</v>
      </c>
      <c r="M168" s="3">
        <v>0</v>
      </c>
      <c r="N168" s="3">
        <v>1</v>
      </c>
      <c r="O168" s="3">
        <v>2</v>
      </c>
      <c r="P168" s="3">
        <v>3</v>
      </c>
      <c r="Q168" s="3">
        <v>4</v>
      </c>
      <c r="R168" s="3">
        <f t="shared" si="8"/>
        <v>340000</v>
      </c>
      <c r="S168" s="3">
        <v>20000</v>
      </c>
      <c r="T168" s="3">
        <v>110000</v>
      </c>
      <c r="U168" s="3">
        <f t="shared" si="9"/>
        <v>110000</v>
      </c>
      <c r="V168" s="3">
        <v>100000</v>
      </c>
      <c r="W168" s="596"/>
    </row>
    <row r="169" spans="1:23" ht="87" customHeight="1">
      <c r="A169" s="592" t="s">
        <v>559</v>
      </c>
      <c r="B169" s="839">
        <f>1900000/R282*100%</f>
        <v>0.021263783898178706</v>
      </c>
      <c r="C169" s="549" t="s">
        <v>560</v>
      </c>
      <c r="D169" s="549" t="s">
        <v>561</v>
      </c>
      <c r="E169" s="843">
        <v>720</v>
      </c>
      <c r="F169" s="843">
        <v>870</v>
      </c>
      <c r="G169" s="843">
        <v>1020</v>
      </c>
      <c r="H169" s="843">
        <v>1170</v>
      </c>
      <c r="I169" s="843">
        <v>1320</v>
      </c>
      <c r="J169" s="4" t="s">
        <v>562</v>
      </c>
      <c r="K169" s="4" t="s">
        <v>563</v>
      </c>
      <c r="L169" s="4" t="s">
        <v>189</v>
      </c>
      <c r="M169" s="3">
        <v>720</v>
      </c>
      <c r="N169" s="3">
        <v>820</v>
      </c>
      <c r="O169" s="3">
        <v>1220</v>
      </c>
      <c r="P169" s="3">
        <v>1370</v>
      </c>
      <c r="Q169" s="3">
        <v>1520</v>
      </c>
      <c r="R169" s="3">
        <f t="shared" si="8"/>
        <v>795000</v>
      </c>
      <c r="S169" s="3">
        <v>60000</v>
      </c>
      <c r="T169" s="3">
        <v>245000</v>
      </c>
      <c r="U169" s="3">
        <f>+T169</f>
        <v>245000</v>
      </c>
      <c r="V169" s="3">
        <f>+U169</f>
        <v>245000</v>
      </c>
      <c r="W169" s="596" t="s">
        <v>536</v>
      </c>
    </row>
    <row r="170" spans="1:23" ht="87" customHeight="1">
      <c r="A170" s="592"/>
      <c r="B170" s="839"/>
      <c r="C170" s="549"/>
      <c r="D170" s="549"/>
      <c r="E170" s="843"/>
      <c r="F170" s="843"/>
      <c r="G170" s="843"/>
      <c r="H170" s="843"/>
      <c r="I170" s="843"/>
      <c r="J170" s="4" t="s">
        <v>564</v>
      </c>
      <c r="K170" s="4" t="s">
        <v>565</v>
      </c>
      <c r="L170" s="4" t="s">
        <v>189</v>
      </c>
      <c r="M170" s="3">
        <v>0</v>
      </c>
      <c r="N170" s="3">
        <v>0</v>
      </c>
      <c r="O170" s="3">
        <v>1</v>
      </c>
      <c r="P170" s="3">
        <v>1</v>
      </c>
      <c r="Q170" s="3">
        <v>1</v>
      </c>
      <c r="R170" s="3">
        <f t="shared" si="8"/>
        <v>60000</v>
      </c>
      <c r="S170" s="3">
        <v>0</v>
      </c>
      <c r="T170" s="3">
        <v>50000</v>
      </c>
      <c r="U170" s="3">
        <v>10000</v>
      </c>
      <c r="V170" s="3">
        <v>0</v>
      </c>
      <c r="W170" s="596"/>
    </row>
    <row r="171" spans="1:23" ht="87" customHeight="1">
      <c r="A171" s="592"/>
      <c r="B171" s="839"/>
      <c r="C171" s="14" t="s">
        <v>566</v>
      </c>
      <c r="D171" s="14" t="s">
        <v>561</v>
      </c>
      <c r="E171" s="202">
        <v>920</v>
      </c>
      <c r="F171" s="202">
        <v>1090</v>
      </c>
      <c r="G171" s="202">
        <v>1290</v>
      </c>
      <c r="H171" s="202">
        <v>1490</v>
      </c>
      <c r="I171" s="202">
        <v>1720</v>
      </c>
      <c r="J171" s="4" t="s">
        <v>567</v>
      </c>
      <c r="K171" s="4" t="s">
        <v>710</v>
      </c>
      <c r="L171" s="4" t="s">
        <v>189</v>
      </c>
      <c r="M171" s="3">
        <v>0</v>
      </c>
      <c r="N171" s="3">
        <v>3</v>
      </c>
      <c r="O171" s="3">
        <v>7</v>
      </c>
      <c r="P171" s="3">
        <v>11</v>
      </c>
      <c r="Q171" s="3">
        <v>16</v>
      </c>
      <c r="R171" s="3">
        <f t="shared" si="8"/>
        <v>170000</v>
      </c>
      <c r="S171" s="3">
        <v>30000</v>
      </c>
      <c r="T171" s="3">
        <v>40000</v>
      </c>
      <c r="U171" s="3">
        <v>50000</v>
      </c>
      <c r="V171" s="3">
        <v>50000</v>
      </c>
      <c r="W171" s="596"/>
    </row>
    <row r="172" spans="1:23" ht="87" customHeight="1">
      <c r="A172" s="592"/>
      <c r="B172" s="839"/>
      <c r="C172" s="14" t="s">
        <v>568</v>
      </c>
      <c r="D172" s="14" t="s">
        <v>569</v>
      </c>
      <c r="E172" s="202">
        <v>0</v>
      </c>
      <c r="F172" s="202">
        <v>6</v>
      </c>
      <c r="G172" s="202">
        <v>12</v>
      </c>
      <c r="H172" s="202">
        <v>18</v>
      </c>
      <c r="I172" s="202">
        <v>20</v>
      </c>
      <c r="J172" s="4" t="s">
        <v>570</v>
      </c>
      <c r="K172" s="4" t="s">
        <v>571</v>
      </c>
      <c r="L172" s="4" t="s">
        <v>189</v>
      </c>
      <c r="M172" s="3">
        <v>0</v>
      </c>
      <c r="N172" s="3">
        <v>6</v>
      </c>
      <c r="O172" s="3">
        <v>12</v>
      </c>
      <c r="P172" s="3">
        <v>18</v>
      </c>
      <c r="Q172" s="3">
        <v>20</v>
      </c>
      <c r="R172" s="3">
        <f t="shared" si="8"/>
        <v>145000</v>
      </c>
      <c r="S172" s="3">
        <v>30000</v>
      </c>
      <c r="T172" s="3">
        <v>30000</v>
      </c>
      <c r="U172" s="3">
        <v>40000</v>
      </c>
      <c r="V172" s="3">
        <v>45000</v>
      </c>
      <c r="W172" s="596"/>
    </row>
    <row r="173" spans="1:23" ht="87" customHeight="1">
      <c r="A173" s="592"/>
      <c r="B173" s="839"/>
      <c r="C173" s="14" t="s">
        <v>572</v>
      </c>
      <c r="D173" s="14" t="s">
        <v>573</v>
      </c>
      <c r="E173" s="202">
        <v>0</v>
      </c>
      <c r="F173" s="128">
        <v>0.1</v>
      </c>
      <c r="G173" s="128">
        <v>0.4</v>
      </c>
      <c r="H173" s="128">
        <v>0.8</v>
      </c>
      <c r="I173" s="128">
        <v>1</v>
      </c>
      <c r="J173" s="4" t="s">
        <v>574</v>
      </c>
      <c r="K173" s="4" t="s">
        <v>575</v>
      </c>
      <c r="L173" s="4" t="s">
        <v>189</v>
      </c>
      <c r="M173" s="3">
        <v>0</v>
      </c>
      <c r="N173" s="3">
        <v>1</v>
      </c>
      <c r="O173" s="3">
        <v>3</v>
      </c>
      <c r="P173" s="3">
        <v>6</v>
      </c>
      <c r="Q173" s="3">
        <v>8</v>
      </c>
      <c r="R173" s="3">
        <f t="shared" si="8"/>
        <v>125000</v>
      </c>
      <c r="S173" s="3">
        <v>20000</v>
      </c>
      <c r="T173" s="3">
        <v>35000</v>
      </c>
      <c r="U173" s="3">
        <f>+T173</f>
        <v>35000</v>
      </c>
      <c r="V173" s="3">
        <v>35000</v>
      </c>
      <c r="W173" s="596"/>
    </row>
    <row r="174" spans="1:23" ht="87" customHeight="1">
      <c r="A174" s="592"/>
      <c r="B174" s="839"/>
      <c r="C174" s="14" t="s">
        <v>576</v>
      </c>
      <c r="D174" s="14" t="s">
        <v>577</v>
      </c>
      <c r="E174" s="202">
        <v>0</v>
      </c>
      <c r="F174" s="3">
        <v>1</v>
      </c>
      <c r="G174" s="3">
        <v>3</v>
      </c>
      <c r="H174" s="3">
        <v>6</v>
      </c>
      <c r="I174" s="202">
        <v>8</v>
      </c>
      <c r="J174" s="4" t="s">
        <v>578</v>
      </c>
      <c r="K174" s="4" t="s">
        <v>532</v>
      </c>
      <c r="L174" s="4" t="s">
        <v>189</v>
      </c>
      <c r="M174" s="3">
        <v>0</v>
      </c>
      <c r="N174" s="3">
        <v>1</v>
      </c>
      <c r="O174" s="3">
        <v>3</v>
      </c>
      <c r="P174" s="3">
        <v>6</v>
      </c>
      <c r="Q174" s="3">
        <v>8</v>
      </c>
      <c r="R174" s="3">
        <f t="shared" si="8"/>
        <v>120000</v>
      </c>
      <c r="S174" s="3">
        <v>30000</v>
      </c>
      <c r="T174" s="3">
        <v>30000</v>
      </c>
      <c r="U174" s="3">
        <f>+T174</f>
        <v>30000</v>
      </c>
      <c r="V174" s="3">
        <v>30000</v>
      </c>
      <c r="W174" s="596"/>
    </row>
    <row r="175" spans="1:23" ht="87" customHeight="1">
      <c r="A175" s="592"/>
      <c r="B175" s="839"/>
      <c r="C175" s="14" t="s">
        <v>579</v>
      </c>
      <c r="D175" s="14" t="s">
        <v>580</v>
      </c>
      <c r="E175" s="202">
        <v>0</v>
      </c>
      <c r="F175" s="202">
        <v>8</v>
      </c>
      <c r="G175" s="202">
        <v>18</v>
      </c>
      <c r="H175" s="202">
        <v>26</v>
      </c>
      <c r="I175" s="202">
        <v>35</v>
      </c>
      <c r="J175" s="4" t="s">
        <v>581</v>
      </c>
      <c r="K175" s="4" t="s">
        <v>532</v>
      </c>
      <c r="L175" s="4" t="s">
        <v>189</v>
      </c>
      <c r="M175" s="3">
        <v>0</v>
      </c>
      <c r="N175" s="3">
        <v>2</v>
      </c>
      <c r="O175" s="3">
        <v>4</v>
      </c>
      <c r="P175" s="3">
        <v>6</v>
      </c>
      <c r="Q175" s="3">
        <v>8</v>
      </c>
      <c r="R175" s="3">
        <f t="shared" si="8"/>
        <v>125000</v>
      </c>
      <c r="S175" s="3">
        <v>30000</v>
      </c>
      <c r="T175" s="3">
        <v>30000</v>
      </c>
      <c r="U175" s="3">
        <v>35000</v>
      </c>
      <c r="V175" s="3">
        <v>30000</v>
      </c>
      <c r="W175" s="596"/>
    </row>
    <row r="176" spans="1:23" ht="87" customHeight="1">
      <c r="A176" s="592"/>
      <c r="B176" s="839"/>
      <c r="C176" s="14" t="s">
        <v>1800</v>
      </c>
      <c r="D176" s="14" t="s">
        <v>1801</v>
      </c>
      <c r="E176" s="202">
        <v>0</v>
      </c>
      <c r="F176" s="202">
        <v>0</v>
      </c>
      <c r="G176" s="202">
        <v>1</v>
      </c>
      <c r="H176" s="202">
        <v>2</v>
      </c>
      <c r="I176" s="202">
        <v>4</v>
      </c>
      <c r="J176" s="4" t="s">
        <v>1802</v>
      </c>
      <c r="K176" s="4" t="s">
        <v>743</v>
      </c>
      <c r="L176" s="4" t="s">
        <v>189</v>
      </c>
      <c r="M176" s="3">
        <v>0</v>
      </c>
      <c r="N176" s="3">
        <v>0</v>
      </c>
      <c r="O176" s="3">
        <v>1</v>
      </c>
      <c r="P176" s="3">
        <v>2</v>
      </c>
      <c r="Q176" s="3">
        <v>4</v>
      </c>
      <c r="R176" s="3">
        <f t="shared" si="8"/>
        <v>110000</v>
      </c>
      <c r="S176" s="3">
        <v>0</v>
      </c>
      <c r="T176" s="3">
        <v>30000</v>
      </c>
      <c r="U176" s="3">
        <v>35000</v>
      </c>
      <c r="V176" s="3">
        <v>45000</v>
      </c>
      <c r="W176" s="596"/>
    </row>
    <row r="177" spans="1:23" ht="87" customHeight="1">
      <c r="A177" s="592"/>
      <c r="B177" s="839"/>
      <c r="C177" s="14" t="s">
        <v>1803</v>
      </c>
      <c r="D177" s="14" t="s">
        <v>1806</v>
      </c>
      <c r="E177" s="137">
        <v>1200</v>
      </c>
      <c r="F177" s="137">
        <v>2200</v>
      </c>
      <c r="G177" s="137">
        <v>3200</v>
      </c>
      <c r="H177" s="137">
        <v>4200</v>
      </c>
      <c r="I177" s="137">
        <v>5200</v>
      </c>
      <c r="J177" s="4" t="s">
        <v>1804</v>
      </c>
      <c r="K177" s="4" t="s">
        <v>1805</v>
      </c>
      <c r="L177" s="4" t="s">
        <v>189</v>
      </c>
      <c r="M177" s="3">
        <v>0</v>
      </c>
      <c r="N177" s="3">
        <v>3</v>
      </c>
      <c r="O177" s="3">
        <v>6</v>
      </c>
      <c r="P177" s="3">
        <v>9</v>
      </c>
      <c r="Q177" s="3">
        <v>12</v>
      </c>
      <c r="R177" s="3">
        <f t="shared" si="8"/>
        <v>250000</v>
      </c>
      <c r="S177" s="3">
        <v>50000</v>
      </c>
      <c r="T177" s="3">
        <v>60000</v>
      </c>
      <c r="U177" s="3">
        <v>70000</v>
      </c>
      <c r="V177" s="3">
        <v>70000</v>
      </c>
      <c r="W177" s="596"/>
    </row>
    <row r="178" spans="1:23" ht="87" customHeight="1">
      <c r="A178" s="549" t="s">
        <v>1807</v>
      </c>
      <c r="B178" s="839">
        <f>3120000/R282*100%</f>
        <v>0.03491737145385135</v>
      </c>
      <c r="C178" s="14" t="s">
        <v>1808</v>
      </c>
      <c r="D178" s="14" t="s">
        <v>2790</v>
      </c>
      <c r="E178" s="97">
        <v>1</v>
      </c>
      <c r="F178" s="97">
        <v>1</v>
      </c>
      <c r="G178" s="97">
        <v>1</v>
      </c>
      <c r="H178" s="97">
        <v>1</v>
      </c>
      <c r="I178" s="97">
        <v>1</v>
      </c>
      <c r="J178" s="4"/>
      <c r="K178" s="4" t="s">
        <v>2791</v>
      </c>
      <c r="L178" s="4" t="s">
        <v>2809</v>
      </c>
      <c r="M178" s="97">
        <v>1</v>
      </c>
      <c r="N178" s="97">
        <v>1</v>
      </c>
      <c r="O178" s="97">
        <v>1</v>
      </c>
      <c r="P178" s="97">
        <v>1</v>
      </c>
      <c r="Q178" s="97">
        <v>1</v>
      </c>
      <c r="R178" s="3">
        <f t="shared" si="8"/>
        <v>1460000</v>
      </c>
      <c r="S178" s="3">
        <v>320000</v>
      </c>
      <c r="T178" s="3">
        <v>370000</v>
      </c>
      <c r="U178" s="3">
        <v>385000</v>
      </c>
      <c r="V178" s="3">
        <f>+U178</f>
        <v>385000</v>
      </c>
      <c r="W178" s="596" t="s">
        <v>536</v>
      </c>
    </row>
    <row r="179" spans="1:23" ht="87" customHeight="1">
      <c r="A179" s="549"/>
      <c r="B179" s="839"/>
      <c r="C179" s="14" t="s">
        <v>1811</v>
      </c>
      <c r="D179" s="14" t="s">
        <v>1812</v>
      </c>
      <c r="E179" s="310">
        <v>0</v>
      </c>
      <c r="F179" s="97">
        <v>1</v>
      </c>
      <c r="G179" s="97">
        <v>1</v>
      </c>
      <c r="H179" s="97">
        <v>1</v>
      </c>
      <c r="I179" s="97">
        <v>1</v>
      </c>
      <c r="J179" s="4" t="s">
        <v>337</v>
      </c>
      <c r="K179" s="4" t="s">
        <v>1814</v>
      </c>
      <c r="L179" s="4" t="s">
        <v>189</v>
      </c>
      <c r="M179" s="3">
        <v>0</v>
      </c>
      <c r="N179" s="3">
        <v>10</v>
      </c>
      <c r="O179" s="3">
        <v>20</v>
      </c>
      <c r="P179" s="3">
        <v>30</v>
      </c>
      <c r="Q179" s="3">
        <v>40</v>
      </c>
      <c r="R179" s="3">
        <f t="shared" si="8"/>
        <v>385000</v>
      </c>
      <c r="S179" s="3">
        <v>90000</v>
      </c>
      <c r="T179" s="3">
        <v>90000</v>
      </c>
      <c r="U179" s="3">
        <v>100000</v>
      </c>
      <c r="V179" s="3">
        <v>105000</v>
      </c>
      <c r="W179" s="596"/>
    </row>
    <row r="180" spans="1:23" ht="87" customHeight="1">
      <c r="A180" s="549"/>
      <c r="B180" s="839"/>
      <c r="C180" s="14" t="s">
        <v>1815</v>
      </c>
      <c r="D180" s="14" t="s">
        <v>1816</v>
      </c>
      <c r="E180" s="137">
        <v>0.01</v>
      </c>
      <c r="F180" s="137">
        <v>0</v>
      </c>
      <c r="G180" s="137">
        <v>1</v>
      </c>
      <c r="H180" s="137">
        <v>1</v>
      </c>
      <c r="I180" s="137">
        <v>1</v>
      </c>
      <c r="J180" s="4" t="s">
        <v>1817</v>
      </c>
      <c r="K180" s="4" t="s">
        <v>1818</v>
      </c>
      <c r="L180" s="4" t="s">
        <v>189</v>
      </c>
      <c r="M180" s="3">
        <v>0</v>
      </c>
      <c r="N180" s="3">
        <v>0</v>
      </c>
      <c r="O180" s="3">
        <v>1</v>
      </c>
      <c r="P180" s="3">
        <v>1</v>
      </c>
      <c r="Q180" s="3">
        <v>1</v>
      </c>
      <c r="R180" s="3">
        <f t="shared" si="8"/>
        <v>50000</v>
      </c>
      <c r="S180" s="3">
        <v>0</v>
      </c>
      <c r="T180" s="3">
        <v>30000</v>
      </c>
      <c r="U180" s="3">
        <v>10000</v>
      </c>
      <c r="V180" s="3">
        <f>+U180</f>
        <v>10000</v>
      </c>
      <c r="W180" s="596"/>
    </row>
    <row r="181" spans="1:23" ht="87" customHeight="1">
      <c r="A181" s="549"/>
      <c r="B181" s="839"/>
      <c r="C181" s="14" t="s">
        <v>338</v>
      </c>
      <c r="D181" s="14" t="s">
        <v>900</v>
      </c>
      <c r="E181" s="137">
        <v>0</v>
      </c>
      <c r="F181" s="137">
        <v>0</v>
      </c>
      <c r="G181" s="137">
        <v>1</v>
      </c>
      <c r="H181" s="137">
        <v>1</v>
      </c>
      <c r="I181" s="137">
        <v>1</v>
      </c>
      <c r="J181" s="4" t="s">
        <v>901</v>
      </c>
      <c r="K181" s="4" t="s">
        <v>902</v>
      </c>
      <c r="L181" s="4" t="s">
        <v>189</v>
      </c>
      <c r="M181" s="3">
        <v>0</v>
      </c>
      <c r="N181" s="3">
        <v>0</v>
      </c>
      <c r="O181" s="3">
        <v>1</v>
      </c>
      <c r="P181" s="3">
        <v>1</v>
      </c>
      <c r="Q181" s="3">
        <v>1</v>
      </c>
      <c r="R181" s="3">
        <f t="shared" si="8"/>
        <v>35000</v>
      </c>
      <c r="S181" s="3">
        <v>0</v>
      </c>
      <c r="T181" s="3">
        <v>15000</v>
      </c>
      <c r="U181" s="3">
        <v>10000</v>
      </c>
      <c r="V181" s="3">
        <f>+U181</f>
        <v>10000</v>
      </c>
      <c r="W181" s="596"/>
    </row>
    <row r="182" spans="1:23" ht="81" customHeight="1">
      <c r="A182" s="549"/>
      <c r="B182" s="839"/>
      <c r="C182" s="14" t="s">
        <v>903</v>
      </c>
      <c r="D182" s="99" t="s">
        <v>1834</v>
      </c>
      <c r="E182" s="202">
        <v>0</v>
      </c>
      <c r="F182" s="128">
        <v>0.15</v>
      </c>
      <c r="G182" s="128">
        <v>0.45</v>
      </c>
      <c r="H182" s="128">
        <v>0.8</v>
      </c>
      <c r="I182" s="203">
        <v>1</v>
      </c>
      <c r="J182" s="4" t="s">
        <v>904</v>
      </c>
      <c r="K182" s="4" t="s">
        <v>532</v>
      </c>
      <c r="L182" s="4" t="s">
        <v>189</v>
      </c>
      <c r="M182" s="3">
        <v>0</v>
      </c>
      <c r="N182" s="3">
        <v>1</v>
      </c>
      <c r="O182" s="3">
        <v>3</v>
      </c>
      <c r="P182" s="3">
        <v>5</v>
      </c>
      <c r="Q182" s="3">
        <v>7</v>
      </c>
      <c r="R182" s="3">
        <f t="shared" si="8"/>
        <v>160000</v>
      </c>
      <c r="S182" s="3">
        <v>40000</v>
      </c>
      <c r="T182" s="3">
        <f aca="true" t="shared" si="10" ref="T182:U184">+S182</f>
        <v>40000</v>
      </c>
      <c r="U182" s="3">
        <f t="shared" si="10"/>
        <v>40000</v>
      </c>
      <c r="V182" s="3">
        <f>+U182</f>
        <v>40000</v>
      </c>
      <c r="W182" s="596"/>
    </row>
    <row r="183" spans="1:23" ht="81" customHeight="1">
      <c r="A183" s="549"/>
      <c r="B183" s="839"/>
      <c r="C183" s="14" t="s">
        <v>2792</v>
      </c>
      <c r="D183" s="14" t="s">
        <v>2793</v>
      </c>
      <c r="E183" s="202">
        <v>0</v>
      </c>
      <c r="F183" s="202">
        <v>1</v>
      </c>
      <c r="G183" s="202">
        <v>1</v>
      </c>
      <c r="H183" s="202">
        <v>1</v>
      </c>
      <c r="I183" s="202">
        <v>1</v>
      </c>
      <c r="J183" s="4" t="s">
        <v>2891</v>
      </c>
      <c r="K183" s="4" t="s">
        <v>2892</v>
      </c>
      <c r="L183" s="4" t="s">
        <v>189</v>
      </c>
      <c r="M183" s="3">
        <v>0</v>
      </c>
      <c r="N183" s="3">
        <v>4</v>
      </c>
      <c r="O183" s="3">
        <v>8</v>
      </c>
      <c r="P183" s="3">
        <v>12</v>
      </c>
      <c r="Q183" s="3">
        <v>16</v>
      </c>
      <c r="R183" s="3">
        <f t="shared" si="8"/>
        <v>120000</v>
      </c>
      <c r="S183" s="3">
        <v>30000</v>
      </c>
      <c r="T183" s="3">
        <f t="shared" si="10"/>
        <v>30000</v>
      </c>
      <c r="U183" s="3">
        <f t="shared" si="10"/>
        <v>30000</v>
      </c>
      <c r="V183" s="3">
        <f>+U183</f>
        <v>30000</v>
      </c>
      <c r="W183" s="596"/>
    </row>
    <row r="184" spans="1:23" ht="81" customHeight="1">
      <c r="A184" s="549"/>
      <c r="B184" s="839"/>
      <c r="C184" s="14" t="s">
        <v>2893</v>
      </c>
      <c r="D184" s="14" t="s">
        <v>2894</v>
      </c>
      <c r="E184" s="202">
        <v>0</v>
      </c>
      <c r="F184" s="202">
        <v>1</v>
      </c>
      <c r="G184" s="202">
        <v>1</v>
      </c>
      <c r="H184" s="202">
        <v>1</v>
      </c>
      <c r="I184" s="202">
        <v>1</v>
      </c>
      <c r="J184" s="14" t="s">
        <v>1819</v>
      </c>
      <c r="K184" s="14" t="s">
        <v>1820</v>
      </c>
      <c r="L184" s="14" t="s">
        <v>189</v>
      </c>
      <c r="M184" s="3">
        <v>0</v>
      </c>
      <c r="N184" s="3">
        <v>1</v>
      </c>
      <c r="O184" s="3">
        <v>2</v>
      </c>
      <c r="P184" s="3">
        <v>3</v>
      </c>
      <c r="Q184" s="3">
        <v>4</v>
      </c>
      <c r="R184" s="3">
        <f t="shared" si="8"/>
        <v>100000</v>
      </c>
      <c r="S184" s="3">
        <v>25000</v>
      </c>
      <c r="T184" s="3">
        <f t="shared" si="10"/>
        <v>25000</v>
      </c>
      <c r="U184" s="3">
        <f t="shared" si="10"/>
        <v>25000</v>
      </c>
      <c r="V184" s="3">
        <f>+U184</f>
        <v>25000</v>
      </c>
      <c r="W184" s="596"/>
    </row>
    <row r="185" spans="1:23" ht="81" customHeight="1">
      <c r="A185" s="549"/>
      <c r="B185" s="839"/>
      <c r="C185" s="14" t="s">
        <v>1821</v>
      </c>
      <c r="D185" s="14" t="s">
        <v>1835</v>
      </c>
      <c r="E185" s="128">
        <v>1</v>
      </c>
      <c r="F185" s="128">
        <v>1</v>
      </c>
      <c r="G185" s="128">
        <v>1</v>
      </c>
      <c r="H185" s="128">
        <v>1</v>
      </c>
      <c r="I185" s="203">
        <v>1</v>
      </c>
      <c r="J185" s="4" t="s">
        <v>2794</v>
      </c>
      <c r="K185" s="4" t="s">
        <v>2795</v>
      </c>
      <c r="L185" s="4" t="s">
        <v>189</v>
      </c>
      <c r="M185" s="3">
        <v>0</v>
      </c>
      <c r="N185" s="3">
        <v>250</v>
      </c>
      <c r="O185" s="3">
        <v>750</v>
      </c>
      <c r="P185" s="3">
        <v>1000</v>
      </c>
      <c r="Q185" s="3">
        <v>1250</v>
      </c>
      <c r="R185" s="3">
        <f t="shared" si="8"/>
        <v>550000</v>
      </c>
      <c r="S185" s="3">
        <v>130000</v>
      </c>
      <c r="T185" s="3">
        <v>135000</v>
      </c>
      <c r="U185" s="3">
        <f>+T185</f>
        <v>135000</v>
      </c>
      <c r="V185" s="3">
        <v>150000</v>
      </c>
      <c r="W185" s="596"/>
    </row>
    <row r="186" spans="1:23" ht="81" customHeight="1">
      <c r="A186" s="549"/>
      <c r="B186" s="839"/>
      <c r="C186" s="14" t="s">
        <v>1824</v>
      </c>
      <c r="D186" s="14" t="s">
        <v>1825</v>
      </c>
      <c r="E186" s="137">
        <v>15</v>
      </c>
      <c r="F186" s="137">
        <v>20</v>
      </c>
      <c r="G186" s="137">
        <v>25</v>
      </c>
      <c r="H186" s="137">
        <v>30</v>
      </c>
      <c r="I186" s="137">
        <v>35</v>
      </c>
      <c r="J186" s="4" t="s">
        <v>1826</v>
      </c>
      <c r="K186" s="4" t="s">
        <v>710</v>
      </c>
      <c r="L186" s="4" t="s">
        <v>189</v>
      </c>
      <c r="M186" s="3">
        <v>15</v>
      </c>
      <c r="N186" s="3">
        <v>16</v>
      </c>
      <c r="O186" s="3">
        <v>19</v>
      </c>
      <c r="P186" s="3">
        <v>22</v>
      </c>
      <c r="Q186" s="3">
        <v>25</v>
      </c>
      <c r="R186" s="3">
        <f t="shared" si="8"/>
        <v>120000</v>
      </c>
      <c r="S186" s="3">
        <v>30000</v>
      </c>
      <c r="T186" s="3">
        <f>+S186</f>
        <v>30000</v>
      </c>
      <c r="U186" s="3">
        <f>+T186</f>
        <v>30000</v>
      </c>
      <c r="V186" s="3">
        <f aca="true" t="shared" si="11" ref="V186:V192">+U186</f>
        <v>30000</v>
      </c>
      <c r="W186" s="596"/>
    </row>
    <row r="187" spans="1:23" ht="81" customHeight="1">
      <c r="A187" s="549"/>
      <c r="B187" s="839"/>
      <c r="C187" s="14" t="s">
        <v>1827</v>
      </c>
      <c r="D187" s="14" t="s">
        <v>1828</v>
      </c>
      <c r="E187" s="203">
        <v>1</v>
      </c>
      <c r="F187" s="203">
        <v>1</v>
      </c>
      <c r="G187" s="203">
        <v>1</v>
      </c>
      <c r="H187" s="203">
        <v>1</v>
      </c>
      <c r="I187" s="203">
        <v>1</v>
      </c>
      <c r="J187" s="14" t="s">
        <v>1829</v>
      </c>
      <c r="K187" s="14" t="s">
        <v>1830</v>
      </c>
      <c r="L187" s="14" t="s">
        <v>2809</v>
      </c>
      <c r="M187" s="97">
        <v>1</v>
      </c>
      <c r="N187" s="97">
        <v>1</v>
      </c>
      <c r="O187" s="97">
        <v>1</v>
      </c>
      <c r="P187" s="97">
        <v>1</v>
      </c>
      <c r="Q187" s="97">
        <v>1</v>
      </c>
      <c r="R187" s="3">
        <f t="shared" si="8"/>
        <v>100000</v>
      </c>
      <c r="S187" s="3">
        <v>25000</v>
      </c>
      <c r="T187" s="3">
        <f>+S187</f>
        <v>25000</v>
      </c>
      <c r="U187" s="3">
        <f>+T187</f>
        <v>25000</v>
      </c>
      <c r="V187" s="3">
        <f t="shared" si="11"/>
        <v>25000</v>
      </c>
      <c r="W187" s="596"/>
    </row>
    <row r="188" spans="1:23" ht="81" customHeight="1">
      <c r="A188" s="549"/>
      <c r="B188" s="839"/>
      <c r="C188" s="14" t="s">
        <v>1831</v>
      </c>
      <c r="D188" s="14" t="s">
        <v>1831</v>
      </c>
      <c r="E188" s="137">
        <v>0</v>
      </c>
      <c r="F188" s="137">
        <v>1</v>
      </c>
      <c r="G188" s="137">
        <v>1</v>
      </c>
      <c r="H188" s="137">
        <v>1</v>
      </c>
      <c r="I188" s="137">
        <v>1</v>
      </c>
      <c r="J188" s="14" t="s">
        <v>2796</v>
      </c>
      <c r="K188" s="78" t="s">
        <v>1833</v>
      </c>
      <c r="L188" s="78" t="s">
        <v>189</v>
      </c>
      <c r="M188" s="3">
        <v>0</v>
      </c>
      <c r="N188" s="3">
        <v>1</v>
      </c>
      <c r="O188" s="3">
        <v>2</v>
      </c>
      <c r="P188" s="3">
        <v>3</v>
      </c>
      <c r="Q188" s="3">
        <v>4</v>
      </c>
      <c r="R188" s="3">
        <f t="shared" si="8"/>
        <v>40000</v>
      </c>
      <c r="S188" s="3">
        <v>10000</v>
      </c>
      <c r="T188" s="3">
        <f>+S188</f>
        <v>10000</v>
      </c>
      <c r="U188" s="3">
        <f>+T188</f>
        <v>10000</v>
      </c>
      <c r="V188" s="3">
        <f t="shared" si="11"/>
        <v>10000</v>
      </c>
      <c r="W188" s="596"/>
    </row>
    <row r="189" spans="1:23" ht="81" customHeight="1">
      <c r="A189" s="592" t="s">
        <v>1836</v>
      </c>
      <c r="B189" s="839">
        <f>1930000/R282*100%</f>
        <v>0.021599527854465738</v>
      </c>
      <c r="C189" s="14" t="s">
        <v>1837</v>
      </c>
      <c r="D189" s="14" t="s">
        <v>1838</v>
      </c>
      <c r="E189" s="78" t="s">
        <v>2978</v>
      </c>
      <c r="F189" s="78">
        <v>750</v>
      </c>
      <c r="G189" s="78">
        <v>1500</v>
      </c>
      <c r="H189" s="78">
        <v>2250</v>
      </c>
      <c r="I189" s="78">
        <v>3000</v>
      </c>
      <c r="J189" s="14" t="s">
        <v>1839</v>
      </c>
      <c r="K189" s="78" t="s">
        <v>1840</v>
      </c>
      <c r="L189" s="78" t="s">
        <v>189</v>
      </c>
      <c r="M189" s="3">
        <v>1</v>
      </c>
      <c r="N189" s="3">
        <v>1</v>
      </c>
      <c r="O189" s="3">
        <v>2</v>
      </c>
      <c r="P189" s="3">
        <v>3</v>
      </c>
      <c r="Q189" s="3">
        <v>4</v>
      </c>
      <c r="R189" s="3">
        <f t="shared" si="8"/>
        <v>80000</v>
      </c>
      <c r="S189" s="3">
        <v>20000</v>
      </c>
      <c r="T189" s="3">
        <v>20000</v>
      </c>
      <c r="U189" s="3">
        <f>+T189</f>
        <v>20000</v>
      </c>
      <c r="V189" s="3">
        <f t="shared" si="11"/>
        <v>20000</v>
      </c>
      <c r="W189" s="838" t="s">
        <v>536</v>
      </c>
    </row>
    <row r="190" spans="1:23" ht="81" customHeight="1">
      <c r="A190" s="592"/>
      <c r="B190" s="839"/>
      <c r="C190" s="14" t="s">
        <v>1841</v>
      </c>
      <c r="D190" s="14" t="s">
        <v>1842</v>
      </c>
      <c r="E190" s="78">
        <v>0</v>
      </c>
      <c r="F190" s="78">
        <v>1</v>
      </c>
      <c r="G190" s="78">
        <v>1</v>
      </c>
      <c r="H190" s="78">
        <v>1</v>
      </c>
      <c r="I190" s="327">
        <v>1</v>
      </c>
      <c r="J190" s="14" t="s">
        <v>339</v>
      </c>
      <c r="K190" s="14" t="s">
        <v>340</v>
      </c>
      <c r="L190" s="14" t="s">
        <v>189</v>
      </c>
      <c r="M190" s="3">
        <v>0</v>
      </c>
      <c r="N190" s="315">
        <v>0.2</v>
      </c>
      <c r="O190" s="315">
        <v>0.4</v>
      </c>
      <c r="P190" s="315">
        <v>0.7</v>
      </c>
      <c r="Q190" s="315">
        <v>1</v>
      </c>
      <c r="R190" s="3">
        <f t="shared" si="8"/>
        <v>280000</v>
      </c>
      <c r="S190" s="3">
        <v>0</v>
      </c>
      <c r="T190" s="3">
        <v>200000</v>
      </c>
      <c r="U190" s="3">
        <v>40000</v>
      </c>
      <c r="V190" s="3">
        <f t="shared" si="11"/>
        <v>40000</v>
      </c>
      <c r="W190" s="838"/>
    </row>
    <row r="191" spans="1:23" ht="81" customHeight="1">
      <c r="A191" s="592"/>
      <c r="B191" s="839"/>
      <c r="C191" s="14" t="s">
        <v>1845</v>
      </c>
      <c r="D191" s="14" t="s">
        <v>1846</v>
      </c>
      <c r="E191" s="78">
        <v>0</v>
      </c>
      <c r="F191" s="78">
        <v>3000</v>
      </c>
      <c r="G191" s="78">
        <v>6000</v>
      </c>
      <c r="H191" s="78">
        <v>9000</v>
      </c>
      <c r="I191" s="137">
        <v>12000</v>
      </c>
      <c r="J191" s="14" t="s">
        <v>1847</v>
      </c>
      <c r="K191" s="78" t="s">
        <v>2678</v>
      </c>
      <c r="L191" s="78" t="s">
        <v>189</v>
      </c>
      <c r="M191" s="3" t="s">
        <v>2978</v>
      </c>
      <c r="N191" s="3">
        <v>6</v>
      </c>
      <c r="O191" s="3">
        <v>12</v>
      </c>
      <c r="P191" s="3">
        <v>18</v>
      </c>
      <c r="Q191" s="3">
        <v>24</v>
      </c>
      <c r="R191" s="3">
        <f t="shared" si="8"/>
        <v>200000</v>
      </c>
      <c r="S191" s="3">
        <v>50000</v>
      </c>
      <c r="T191" s="3">
        <v>50000</v>
      </c>
      <c r="U191" s="3">
        <v>50000</v>
      </c>
      <c r="V191" s="3">
        <f t="shared" si="11"/>
        <v>50000</v>
      </c>
      <c r="W191" s="838"/>
    </row>
    <row r="192" spans="1:23" ht="81" customHeight="1">
      <c r="A192" s="592"/>
      <c r="B192" s="839"/>
      <c r="C192" s="14" t="s">
        <v>2797</v>
      </c>
      <c r="D192" s="14" t="s">
        <v>2680</v>
      </c>
      <c r="E192" s="78">
        <v>0</v>
      </c>
      <c r="F192" s="78">
        <v>150</v>
      </c>
      <c r="G192" s="78">
        <v>300</v>
      </c>
      <c r="H192" s="78">
        <v>450</v>
      </c>
      <c r="I192" s="137">
        <v>600</v>
      </c>
      <c r="J192" s="14" t="s">
        <v>2681</v>
      </c>
      <c r="K192" s="14" t="s">
        <v>2682</v>
      </c>
      <c r="L192" s="14" t="s">
        <v>189</v>
      </c>
      <c r="M192" s="3">
        <v>0</v>
      </c>
      <c r="N192" s="3">
        <v>150</v>
      </c>
      <c r="O192" s="3">
        <v>300</v>
      </c>
      <c r="P192" s="3">
        <v>450</v>
      </c>
      <c r="Q192" s="3">
        <v>600</v>
      </c>
      <c r="R192" s="3">
        <f t="shared" si="8"/>
        <v>280000</v>
      </c>
      <c r="S192" s="3">
        <v>70000</v>
      </c>
      <c r="T192" s="3">
        <f>+S192</f>
        <v>70000</v>
      </c>
      <c r="U192" s="3">
        <v>70000</v>
      </c>
      <c r="V192" s="3">
        <f t="shared" si="11"/>
        <v>70000</v>
      </c>
      <c r="W192" s="838"/>
    </row>
    <row r="193" spans="1:23" ht="81" customHeight="1">
      <c r="A193" s="592"/>
      <c r="B193" s="839"/>
      <c r="C193" s="14" t="s">
        <v>2683</v>
      </c>
      <c r="D193" s="14" t="s">
        <v>1838</v>
      </c>
      <c r="E193" s="78">
        <v>0</v>
      </c>
      <c r="F193" s="78">
        <v>5500</v>
      </c>
      <c r="G193" s="78">
        <v>11000</v>
      </c>
      <c r="H193" s="78">
        <v>16500</v>
      </c>
      <c r="I193" s="137">
        <v>22000</v>
      </c>
      <c r="J193" s="14" t="s">
        <v>2684</v>
      </c>
      <c r="K193" s="14" t="s">
        <v>2685</v>
      </c>
      <c r="L193" s="14" t="s">
        <v>189</v>
      </c>
      <c r="M193" s="3" t="s">
        <v>2978</v>
      </c>
      <c r="N193" s="3">
        <v>350</v>
      </c>
      <c r="O193" s="3">
        <v>700</v>
      </c>
      <c r="P193" s="3">
        <v>1050</v>
      </c>
      <c r="Q193" s="3">
        <v>1400</v>
      </c>
      <c r="R193" s="3">
        <f t="shared" si="8"/>
        <v>230000</v>
      </c>
      <c r="S193" s="3">
        <v>60000</v>
      </c>
      <c r="T193" s="3">
        <v>55000</v>
      </c>
      <c r="U193" s="3">
        <v>55000</v>
      </c>
      <c r="V193" s="3">
        <v>60000</v>
      </c>
      <c r="W193" s="838"/>
    </row>
    <row r="194" spans="1:23" ht="81" customHeight="1">
      <c r="A194" s="592"/>
      <c r="B194" s="839"/>
      <c r="C194" s="14" t="s">
        <v>2798</v>
      </c>
      <c r="D194" s="14" t="s">
        <v>577</v>
      </c>
      <c r="E194" s="78">
        <v>0</v>
      </c>
      <c r="F194" s="78">
        <v>6</v>
      </c>
      <c r="G194" s="78">
        <v>12</v>
      </c>
      <c r="H194" s="78">
        <v>18</v>
      </c>
      <c r="I194" s="137">
        <v>24</v>
      </c>
      <c r="J194" s="14" t="s">
        <v>2687</v>
      </c>
      <c r="K194" s="78" t="s">
        <v>532</v>
      </c>
      <c r="L194" s="78" t="s">
        <v>189</v>
      </c>
      <c r="M194" s="3" t="s">
        <v>2978</v>
      </c>
      <c r="N194" s="3">
        <v>6</v>
      </c>
      <c r="O194" s="3">
        <v>12</v>
      </c>
      <c r="P194" s="3">
        <v>18</v>
      </c>
      <c r="Q194" s="3">
        <v>24</v>
      </c>
      <c r="R194" s="3">
        <f t="shared" si="8"/>
        <v>625000</v>
      </c>
      <c r="S194" s="3">
        <v>185000</v>
      </c>
      <c r="T194" s="3">
        <v>150000</v>
      </c>
      <c r="U194" s="3">
        <v>140000</v>
      </c>
      <c r="V194" s="3">
        <v>150000</v>
      </c>
      <c r="W194" s="838"/>
    </row>
    <row r="195" spans="1:23" ht="81" customHeight="1">
      <c r="A195" s="592"/>
      <c r="B195" s="839"/>
      <c r="C195" s="14" t="s">
        <v>2688</v>
      </c>
      <c r="D195" s="14" t="s">
        <v>2689</v>
      </c>
      <c r="E195" s="78">
        <v>0</v>
      </c>
      <c r="F195" s="78">
        <v>6</v>
      </c>
      <c r="G195" s="78">
        <v>12</v>
      </c>
      <c r="H195" s="78">
        <v>18</v>
      </c>
      <c r="I195" s="137">
        <v>24</v>
      </c>
      <c r="J195" s="14" t="s">
        <v>1854</v>
      </c>
      <c r="K195" s="14" t="s">
        <v>1855</v>
      </c>
      <c r="L195" s="14" t="s">
        <v>189</v>
      </c>
      <c r="M195" s="3" t="s">
        <v>2978</v>
      </c>
      <c r="N195" s="3">
        <v>6</v>
      </c>
      <c r="O195" s="3">
        <v>12</v>
      </c>
      <c r="P195" s="3">
        <v>18</v>
      </c>
      <c r="Q195" s="3">
        <v>24</v>
      </c>
      <c r="R195" s="3">
        <f t="shared" si="8"/>
        <v>65000</v>
      </c>
      <c r="S195" s="3">
        <v>20000</v>
      </c>
      <c r="T195" s="3">
        <v>15000</v>
      </c>
      <c r="U195" s="3">
        <v>15000</v>
      </c>
      <c r="V195" s="3">
        <f>+U195</f>
        <v>15000</v>
      </c>
      <c r="W195" s="838"/>
    </row>
    <row r="196" spans="1:23" ht="81" customHeight="1">
      <c r="A196" s="592"/>
      <c r="B196" s="839"/>
      <c r="C196" s="14" t="s">
        <v>1856</v>
      </c>
      <c r="D196" s="14" t="s">
        <v>1857</v>
      </c>
      <c r="E196" s="78">
        <v>0</v>
      </c>
      <c r="F196" s="78">
        <v>1250</v>
      </c>
      <c r="G196" s="78">
        <v>2500</v>
      </c>
      <c r="H196" s="78">
        <v>3750</v>
      </c>
      <c r="I196" s="137">
        <v>5000</v>
      </c>
      <c r="J196" s="14" t="s">
        <v>1858</v>
      </c>
      <c r="K196" s="78" t="s">
        <v>1859</v>
      </c>
      <c r="L196" s="78" t="s">
        <v>189</v>
      </c>
      <c r="M196" s="3" t="s">
        <v>2978</v>
      </c>
      <c r="N196" s="3">
        <v>3</v>
      </c>
      <c r="O196" s="3">
        <v>6</v>
      </c>
      <c r="P196" s="3">
        <v>9</v>
      </c>
      <c r="Q196" s="3">
        <v>12</v>
      </c>
      <c r="R196" s="3">
        <f t="shared" si="8"/>
        <v>170000</v>
      </c>
      <c r="S196" s="3">
        <v>45000</v>
      </c>
      <c r="T196" s="3">
        <v>40000</v>
      </c>
      <c r="U196" s="3">
        <v>40000</v>
      </c>
      <c r="V196" s="3">
        <v>45000</v>
      </c>
      <c r="W196" s="838"/>
    </row>
    <row r="197" spans="1:23" ht="81" customHeight="1">
      <c r="A197" s="592" t="s">
        <v>1860</v>
      </c>
      <c r="B197" s="839">
        <f>5940000/R282*100%</f>
        <v>0.06647730334483237</v>
      </c>
      <c r="C197" s="14" t="s">
        <v>1861</v>
      </c>
      <c r="D197" s="14" t="s">
        <v>1862</v>
      </c>
      <c r="E197" s="137">
        <v>3333</v>
      </c>
      <c r="F197" s="137">
        <v>3333</v>
      </c>
      <c r="G197" s="137">
        <v>3333</v>
      </c>
      <c r="H197" s="137">
        <v>3333</v>
      </c>
      <c r="I197" s="137">
        <v>3333</v>
      </c>
      <c r="J197" s="14" t="s">
        <v>1863</v>
      </c>
      <c r="K197" s="14" t="s">
        <v>1864</v>
      </c>
      <c r="L197" s="14" t="s">
        <v>189</v>
      </c>
      <c r="M197" s="3">
        <v>27</v>
      </c>
      <c r="N197" s="3">
        <v>35</v>
      </c>
      <c r="O197" s="3">
        <v>40</v>
      </c>
      <c r="P197" s="3">
        <v>48</v>
      </c>
      <c r="Q197" s="3">
        <v>56</v>
      </c>
      <c r="R197" s="3">
        <f t="shared" si="8"/>
        <v>5700000</v>
      </c>
      <c r="S197" s="3">
        <v>1340000</v>
      </c>
      <c r="T197" s="3">
        <v>1450000</v>
      </c>
      <c r="U197" s="3">
        <v>1450000</v>
      </c>
      <c r="V197" s="3">
        <v>1460000</v>
      </c>
      <c r="W197" s="838" t="s">
        <v>536</v>
      </c>
    </row>
    <row r="198" spans="1:23" ht="81" customHeight="1">
      <c r="A198" s="592"/>
      <c r="B198" s="839"/>
      <c r="C198" s="14" t="s">
        <v>1865</v>
      </c>
      <c r="D198" s="14" t="s">
        <v>1866</v>
      </c>
      <c r="E198" s="137">
        <v>1500</v>
      </c>
      <c r="F198" s="137">
        <v>2000</v>
      </c>
      <c r="G198" s="137">
        <v>2500</v>
      </c>
      <c r="H198" s="137">
        <v>3000</v>
      </c>
      <c r="I198" s="137">
        <v>3500</v>
      </c>
      <c r="J198" s="14" t="s">
        <v>1867</v>
      </c>
      <c r="K198" s="14" t="s">
        <v>710</v>
      </c>
      <c r="L198" s="14" t="s">
        <v>189</v>
      </c>
      <c r="M198" s="3">
        <v>120</v>
      </c>
      <c r="N198" s="3">
        <v>216</v>
      </c>
      <c r="O198" s="3">
        <f>+N198+96</f>
        <v>312</v>
      </c>
      <c r="P198" s="3">
        <f>+O198+96</f>
        <v>408</v>
      </c>
      <c r="Q198" s="3">
        <f>+P198+96</f>
        <v>504</v>
      </c>
      <c r="R198" s="3">
        <f t="shared" si="8"/>
        <v>240000</v>
      </c>
      <c r="S198" s="3">
        <v>60000</v>
      </c>
      <c r="T198" s="3">
        <f>+S198</f>
        <v>60000</v>
      </c>
      <c r="U198" s="3">
        <v>60000</v>
      </c>
      <c r="V198" s="3">
        <f>+U198</f>
        <v>60000</v>
      </c>
      <c r="W198" s="838"/>
    </row>
    <row r="199" spans="1:23" ht="81" customHeight="1">
      <c r="A199" s="592" t="s">
        <v>1868</v>
      </c>
      <c r="B199" s="839">
        <f>1260000/R282*100%</f>
        <v>0.014101246164055352</v>
      </c>
      <c r="C199" s="30" t="s">
        <v>1869</v>
      </c>
      <c r="D199" s="30" t="s">
        <v>1870</v>
      </c>
      <c r="E199" s="78">
        <v>600</v>
      </c>
      <c r="F199" s="78">
        <v>725</v>
      </c>
      <c r="G199" s="78">
        <v>850</v>
      </c>
      <c r="H199" s="78">
        <v>975</v>
      </c>
      <c r="I199" s="78">
        <v>1100</v>
      </c>
      <c r="J199" s="14" t="s">
        <v>1871</v>
      </c>
      <c r="K199" s="14" t="s">
        <v>710</v>
      </c>
      <c r="L199" s="14" t="s">
        <v>189</v>
      </c>
      <c r="M199" s="143">
        <v>600</v>
      </c>
      <c r="N199" s="143">
        <v>800</v>
      </c>
      <c r="O199" s="143">
        <v>1000</v>
      </c>
      <c r="P199" s="143">
        <v>1200</v>
      </c>
      <c r="Q199" s="143">
        <v>1350</v>
      </c>
      <c r="R199" s="3">
        <f t="shared" si="8"/>
        <v>890000</v>
      </c>
      <c r="S199" s="3">
        <v>180000</v>
      </c>
      <c r="T199" s="3">
        <v>240000</v>
      </c>
      <c r="U199" s="3">
        <f>+T199</f>
        <v>240000</v>
      </c>
      <c r="V199" s="3">
        <v>230000</v>
      </c>
      <c r="W199" s="838" t="s">
        <v>536</v>
      </c>
    </row>
    <row r="200" spans="1:23" ht="81" customHeight="1">
      <c r="A200" s="592"/>
      <c r="B200" s="839"/>
      <c r="C200" s="30" t="s">
        <v>1872</v>
      </c>
      <c r="D200" s="30" t="s">
        <v>1873</v>
      </c>
      <c r="E200" s="78">
        <v>6</v>
      </c>
      <c r="F200" s="78">
        <v>1384</v>
      </c>
      <c r="G200" s="78">
        <v>2762</v>
      </c>
      <c r="H200" s="78">
        <v>4140</v>
      </c>
      <c r="I200" s="78">
        <v>5119</v>
      </c>
      <c r="J200" s="198" t="s">
        <v>1874</v>
      </c>
      <c r="K200" s="143" t="s">
        <v>1875</v>
      </c>
      <c r="L200" s="143" t="s">
        <v>189</v>
      </c>
      <c r="M200" s="143">
        <v>6</v>
      </c>
      <c r="N200" s="143">
        <v>8</v>
      </c>
      <c r="O200" s="143">
        <v>10</v>
      </c>
      <c r="P200" s="143">
        <v>12</v>
      </c>
      <c r="Q200" s="143">
        <v>14</v>
      </c>
      <c r="R200" s="3">
        <f t="shared" si="8"/>
        <v>290000</v>
      </c>
      <c r="S200" s="3">
        <v>50000</v>
      </c>
      <c r="T200" s="3">
        <v>80000</v>
      </c>
      <c r="U200" s="3">
        <f>+T200</f>
        <v>80000</v>
      </c>
      <c r="V200" s="3">
        <v>80000</v>
      </c>
      <c r="W200" s="838"/>
    </row>
    <row r="201" spans="1:23" ht="81" customHeight="1">
      <c r="A201" s="592"/>
      <c r="B201" s="839"/>
      <c r="C201" s="30" t="s">
        <v>1876</v>
      </c>
      <c r="D201" s="30" t="s">
        <v>1877</v>
      </c>
      <c r="E201" s="78">
        <v>0</v>
      </c>
      <c r="F201" s="78">
        <v>1</v>
      </c>
      <c r="G201" s="78">
        <v>1</v>
      </c>
      <c r="H201" s="78">
        <v>1</v>
      </c>
      <c r="I201" s="78">
        <v>1</v>
      </c>
      <c r="J201" s="14" t="s">
        <v>1878</v>
      </c>
      <c r="K201" s="14" t="s">
        <v>1879</v>
      </c>
      <c r="L201" s="14" t="s">
        <v>189</v>
      </c>
      <c r="M201" s="143">
        <v>0</v>
      </c>
      <c r="N201" s="143">
        <v>6</v>
      </c>
      <c r="O201" s="143">
        <v>12</v>
      </c>
      <c r="P201" s="143">
        <v>18</v>
      </c>
      <c r="Q201" s="143">
        <v>24</v>
      </c>
      <c r="R201" s="3">
        <f t="shared" si="8"/>
        <v>80000</v>
      </c>
      <c r="S201" s="3">
        <v>20000</v>
      </c>
      <c r="T201" s="143">
        <v>20000</v>
      </c>
      <c r="U201" s="143">
        <f>+T201</f>
        <v>20000</v>
      </c>
      <c r="V201" s="143">
        <v>20000</v>
      </c>
      <c r="W201" s="838"/>
    </row>
    <row r="202" spans="1:23" ht="81" customHeight="1">
      <c r="A202" s="592" t="s">
        <v>1880</v>
      </c>
      <c r="B202" s="839">
        <f>720000/R282*100%</f>
        <v>0.008057854950888774</v>
      </c>
      <c r="C202" s="549" t="s">
        <v>1881</v>
      </c>
      <c r="D202" s="549" t="s">
        <v>525</v>
      </c>
      <c r="E202" s="626">
        <v>0</v>
      </c>
      <c r="F202" s="626">
        <v>1</v>
      </c>
      <c r="G202" s="626">
        <v>1</v>
      </c>
      <c r="H202" s="626">
        <v>1</v>
      </c>
      <c r="I202" s="626">
        <v>1</v>
      </c>
      <c r="J202" s="4" t="s">
        <v>526</v>
      </c>
      <c r="K202" s="4" t="s">
        <v>527</v>
      </c>
      <c r="L202" s="4" t="s">
        <v>189</v>
      </c>
      <c r="M202" s="3">
        <v>0</v>
      </c>
      <c r="N202" s="3">
        <v>1</v>
      </c>
      <c r="O202" s="3">
        <v>1</v>
      </c>
      <c r="P202" s="3">
        <v>1</v>
      </c>
      <c r="Q202" s="3">
        <v>1</v>
      </c>
      <c r="R202" s="3">
        <f t="shared" si="8"/>
        <v>185000</v>
      </c>
      <c r="S202" s="3">
        <v>15000</v>
      </c>
      <c r="T202" s="3">
        <v>60000</v>
      </c>
      <c r="U202" s="3">
        <f>+T202</f>
        <v>60000</v>
      </c>
      <c r="V202" s="3">
        <v>50000</v>
      </c>
      <c r="W202" s="838" t="s">
        <v>536</v>
      </c>
    </row>
    <row r="203" spans="1:23" ht="81" customHeight="1">
      <c r="A203" s="592"/>
      <c r="B203" s="839"/>
      <c r="C203" s="549"/>
      <c r="D203" s="549"/>
      <c r="E203" s="626"/>
      <c r="F203" s="626"/>
      <c r="G203" s="626"/>
      <c r="H203" s="626"/>
      <c r="I203" s="626"/>
      <c r="J203" s="3" t="s">
        <v>1882</v>
      </c>
      <c r="K203" s="3" t="s">
        <v>1883</v>
      </c>
      <c r="L203" s="3" t="s">
        <v>189</v>
      </c>
      <c r="M203" s="3">
        <v>0</v>
      </c>
      <c r="N203" s="3">
        <v>1000</v>
      </c>
      <c r="O203" s="3">
        <v>2000</v>
      </c>
      <c r="P203" s="3">
        <v>4000</v>
      </c>
      <c r="Q203" s="3">
        <v>5000</v>
      </c>
      <c r="R203" s="3">
        <f t="shared" si="8"/>
        <v>170000</v>
      </c>
      <c r="S203" s="3">
        <v>0</v>
      </c>
      <c r="T203" s="3">
        <v>120000</v>
      </c>
      <c r="U203" s="3">
        <v>30000</v>
      </c>
      <c r="V203" s="3">
        <v>20000</v>
      </c>
      <c r="W203" s="838"/>
    </row>
    <row r="204" spans="1:23" ht="81" customHeight="1">
      <c r="A204" s="592"/>
      <c r="B204" s="839"/>
      <c r="C204" s="14" t="s">
        <v>969</v>
      </c>
      <c r="D204" s="14" t="s">
        <v>569</v>
      </c>
      <c r="E204" s="78">
        <v>0</v>
      </c>
      <c r="F204" s="78">
        <v>100</v>
      </c>
      <c r="G204" s="78">
        <v>200</v>
      </c>
      <c r="H204" s="78">
        <v>300</v>
      </c>
      <c r="I204" s="78">
        <v>400</v>
      </c>
      <c r="J204" s="14" t="s">
        <v>970</v>
      </c>
      <c r="K204" s="14" t="s">
        <v>2799</v>
      </c>
      <c r="L204" s="14" t="s">
        <v>189</v>
      </c>
      <c r="M204" s="3">
        <v>0</v>
      </c>
      <c r="N204" s="3">
        <v>2</v>
      </c>
      <c r="O204" s="3">
        <v>4</v>
      </c>
      <c r="P204" s="3">
        <v>6</v>
      </c>
      <c r="Q204" s="3">
        <v>8</v>
      </c>
      <c r="R204" s="3">
        <f t="shared" si="8"/>
        <v>305000</v>
      </c>
      <c r="S204" s="3">
        <v>75000</v>
      </c>
      <c r="T204" s="3">
        <v>70000</v>
      </c>
      <c r="U204" s="3">
        <v>80000</v>
      </c>
      <c r="V204" s="3">
        <v>80000</v>
      </c>
      <c r="W204" s="838"/>
    </row>
    <row r="205" spans="1:23" ht="81" customHeight="1">
      <c r="A205" s="592"/>
      <c r="B205" s="839"/>
      <c r="C205" s="14" t="s">
        <v>972</v>
      </c>
      <c r="D205" s="14" t="s">
        <v>973</v>
      </c>
      <c r="E205" s="78">
        <v>0</v>
      </c>
      <c r="F205" s="78">
        <v>7</v>
      </c>
      <c r="G205" s="78">
        <v>10</v>
      </c>
      <c r="H205" s="78">
        <v>13</v>
      </c>
      <c r="I205" s="78">
        <v>16</v>
      </c>
      <c r="J205" s="14" t="s">
        <v>974</v>
      </c>
      <c r="K205" s="78" t="s">
        <v>975</v>
      </c>
      <c r="L205" s="78" t="s">
        <v>189</v>
      </c>
      <c r="M205" s="3">
        <v>0</v>
      </c>
      <c r="N205" s="3">
        <v>7</v>
      </c>
      <c r="O205" s="3">
        <v>10</v>
      </c>
      <c r="P205" s="3">
        <v>13</v>
      </c>
      <c r="Q205" s="3">
        <v>16</v>
      </c>
      <c r="R205" s="3">
        <f t="shared" si="8"/>
        <v>60000</v>
      </c>
      <c r="S205" s="3">
        <v>10000</v>
      </c>
      <c r="T205" s="3">
        <v>10000</v>
      </c>
      <c r="U205" s="3">
        <v>20000</v>
      </c>
      <c r="V205" s="3">
        <v>20000</v>
      </c>
      <c r="W205" s="838"/>
    </row>
    <row r="206" spans="1:23" ht="81" customHeight="1">
      <c r="A206" s="592" t="s">
        <v>846</v>
      </c>
      <c r="B206" s="839">
        <f>374000/R282*100%</f>
        <v>0.004185607988378335</v>
      </c>
      <c r="C206" s="549" t="s">
        <v>977</v>
      </c>
      <c r="D206" s="612" t="s">
        <v>978</v>
      </c>
      <c r="E206" s="809">
        <v>2000</v>
      </c>
      <c r="F206" s="809">
        <v>2200</v>
      </c>
      <c r="G206" s="809">
        <v>2600</v>
      </c>
      <c r="H206" s="809">
        <v>3000</v>
      </c>
      <c r="I206" s="809">
        <v>4000</v>
      </c>
      <c r="J206" s="90" t="s">
        <v>2800</v>
      </c>
      <c r="K206" s="90" t="s">
        <v>980</v>
      </c>
      <c r="L206" s="90" t="s">
        <v>189</v>
      </c>
      <c r="M206" s="78" t="s">
        <v>2978</v>
      </c>
      <c r="N206" s="78">
        <v>1</v>
      </c>
      <c r="O206" s="78">
        <v>1</v>
      </c>
      <c r="P206" s="78">
        <v>1</v>
      </c>
      <c r="Q206" s="78">
        <v>1</v>
      </c>
      <c r="R206" s="3">
        <f t="shared" si="8"/>
        <v>0</v>
      </c>
      <c r="S206" s="78"/>
      <c r="T206" s="78"/>
      <c r="U206" s="78"/>
      <c r="V206" s="78"/>
      <c r="W206" s="612" t="s">
        <v>847</v>
      </c>
    </row>
    <row r="207" spans="1:23" ht="81" customHeight="1">
      <c r="A207" s="592"/>
      <c r="B207" s="839"/>
      <c r="C207" s="549"/>
      <c r="D207" s="612"/>
      <c r="E207" s="809"/>
      <c r="F207" s="809"/>
      <c r="G207" s="809"/>
      <c r="H207" s="809"/>
      <c r="I207" s="809"/>
      <c r="J207" s="90" t="s">
        <v>982</v>
      </c>
      <c r="K207" s="90" t="s">
        <v>983</v>
      </c>
      <c r="L207" s="90" t="s">
        <v>189</v>
      </c>
      <c r="M207" s="78" t="s">
        <v>2978</v>
      </c>
      <c r="N207" s="78">
        <v>2</v>
      </c>
      <c r="O207" s="78">
        <v>6</v>
      </c>
      <c r="P207" s="78">
        <v>10</v>
      </c>
      <c r="Q207" s="78">
        <v>16</v>
      </c>
      <c r="R207" s="384">
        <f aca="true" t="shared" si="12" ref="R207:R250">SUM(S207:V207)</f>
        <v>260000</v>
      </c>
      <c r="S207" s="384">
        <v>50000</v>
      </c>
      <c r="T207" s="384">
        <v>70000</v>
      </c>
      <c r="U207" s="384">
        <v>70000</v>
      </c>
      <c r="V207" s="384">
        <f>+U207</f>
        <v>70000</v>
      </c>
      <c r="W207" s="612"/>
    </row>
    <row r="208" spans="1:23" ht="81" customHeight="1">
      <c r="A208" s="592"/>
      <c r="B208" s="839"/>
      <c r="C208" s="549"/>
      <c r="D208" s="612"/>
      <c r="E208" s="809"/>
      <c r="F208" s="809"/>
      <c r="G208" s="809"/>
      <c r="H208" s="809"/>
      <c r="I208" s="809"/>
      <c r="J208" s="90" t="s">
        <v>984</v>
      </c>
      <c r="K208" s="90" t="s">
        <v>985</v>
      </c>
      <c r="L208" s="90" t="s">
        <v>189</v>
      </c>
      <c r="M208" s="78" t="s">
        <v>2978</v>
      </c>
      <c r="N208" s="78">
        <v>0</v>
      </c>
      <c r="O208" s="78">
        <v>30</v>
      </c>
      <c r="P208" s="78">
        <v>30</v>
      </c>
      <c r="Q208" s="78">
        <v>30</v>
      </c>
      <c r="R208" s="384">
        <f t="shared" si="12"/>
        <v>94000</v>
      </c>
      <c r="S208" s="384"/>
      <c r="T208" s="384">
        <v>30000</v>
      </c>
      <c r="U208" s="384">
        <v>32000</v>
      </c>
      <c r="V208" s="384">
        <v>32000</v>
      </c>
      <c r="W208" s="612"/>
    </row>
    <row r="209" spans="1:23" ht="81" customHeight="1">
      <c r="A209" s="592"/>
      <c r="B209" s="839"/>
      <c r="C209" s="90" t="s">
        <v>986</v>
      </c>
      <c r="D209" s="14" t="s">
        <v>987</v>
      </c>
      <c r="E209" s="78">
        <v>10</v>
      </c>
      <c r="F209" s="78">
        <v>10</v>
      </c>
      <c r="G209" s="78">
        <v>13</v>
      </c>
      <c r="H209" s="78">
        <v>16</v>
      </c>
      <c r="I209" s="78">
        <v>20</v>
      </c>
      <c r="J209" s="90" t="s">
        <v>341</v>
      </c>
      <c r="K209" s="90" t="s">
        <v>989</v>
      </c>
      <c r="L209" s="90" t="s">
        <v>189</v>
      </c>
      <c r="M209" s="78" t="s">
        <v>2978</v>
      </c>
      <c r="N209" s="78">
        <v>0</v>
      </c>
      <c r="O209" s="78">
        <v>1</v>
      </c>
      <c r="P209" s="78">
        <v>1</v>
      </c>
      <c r="Q209" s="78">
        <v>1</v>
      </c>
      <c r="R209" s="384">
        <f t="shared" si="12"/>
        <v>10000</v>
      </c>
      <c r="S209" s="384">
        <v>10000</v>
      </c>
      <c r="T209" s="384"/>
      <c r="U209" s="384"/>
      <c r="V209" s="384"/>
      <c r="W209" s="612"/>
    </row>
    <row r="210" spans="1:23" ht="81" customHeight="1">
      <c r="A210" s="592"/>
      <c r="B210" s="839"/>
      <c r="C210" s="90" t="s">
        <v>990</v>
      </c>
      <c r="D210" s="14" t="s">
        <v>991</v>
      </c>
      <c r="E210" s="196">
        <v>4</v>
      </c>
      <c r="F210" s="196">
        <v>5</v>
      </c>
      <c r="G210" s="196">
        <v>6</v>
      </c>
      <c r="H210" s="196">
        <v>7</v>
      </c>
      <c r="I210" s="196">
        <v>8</v>
      </c>
      <c r="J210" s="90" t="s">
        <v>992</v>
      </c>
      <c r="K210" s="90" t="s">
        <v>989</v>
      </c>
      <c r="L210" s="90" t="s">
        <v>189</v>
      </c>
      <c r="M210" s="78">
        <v>4</v>
      </c>
      <c r="N210" s="78">
        <v>5</v>
      </c>
      <c r="O210" s="78">
        <v>6</v>
      </c>
      <c r="P210" s="78">
        <v>7</v>
      </c>
      <c r="Q210" s="78">
        <v>8</v>
      </c>
      <c r="R210" s="384">
        <f t="shared" si="12"/>
        <v>10000</v>
      </c>
      <c r="S210" s="384">
        <v>10000</v>
      </c>
      <c r="T210" s="384"/>
      <c r="U210" s="384"/>
      <c r="V210" s="384"/>
      <c r="W210" s="612"/>
    </row>
    <row r="211" spans="1:23" ht="81" customHeight="1">
      <c r="A211" s="592" t="s">
        <v>848</v>
      </c>
      <c r="B211" s="839">
        <f>299000/R282*100%</f>
        <v>0.0033462480976607545</v>
      </c>
      <c r="C211" s="90" t="s">
        <v>994</v>
      </c>
      <c r="D211" s="90" t="s">
        <v>995</v>
      </c>
      <c r="E211" s="196">
        <v>14635</v>
      </c>
      <c r="F211" s="196">
        <v>29635</v>
      </c>
      <c r="G211" s="196">
        <v>44635</v>
      </c>
      <c r="H211" s="196">
        <v>59635</v>
      </c>
      <c r="I211" s="196">
        <v>74635</v>
      </c>
      <c r="J211" s="90" t="s">
        <v>996</v>
      </c>
      <c r="K211" s="90" t="s">
        <v>997</v>
      </c>
      <c r="L211" s="90" t="s">
        <v>189</v>
      </c>
      <c r="M211" s="78" t="s">
        <v>2978</v>
      </c>
      <c r="N211" s="78">
        <v>25</v>
      </c>
      <c r="O211" s="78">
        <v>50</v>
      </c>
      <c r="P211" s="78">
        <v>75</v>
      </c>
      <c r="Q211" s="78">
        <v>100</v>
      </c>
      <c r="R211" s="384">
        <f t="shared" si="12"/>
        <v>160000</v>
      </c>
      <c r="S211" s="384">
        <v>40000</v>
      </c>
      <c r="T211" s="384">
        <f>+S211</f>
        <v>40000</v>
      </c>
      <c r="U211" s="384">
        <f>+T211</f>
        <v>40000</v>
      </c>
      <c r="V211" s="384">
        <f>+U211</f>
        <v>40000</v>
      </c>
      <c r="W211" s="612" t="s">
        <v>847</v>
      </c>
    </row>
    <row r="212" spans="1:23" ht="81" customHeight="1">
      <c r="A212" s="592"/>
      <c r="B212" s="839"/>
      <c r="C212" s="612" t="s">
        <v>998</v>
      </c>
      <c r="D212" s="592" t="s">
        <v>875</v>
      </c>
      <c r="E212" s="809">
        <v>20000</v>
      </c>
      <c r="F212" s="809">
        <v>30000</v>
      </c>
      <c r="G212" s="809">
        <v>40000</v>
      </c>
      <c r="H212" s="809">
        <v>50000</v>
      </c>
      <c r="I212" s="809">
        <v>60000</v>
      </c>
      <c r="J212" s="90" t="s">
        <v>999</v>
      </c>
      <c r="K212" s="90" t="s">
        <v>1000</v>
      </c>
      <c r="L212" s="90" t="s">
        <v>189</v>
      </c>
      <c r="M212" s="78" t="s">
        <v>2978</v>
      </c>
      <c r="N212" s="78">
        <v>100</v>
      </c>
      <c r="O212" s="78">
        <v>200</v>
      </c>
      <c r="P212" s="78">
        <v>300</v>
      </c>
      <c r="Q212" s="78">
        <v>500</v>
      </c>
      <c r="R212" s="384">
        <f t="shared" si="12"/>
        <v>15000</v>
      </c>
      <c r="S212" s="384"/>
      <c r="T212" s="384">
        <v>5000</v>
      </c>
      <c r="U212" s="384">
        <f>+T212</f>
        <v>5000</v>
      </c>
      <c r="V212" s="384">
        <f>+U212</f>
        <v>5000</v>
      </c>
      <c r="W212" s="612"/>
    </row>
    <row r="213" spans="1:23" ht="81" customHeight="1">
      <c r="A213" s="592"/>
      <c r="B213" s="839"/>
      <c r="C213" s="612"/>
      <c r="D213" s="592"/>
      <c r="E213" s="809"/>
      <c r="F213" s="809"/>
      <c r="G213" s="809"/>
      <c r="H213" s="809"/>
      <c r="I213" s="809"/>
      <c r="J213" s="14" t="s">
        <v>1001</v>
      </c>
      <c r="K213" s="90" t="s">
        <v>1002</v>
      </c>
      <c r="L213" s="90" t="s">
        <v>189</v>
      </c>
      <c r="M213" s="78" t="s">
        <v>2978</v>
      </c>
      <c r="N213" s="78">
        <v>1</v>
      </c>
      <c r="O213" s="78">
        <v>2</v>
      </c>
      <c r="P213" s="78">
        <v>3</v>
      </c>
      <c r="Q213" s="78">
        <v>4</v>
      </c>
      <c r="R213" s="384">
        <f t="shared" si="12"/>
        <v>120000</v>
      </c>
      <c r="S213" s="384">
        <v>30000</v>
      </c>
      <c r="T213" s="384">
        <f>+S213</f>
        <v>30000</v>
      </c>
      <c r="U213" s="384">
        <f>+T213</f>
        <v>30000</v>
      </c>
      <c r="V213" s="384">
        <f>+U213</f>
        <v>30000</v>
      </c>
      <c r="W213" s="612"/>
    </row>
    <row r="214" spans="1:23" ht="81" customHeight="1">
      <c r="A214" s="592"/>
      <c r="B214" s="839"/>
      <c r="C214" s="612"/>
      <c r="D214" s="592"/>
      <c r="E214" s="809"/>
      <c r="F214" s="809"/>
      <c r="G214" s="809"/>
      <c r="H214" s="809"/>
      <c r="I214" s="809"/>
      <c r="J214" s="90" t="s">
        <v>1003</v>
      </c>
      <c r="K214" s="90" t="s">
        <v>1004</v>
      </c>
      <c r="L214" s="90" t="s">
        <v>189</v>
      </c>
      <c r="M214" s="78" t="s">
        <v>2978</v>
      </c>
      <c r="N214" s="78">
        <v>4</v>
      </c>
      <c r="O214" s="78">
        <v>8</v>
      </c>
      <c r="P214" s="78">
        <v>12</v>
      </c>
      <c r="Q214" s="78">
        <v>16</v>
      </c>
      <c r="R214" s="384">
        <f t="shared" si="12"/>
        <v>4000</v>
      </c>
      <c r="S214" s="384"/>
      <c r="T214" s="384"/>
      <c r="U214" s="384">
        <v>2000</v>
      </c>
      <c r="V214" s="384">
        <f>+U214</f>
        <v>2000</v>
      </c>
      <c r="W214" s="612"/>
    </row>
    <row r="215" spans="1:23" ht="81" customHeight="1">
      <c r="A215" s="592" t="s">
        <v>849</v>
      </c>
      <c r="B215" s="839">
        <f>766000/R282*100%</f>
        <v>0.008572662350528889</v>
      </c>
      <c r="C215" s="549" t="s">
        <v>1006</v>
      </c>
      <c r="D215" s="549" t="s">
        <v>1007</v>
      </c>
      <c r="E215" s="816">
        <v>20800</v>
      </c>
      <c r="F215" s="816">
        <v>26800</v>
      </c>
      <c r="G215" s="816">
        <v>32800</v>
      </c>
      <c r="H215" s="816">
        <v>38800</v>
      </c>
      <c r="I215" s="809">
        <v>44800</v>
      </c>
      <c r="J215" s="14" t="s">
        <v>1009</v>
      </c>
      <c r="K215" s="14" t="s">
        <v>1008</v>
      </c>
      <c r="L215" s="14" t="s">
        <v>189</v>
      </c>
      <c r="M215" s="78" t="s">
        <v>2978</v>
      </c>
      <c r="N215" s="78">
        <v>7</v>
      </c>
      <c r="O215" s="78">
        <v>7</v>
      </c>
      <c r="P215" s="78">
        <v>7</v>
      </c>
      <c r="Q215" s="78">
        <v>7</v>
      </c>
      <c r="R215" s="384">
        <f t="shared" si="12"/>
        <v>0</v>
      </c>
      <c r="S215" s="384"/>
      <c r="T215" s="384"/>
      <c r="U215" s="384"/>
      <c r="V215" s="384"/>
      <c r="W215" s="612" t="s">
        <v>847</v>
      </c>
    </row>
    <row r="216" spans="1:23" ht="81" customHeight="1">
      <c r="A216" s="592"/>
      <c r="B216" s="839"/>
      <c r="C216" s="549"/>
      <c r="D216" s="549"/>
      <c r="E216" s="816"/>
      <c r="F216" s="816"/>
      <c r="G216" s="816"/>
      <c r="H216" s="816"/>
      <c r="I216" s="809"/>
      <c r="J216" s="14" t="s">
        <v>1011</v>
      </c>
      <c r="K216" s="14" t="s">
        <v>1010</v>
      </c>
      <c r="L216" s="14" t="s">
        <v>189</v>
      </c>
      <c r="M216" s="78" t="s">
        <v>2978</v>
      </c>
      <c r="N216" s="78">
        <v>32</v>
      </c>
      <c r="O216" s="78">
        <v>32</v>
      </c>
      <c r="P216" s="78">
        <v>32</v>
      </c>
      <c r="Q216" s="78">
        <v>32</v>
      </c>
      <c r="R216" s="384">
        <f t="shared" si="12"/>
        <v>720000</v>
      </c>
      <c r="S216" s="384">
        <v>150000</v>
      </c>
      <c r="T216" s="384">
        <v>180000</v>
      </c>
      <c r="U216" s="384">
        <v>190000</v>
      </c>
      <c r="V216" s="384">
        <v>200000</v>
      </c>
      <c r="W216" s="612"/>
    </row>
    <row r="217" spans="1:23" ht="81" customHeight="1">
      <c r="A217" s="592"/>
      <c r="B217" s="839"/>
      <c r="C217" s="549"/>
      <c r="D217" s="549"/>
      <c r="E217" s="816"/>
      <c r="F217" s="816"/>
      <c r="G217" s="816"/>
      <c r="H217" s="816"/>
      <c r="I217" s="809"/>
      <c r="J217" s="14" t="s">
        <v>1013</v>
      </c>
      <c r="K217" s="14" t="s">
        <v>1012</v>
      </c>
      <c r="L217" s="14" t="s">
        <v>189</v>
      </c>
      <c r="M217" s="78" t="s">
        <v>2978</v>
      </c>
      <c r="N217" s="78">
        <v>1</v>
      </c>
      <c r="O217" s="78">
        <v>2</v>
      </c>
      <c r="P217" s="78">
        <v>3</v>
      </c>
      <c r="Q217" s="78">
        <v>4</v>
      </c>
      <c r="R217" s="384">
        <f t="shared" si="12"/>
        <v>46000</v>
      </c>
      <c r="S217" s="384">
        <v>15000</v>
      </c>
      <c r="T217" s="384">
        <v>14000</v>
      </c>
      <c r="U217" s="384">
        <v>10000</v>
      </c>
      <c r="V217" s="384">
        <v>7000</v>
      </c>
      <c r="W217" s="612"/>
    </row>
    <row r="218" spans="1:23" ht="81" customHeight="1">
      <c r="A218" s="592" t="s">
        <v>850</v>
      </c>
      <c r="B218" s="839">
        <f>451000/R282*100%</f>
        <v>0.005047350809515051</v>
      </c>
      <c r="C218" s="549" t="s">
        <v>1015</v>
      </c>
      <c r="D218" s="549" t="s">
        <v>1016</v>
      </c>
      <c r="E218" s="809" t="s">
        <v>2978</v>
      </c>
      <c r="F218" s="809">
        <v>50</v>
      </c>
      <c r="G218" s="809">
        <v>100</v>
      </c>
      <c r="H218" s="809">
        <v>150</v>
      </c>
      <c r="I218" s="809">
        <v>200</v>
      </c>
      <c r="J218" s="14" t="s">
        <v>1017</v>
      </c>
      <c r="K218" s="14" t="s">
        <v>1018</v>
      </c>
      <c r="L218" s="14" t="s">
        <v>189</v>
      </c>
      <c r="M218" s="78" t="s">
        <v>2978</v>
      </c>
      <c r="N218" s="78">
        <v>1</v>
      </c>
      <c r="O218" s="78">
        <v>3</v>
      </c>
      <c r="P218" s="78">
        <v>5</v>
      </c>
      <c r="Q218" s="78">
        <v>7</v>
      </c>
      <c r="R218" s="384">
        <f t="shared" si="12"/>
        <v>0</v>
      </c>
      <c r="S218" s="384">
        <v>0</v>
      </c>
      <c r="T218" s="384">
        <v>0</v>
      </c>
      <c r="U218" s="384">
        <v>0</v>
      </c>
      <c r="V218" s="384">
        <v>0</v>
      </c>
      <c r="W218" s="612" t="s">
        <v>847</v>
      </c>
    </row>
    <row r="219" spans="1:23" ht="81" customHeight="1">
      <c r="A219" s="592"/>
      <c r="B219" s="839"/>
      <c r="C219" s="549"/>
      <c r="D219" s="549"/>
      <c r="E219" s="809"/>
      <c r="F219" s="809"/>
      <c r="G219" s="809"/>
      <c r="H219" s="809"/>
      <c r="I219" s="809"/>
      <c r="J219" s="14" t="s">
        <v>1019</v>
      </c>
      <c r="K219" s="14" t="s">
        <v>1020</v>
      </c>
      <c r="L219" s="14" t="s">
        <v>189</v>
      </c>
      <c r="M219" s="78" t="s">
        <v>2978</v>
      </c>
      <c r="N219" s="78">
        <v>1</v>
      </c>
      <c r="O219" s="78">
        <v>1</v>
      </c>
      <c r="P219" s="78">
        <v>1</v>
      </c>
      <c r="Q219" s="78">
        <v>1</v>
      </c>
      <c r="R219" s="384">
        <f t="shared" si="12"/>
        <v>0</v>
      </c>
      <c r="S219" s="384">
        <v>0</v>
      </c>
      <c r="T219" s="384">
        <v>0</v>
      </c>
      <c r="U219" s="384">
        <v>0</v>
      </c>
      <c r="V219" s="384">
        <v>0</v>
      </c>
      <c r="W219" s="612"/>
    </row>
    <row r="220" spans="1:23" ht="81" customHeight="1">
      <c r="A220" s="592"/>
      <c r="B220" s="839"/>
      <c r="C220" s="549"/>
      <c r="D220" s="549"/>
      <c r="E220" s="809"/>
      <c r="F220" s="809"/>
      <c r="G220" s="809"/>
      <c r="H220" s="809"/>
      <c r="I220" s="809"/>
      <c r="J220" s="14" t="s">
        <v>1021</v>
      </c>
      <c r="K220" s="14" t="s">
        <v>1022</v>
      </c>
      <c r="L220" s="14" t="s">
        <v>189</v>
      </c>
      <c r="M220" s="78" t="s">
        <v>2978</v>
      </c>
      <c r="N220" s="78">
        <v>10</v>
      </c>
      <c r="O220" s="78">
        <v>20</v>
      </c>
      <c r="P220" s="78">
        <v>30</v>
      </c>
      <c r="Q220" s="78">
        <v>40</v>
      </c>
      <c r="R220" s="384">
        <f t="shared" si="12"/>
        <v>0</v>
      </c>
      <c r="S220" s="384">
        <v>0</v>
      </c>
      <c r="T220" s="384">
        <v>0</v>
      </c>
      <c r="U220" s="384">
        <v>0</v>
      </c>
      <c r="V220" s="384">
        <v>0</v>
      </c>
      <c r="W220" s="612"/>
    </row>
    <row r="221" spans="1:23" ht="81" customHeight="1">
      <c r="A221" s="592"/>
      <c r="B221" s="839"/>
      <c r="C221" s="549"/>
      <c r="D221" s="549"/>
      <c r="E221" s="809"/>
      <c r="F221" s="809"/>
      <c r="G221" s="809"/>
      <c r="H221" s="809"/>
      <c r="I221" s="809"/>
      <c r="J221" s="14" t="s">
        <v>1023</v>
      </c>
      <c r="K221" s="14" t="s">
        <v>1024</v>
      </c>
      <c r="L221" s="14" t="s">
        <v>189</v>
      </c>
      <c r="M221" s="78" t="s">
        <v>2978</v>
      </c>
      <c r="N221" s="78">
        <v>0</v>
      </c>
      <c r="O221" s="78">
        <v>0</v>
      </c>
      <c r="P221" s="78">
        <v>1</v>
      </c>
      <c r="Q221" s="78">
        <v>1</v>
      </c>
      <c r="R221" s="384">
        <f t="shared" si="12"/>
        <v>15000</v>
      </c>
      <c r="S221" s="384">
        <v>0</v>
      </c>
      <c r="T221" s="384">
        <v>0</v>
      </c>
      <c r="U221" s="384">
        <v>15000</v>
      </c>
      <c r="V221" s="384">
        <v>0</v>
      </c>
      <c r="W221" s="612"/>
    </row>
    <row r="222" spans="1:23" ht="81" customHeight="1">
      <c r="A222" s="592"/>
      <c r="B222" s="839"/>
      <c r="C222" s="549"/>
      <c r="D222" s="549"/>
      <c r="E222" s="809"/>
      <c r="F222" s="809"/>
      <c r="G222" s="809"/>
      <c r="H222" s="809"/>
      <c r="I222" s="809"/>
      <c r="J222" s="14" t="s">
        <v>1025</v>
      </c>
      <c r="K222" s="14" t="s">
        <v>1026</v>
      </c>
      <c r="L222" s="14" t="s">
        <v>189</v>
      </c>
      <c r="M222" s="78" t="s">
        <v>2978</v>
      </c>
      <c r="N222" s="78">
        <v>10</v>
      </c>
      <c r="O222" s="78">
        <v>20</v>
      </c>
      <c r="P222" s="78">
        <v>30</v>
      </c>
      <c r="Q222" s="78">
        <v>40</v>
      </c>
      <c r="R222" s="384">
        <f t="shared" si="12"/>
        <v>365000</v>
      </c>
      <c r="S222" s="384">
        <v>95000</v>
      </c>
      <c r="T222" s="384">
        <v>80000</v>
      </c>
      <c r="U222" s="384">
        <v>80000</v>
      </c>
      <c r="V222" s="384">
        <v>110000</v>
      </c>
      <c r="W222" s="612"/>
    </row>
    <row r="223" spans="1:23" ht="81" customHeight="1">
      <c r="A223" s="592"/>
      <c r="B223" s="839"/>
      <c r="C223" s="549" t="s">
        <v>1027</v>
      </c>
      <c r="D223" s="549" t="s">
        <v>1028</v>
      </c>
      <c r="E223" s="809">
        <v>300</v>
      </c>
      <c r="F223" s="809">
        <v>375</v>
      </c>
      <c r="G223" s="809">
        <v>450</v>
      </c>
      <c r="H223" s="809">
        <v>525</v>
      </c>
      <c r="I223" s="809">
        <v>600</v>
      </c>
      <c r="J223" s="14" t="s">
        <v>1029</v>
      </c>
      <c r="K223" s="14" t="s">
        <v>1030</v>
      </c>
      <c r="L223" s="14" t="s">
        <v>189</v>
      </c>
      <c r="M223" s="78" t="s">
        <v>2978</v>
      </c>
      <c r="N223" s="78">
        <v>1</v>
      </c>
      <c r="O223" s="78">
        <v>2</v>
      </c>
      <c r="P223" s="78">
        <v>3</v>
      </c>
      <c r="Q223" s="78">
        <v>4</v>
      </c>
      <c r="R223" s="384">
        <f t="shared" si="12"/>
        <v>11000</v>
      </c>
      <c r="S223" s="384">
        <v>5000</v>
      </c>
      <c r="T223" s="384">
        <v>2000</v>
      </c>
      <c r="U223" s="384">
        <f>+T223</f>
        <v>2000</v>
      </c>
      <c r="V223" s="384">
        <f>+U223</f>
        <v>2000</v>
      </c>
      <c r="W223" s="612"/>
    </row>
    <row r="224" spans="1:23" ht="81" customHeight="1">
      <c r="A224" s="592"/>
      <c r="B224" s="839"/>
      <c r="C224" s="549"/>
      <c r="D224" s="549"/>
      <c r="E224" s="809"/>
      <c r="F224" s="809"/>
      <c r="G224" s="809"/>
      <c r="H224" s="809"/>
      <c r="I224" s="809"/>
      <c r="J224" s="14" t="s">
        <v>1031</v>
      </c>
      <c r="K224" s="14" t="s">
        <v>1030</v>
      </c>
      <c r="L224" s="14" t="s">
        <v>189</v>
      </c>
      <c r="M224" s="78" t="s">
        <v>2978</v>
      </c>
      <c r="N224" s="78">
        <v>0</v>
      </c>
      <c r="O224" s="78">
        <v>1</v>
      </c>
      <c r="P224" s="78">
        <v>1</v>
      </c>
      <c r="Q224" s="78">
        <v>1</v>
      </c>
      <c r="R224" s="384">
        <f t="shared" si="12"/>
        <v>5000</v>
      </c>
      <c r="S224" s="384">
        <v>0</v>
      </c>
      <c r="T224" s="384">
        <v>5000</v>
      </c>
      <c r="U224" s="384">
        <v>0</v>
      </c>
      <c r="V224" s="384">
        <v>0</v>
      </c>
      <c r="W224" s="612"/>
    </row>
    <row r="225" spans="1:23" ht="81" customHeight="1">
      <c r="A225" s="592"/>
      <c r="B225" s="839"/>
      <c r="C225" s="549"/>
      <c r="D225" s="549"/>
      <c r="E225" s="809"/>
      <c r="F225" s="809"/>
      <c r="G225" s="809"/>
      <c r="H225" s="809"/>
      <c r="I225" s="809"/>
      <c r="J225" s="14" t="s">
        <v>1032</v>
      </c>
      <c r="K225" s="14" t="s">
        <v>1033</v>
      </c>
      <c r="L225" s="14" t="s">
        <v>189</v>
      </c>
      <c r="M225" s="78" t="s">
        <v>2978</v>
      </c>
      <c r="N225" s="78">
        <v>0</v>
      </c>
      <c r="O225" s="78">
        <v>1</v>
      </c>
      <c r="P225" s="78">
        <v>1</v>
      </c>
      <c r="Q225" s="78">
        <v>1</v>
      </c>
      <c r="R225" s="384">
        <f t="shared" si="12"/>
        <v>5000</v>
      </c>
      <c r="S225" s="384">
        <v>0</v>
      </c>
      <c r="T225" s="384">
        <f>+T224</f>
        <v>5000</v>
      </c>
      <c r="U225" s="384"/>
      <c r="V225" s="384">
        <v>0</v>
      </c>
      <c r="W225" s="612"/>
    </row>
    <row r="226" spans="1:23" ht="81" customHeight="1">
      <c r="A226" s="592"/>
      <c r="B226" s="839"/>
      <c r="C226" s="549"/>
      <c r="D226" s="549"/>
      <c r="E226" s="809"/>
      <c r="F226" s="809"/>
      <c r="G226" s="809"/>
      <c r="H226" s="809"/>
      <c r="I226" s="809"/>
      <c r="J226" s="14" t="s">
        <v>1940</v>
      </c>
      <c r="K226" s="14" t="s">
        <v>1941</v>
      </c>
      <c r="L226" s="14" t="s">
        <v>189</v>
      </c>
      <c r="M226" s="78" t="s">
        <v>2978</v>
      </c>
      <c r="N226" s="78">
        <v>0</v>
      </c>
      <c r="O226" s="78">
        <v>1</v>
      </c>
      <c r="P226" s="78">
        <v>1</v>
      </c>
      <c r="Q226" s="78">
        <v>1</v>
      </c>
      <c r="R226" s="384">
        <f t="shared" si="12"/>
        <v>5000</v>
      </c>
      <c r="S226" s="384">
        <v>0</v>
      </c>
      <c r="T226" s="384">
        <f>+T225</f>
        <v>5000</v>
      </c>
      <c r="U226" s="384">
        <v>0</v>
      </c>
      <c r="V226" s="384">
        <v>0</v>
      </c>
      <c r="W226" s="612"/>
    </row>
    <row r="227" spans="1:23" ht="81" customHeight="1">
      <c r="A227" s="592"/>
      <c r="B227" s="839"/>
      <c r="C227" s="549"/>
      <c r="D227" s="549"/>
      <c r="E227" s="809"/>
      <c r="F227" s="809"/>
      <c r="G227" s="809"/>
      <c r="H227" s="809"/>
      <c r="I227" s="809"/>
      <c r="J227" s="14" t="s">
        <v>1058</v>
      </c>
      <c r="K227" s="14" t="s">
        <v>1059</v>
      </c>
      <c r="L227" s="14" t="s">
        <v>189</v>
      </c>
      <c r="M227" s="78" t="s">
        <v>2978</v>
      </c>
      <c r="N227" s="78">
        <v>0</v>
      </c>
      <c r="O227" s="78">
        <v>0</v>
      </c>
      <c r="P227" s="78">
        <v>1</v>
      </c>
      <c r="Q227" s="78">
        <v>1</v>
      </c>
      <c r="R227" s="384">
        <f t="shared" si="12"/>
        <v>5000</v>
      </c>
      <c r="S227" s="384">
        <v>0</v>
      </c>
      <c r="T227" s="384"/>
      <c r="U227" s="384">
        <f>+T226</f>
        <v>5000</v>
      </c>
      <c r="V227" s="384">
        <v>0</v>
      </c>
      <c r="W227" s="612"/>
    </row>
    <row r="228" spans="1:23" ht="81" customHeight="1">
      <c r="A228" s="592"/>
      <c r="B228" s="839"/>
      <c r="C228" s="549"/>
      <c r="D228" s="549"/>
      <c r="E228" s="809"/>
      <c r="F228" s="809"/>
      <c r="G228" s="809"/>
      <c r="H228" s="809"/>
      <c r="I228" s="809"/>
      <c r="J228" s="14" t="s">
        <v>1060</v>
      </c>
      <c r="K228" s="14" t="s">
        <v>1061</v>
      </c>
      <c r="L228" s="14" t="s">
        <v>189</v>
      </c>
      <c r="M228" s="78" t="s">
        <v>2978</v>
      </c>
      <c r="N228" s="78">
        <v>0</v>
      </c>
      <c r="O228" s="78">
        <v>1</v>
      </c>
      <c r="P228" s="78">
        <v>1</v>
      </c>
      <c r="Q228" s="78">
        <v>1</v>
      </c>
      <c r="R228" s="384">
        <f t="shared" si="12"/>
        <v>10000</v>
      </c>
      <c r="S228" s="384">
        <v>0</v>
      </c>
      <c r="T228" s="384">
        <f>+T226</f>
        <v>5000</v>
      </c>
      <c r="U228" s="384">
        <f>+U227</f>
        <v>5000</v>
      </c>
      <c r="V228" s="384">
        <v>0</v>
      </c>
      <c r="W228" s="612"/>
    </row>
    <row r="229" spans="1:23" ht="81" customHeight="1">
      <c r="A229" s="592"/>
      <c r="B229" s="839"/>
      <c r="C229" s="549"/>
      <c r="D229" s="549"/>
      <c r="E229" s="809"/>
      <c r="F229" s="809"/>
      <c r="G229" s="809"/>
      <c r="H229" s="809"/>
      <c r="I229" s="809"/>
      <c r="J229" s="14" t="s">
        <v>1062</v>
      </c>
      <c r="K229" s="14" t="s">
        <v>1063</v>
      </c>
      <c r="L229" s="14" t="s">
        <v>189</v>
      </c>
      <c r="M229" s="78" t="s">
        <v>2978</v>
      </c>
      <c r="N229" s="78">
        <v>0</v>
      </c>
      <c r="O229" s="78">
        <v>1</v>
      </c>
      <c r="P229" s="78">
        <v>1</v>
      </c>
      <c r="Q229" s="78">
        <v>1</v>
      </c>
      <c r="R229" s="384">
        <f t="shared" si="12"/>
        <v>0</v>
      </c>
      <c r="S229" s="384">
        <v>0</v>
      </c>
      <c r="T229" s="384">
        <v>0</v>
      </c>
      <c r="U229" s="384">
        <v>0</v>
      </c>
      <c r="V229" s="384">
        <v>0</v>
      </c>
      <c r="W229" s="612"/>
    </row>
    <row r="230" spans="1:23" ht="81" customHeight="1">
      <c r="A230" s="592"/>
      <c r="B230" s="839"/>
      <c r="C230" s="549"/>
      <c r="D230" s="549"/>
      <c r="E230" s="809"/>
      <c r="F230" s="809"/>
      <c r="G230" s="809"/>
      <c r="H230" s="809"/>
      <c r="I230" s="809"/>
      <c r="J230" s="14" t="s">
        <v>1064</v>
      </c>
      <c r="K230" s="14" t="s">
        <v>1065</v>
      </c>
      <c r="L230" s="14" t="s">
        <v>189</v>
      </c>
      <c r="M230" s="78" t="s">
        <v>2978</v>
      </c>
      <c r="N230" s="78">
        <f>300/4</f>
        <v>75</v>
      </c>
      <c r="O230" s="78">
        <v>150</v>
      </c>
      <c r="P230" s="78">
        <f>+O230+N230</f>
        <v>225</v>
      </c>
      <c r="Q230" s="78">
        <v>300</v>
      </c>
      <c r="R230" s="384">
        <f t="shared" si="12"/>
        <v>0</v>
      </c>
      <c r="S230" s="384">
        <v>0</v>
      </c>
      <c r="T230" s="384">
        <v>0</v>
      </c>
      <c r="U230" s="384">
        <v>0</v>
      </c>
      <c r="V230" s="384">
        <v>0</v>
      </c>
      <c r="W230" s="612"/>
    </row>
    <row r="231" spans="1:23" ht="81" customHeight="1">
      <c r="A231" s="592"/>
      <c r="B231" s="839"/>
      <c r="C231" s="549"/>
      <c r="D231" s="549"/>
      <c r="E231" s="809"/>
      <c r="F231" s="809"/>
      <c r="G231" s="809"/>
      <c r="H231" s="809"/>
      <c r="I231" s="809"/>
      <c r="J231" s="14" t="s">
        <v>1066</v>
      </c>
      <c r="K231" s="14" t="s">
        <v>1067</v>
      </c>
      <c r="L231" s="14" t="s">
        <v>189</v>
      </c>
      <c r="M231" s="78" t="s">
        <v>2978</v>
      </c>
      <c r="N231" s="78">
        <v>0</v>
      </c>
      <c r="O231" s="78">
        <v>0</v>
      </c>
      <c r="P231" s="78">
        <v>0</v>
      </c>
      <c r="Q231" s="78">
        <v>1</v>
      </c>
      <c r="R231" s="384">
        <f t="shared" si="12"/>
        <v>30000</v>
      </c>
      <c r="S231" s="384">
        <v>0</v>
      </c>
      <c r="T231" s="384">
        <v>0</v>
      </c>
      <c r="U231" s="384">
        <v>0</v>
      </c>
      <c r="V231" s="384">
        <v>30000</v>
      </c>
      <c r="W231" s="612"/>
    </row>
    <row r="232" spans="1:23" ht="81" customHeight="1">
      <c r="A232" s="592" t="s">
        <v>851</v>
      </c>
      <c r="B232" s="839">
        <f>413000/R282*100%</f>
        <v>0.004622075131551477</v>
      </c>
      <c r="C232" s="549" t="s">
        <v>1069</v>
      </c>
      <c r="D232" s="549" t="s">
        <v>1070</v>
      </c>
      <c r="E232" s="809">
        <v>36</v>
      </c>
      <c r="F232" s="809">
        <v>46</v>
      </c>
      <c r="G232" s="809">
        <v>56</v>
      </c>
      <c r="H232" s="809">
        <v>66</v>
      </c>
      <c r="I232" s="809">
        <v>76</v>
      </c>
      <c r="J232" s="14" t="s">
        <v>1071</v>
      </c>
      <c r="K232" s="14" t="s">
        <v>1072</v>
      </c>
      <c r="L232" s="14" t="s">
        <v>189</v>
      </c>
      <c r="M232" s="78" t="s">
        <v>2978</v>
      </c>
      <c r="N232" s="78">
        <v>5</v>
      </c>
      <c r="O232" s="78">
        <v>5</v>
      </c>
      <c r="P232" s="78">
        <v>5</v>
      </c>
      <c r="Q232" s="78">
        <v>5</v>
      </c>
      <c r="R232" s="384">
        <f t="shared" si="12"/>
        <v>413000</v>
      </c>
      <c r="S232" s="384">
        <v>83000</v>
      </c>
      <c r="T232" s="384">
        <v>108000</v>
      </c>
      <c r="U232" s="384">
        <v>112000</v>
      </c>
      <c r="V232" s="384">
        <v>110000</v>
      </c>
      <c r="W232" s="612" t="s">
        <v>847</v>
      </c>
    </row>
    <row r="233" spans="1:23" ht="81" customHeight="1">
      <c r="A233" s="592"/>
      <c r="B233" s="839"/>
      <c r="C233" s="549"/>
      <c r="D233" s="549"/>
      <c r="E233" s="809"/>
      <c r="F233" s="809"/>
      <c r="G233" s="809"/>
      <c r="H233" s="809"/>
      <c r="I233" s="809"/>
      <c r="J233" s="14" t="s">
        <v>1073</v>
      </c>
      <c r="K233" s="14" t="s">
        <v>1074</v>
      </c>
      <c r="L233" s="14" t="s">
        <v>189</v>
      </c>
      <c r="M233" s="78" t="s">
        <v>2978</v>
      </c>
      <c r="N233" s="78">
        <v>5</v>
      </c>
      <c r="O233" s="78">
        <v>5</v>
      </c>
      <c r="P233" s="78">
        <v>5</v>
      </c>
      <c r="Q233" s="78">
        <v>5</v>
      </c>
      <c r="R233" s="384">
        <f t="shared" si="12"/>
        <v>0</v>
      </c>
      <c r="S233" s="384">
        <v>0</v>
      </c>
      <c r="T233" s="384">
        <v>0</v>
      </c>
      <c r="U233" s="384">
        <v>0</v>
      </c>
      <c r="V233" s="384">
        <v>0</v>
      </c>
      <c r="W233" s="612"/>
    </row>
    <row r="234" spans="1:23" ht="81" customHeight="1">
      <c r="A234" s="592"/>
      <c r="B234" s="839"/>
      <c r="C234" s="549"/>
      <c r="D234" s="549"/>
      <c r="E234" s="809"/>
      <c r="F234" s="809"/>
      <c r="G234" s="809"/>
      <c r="H234" s="809"/>
      <c r="I234" s="809"/>
      <c r="J234" s="14" t="s">
        <v>1075</v>
      </c>
      <c r="K234" s="14" t="s">
        <v>1076</v>
      </c>
      <c r="L234" s="14" t="s">
        <v>189</v>
      </c>
      <c r="M234" s="78" t="s">
        <v>2978</v>
      </c>
      <c r="N234" s="78">
        <v>0</v>
      </c>
      <c r="O234" s="78">
        <v>1</v>
      </c>
      <c r="P234" s="78">
        <v>1</v>
      </c>
      <c r="Q234" s="78">
        <v>1</v>
      </c>
      <c r="R234" s="384">
        <f t="shared" si="12"/>
        <v>0</v>
      </c>
      <c r="S234" s="384">
        <v>0</v>
      </c>
      <c r="T234" s="384">
        <v>0</v>
      </c>
      <c r="U234" s="384">
        <v>0</v>
      </c>
      <c r="V234" s="384">
        <v>0</v>
      </c>
      <c r="W234" s="612"/>
    </row>
    <row r="235" spans="1:23" ht="81" customHeight="1">
      <c r="A235" s="592"/>
      <c r="B235" s="839"/>
      <c r="C235" s="549" t="s">
        <v>1077</v>
      </c>
      <c r="D235" s="549" t="s">
        <v>1507</v>
      </c>
      <c r="E235" s="842">
        <v>0</v>
      </c>
      <c r="F235" s="842">
        <v>0</v>
      </c>
      <c r="G235" s="842">
        <v>0</v>
      </c>
      <c r="H235" s="816">
        <v>1</v>
      </c>
      <c r="I235" s="549">
        <v>1</v>
      </c>
      <c r="J235" s="14" t="s">
        <v>1078</v>
      </c>
      <c r="K235" s="14" t="s">
        <v>2593</v>
      </c>
      <c r="L235" s="14" t="s">
        <v>189</v>
      </c>
      <c r="M235" s="78" t="s">
        <v>2978</v>
      </c>
      <c r="N235" s="78">
        <v>0</v>
      </c>
      <c r="O235" s="78">
        <v>1</v>
      </c>
      <c r="P235" s="78">
        <v>1</v>
      </c>
      <c r="Q235" s="78">
        <v>1</v>
      </c>
      <c r="R235" s="384">
        <f t="shared" si="12"/>
        <v>0</v>
      </c>
      <c r="S235" s="384">
        <v>0</v>
      </c>
      <c r="T235" s="384">
        <v>0</v>
      </c>
      <c r="U235" s="384">
        <v>0</v>
      </c>
      <c r="V235" s="384">
        <v>0</v>
      </c>
      <c r="W235" s="612"/>
    </row>
    <row r="236" spans="1:23" ht="81" customHeight="1">
      <c r="A236" s="592"/>
      <c r="B236" s="839"/>
      <c r="C236" s="549"/>
      <c r="D236" s="549"/>
      <c r="E236" s="842"/>
      <c r="F236" s="842"/>
      <c r="G236" s="842"/>
      <c r="H236" s="816"/>
      <c r="I236" s="549"/>
      <c r="J236" s="14" t="s">
        <v>1079</v>
      </c>
      <c r="K236" s="14" t="s">
        <v>1080</v>
      </c>
      <c r="L236" s="14" t="s">
        <v>189</v>
      </c>
      <c r="M236" s="78" t="s">
        <v>2978</v>
      </c>
      <c r="N236" s="78">
        <v>0</v>
      </c>
      <c r="O236" s="78">
        <v>0</v>
      </c>
      <c r="P236" s="78">
        <v>1</v>
      </c>
      <c r="Q236" s="78">
        <v>1</v>
      </c>
      <c r="R236" s="384">
        <f t="shared" si="12"/>
        <v>0</v>
      </c>
      <c r="S236" s="384">
        <v>0</v>
      </c>
      <c r="T236" s="384">
        <v>0</v>
      </c>
      <c r="U236" s="384">
        <v>0</v>
      </c>
      <c r="V236" s="384">
        <v>0</v>
      </c>
      <c r="W236" s="612"/>
    </row>
    <row r="237" spans="1:23" ht="81" customHeight="1">
      <c r="A237" s="592" t="s">
        <v>852</v>
      </c>
      <c r="B237" s="839">
        <f>4191000/R282*100%</f>
        <v>0.0469034306932984</v>
      </c>
      <c r="C237" s="549" t="s">
        <v>1082</v>
      </c>
      <c r="D237" s="549" t="s">
        <v>1083</v>
      </c>
      <c r="E237" s="841">
        <v>0</v>
      </c>
      <c r="F237" s="841">
        <v>0</v>
      </c>
      <c r="G237" s="809">
        <v>1</v>
      </c>
      <c r="H237" s="809">
        <v>2</v>
      </c>
      <c r="I237" s="809">
        <v>2</v>
      </c>
      <c r="J237" s="14" t="s">
        <v>1084</v>
      </c>
      <c r="K237" s="14" t="s">
        <v>1085</v>
      </c>
      <c r="L237" s="14" t="s">
        <v>189</v>
      </c>
      <c r="M237" s="78" t="s">
        <v>2978</v>
      </c>
      <c r="N237" s="78">
        <v>0</v>
      </c>
      <c r="O237" s="78">
        <v>1</v>
      </c>
      <c r="P237" s="78">
        <v>2</v>
      </c>
      <c r="Q237" s="78">
        <v>2</v>
      </c>
      <c r="R237" s="384">
        <f t="shared" si="12"/>
        <v>0</v>
      </c>
      <c r="S237" s="384">
        <v>0</v>
      </c>
      <c r="T237" s="384">
        <v>0</v>
      </c>
      <c r="U237" s="384">
        <v>0</v>
      </c>
      <c r="V237" s="384">
        <v>0</v>
      </c>
      <c r="W237" s="612" t="s">
        <v>847</v>
      </c>
    </row>
    <row r="238" spans="1:23" ht="81" customHeight="1">
      <c r="A238" s="592"/>
      <c r="B238" s="839"/>
      <c r="C238" s="549"/>
      <c r="D238" s="549"/>
      <c r="E238" s="841"/>
      <c r="F238" s="841"/>
      <c r="G238" s="809"/>
      <c r="H238" s="809"/>
      <c r="I238" s="809"/>
      <c r="J238" s="14" t="s">
        <v>1086</v>
      </c>
      <c r="K238" s="14" t="s">
        <v>1087</v>
      </c>
      <c r="L238" s="14" t="s">
        <v>189</v>
      </c>
      <c r="M238" s="78" t="s">
        <v>2978</v>
      </c>
      <c r="N238" s="78">
        <v>0</v>
      </c>
      <c r="O238" s="78">
        <v>1</v>
      </c>
      <c r="P238" s="78">
        <v>1</v>
      </c>
      <c r="Q238" s="78">
        <v>1</v>
      </c>
      <c r="R238" s="384">
        <f t="shared" si="12"/>
        <v>0</v>
      </c>
      <c r="S238" s="384">
        <v>0</v>
      </c>
      <c r="T238" s="384">
        <v>0</v>
      </c>
      <c r="U238" s="384">
        <v>0</v>
      </c>
      <c r="V238" s="384">
        <v>0</v>
      </c>
      <c r="W238" s="612"/>
    </row>
    <row r="239" spans="1:23" ht="81" customHeight="1">
      <c r="A239" s="592"/>
      <c r="B239" s="839"/>
      <c r="C239" s="549"/>
      <c r="D239" s="549"/>
      <c r="E239" s="841"/>
      <c r="F239" s="841"/>
      <c r="G239" s="809"/>
      <c r="H239" s="809"/>
      <c r="I239" s="809"/>
      <c r="J239" s="14" t="s">
        <v>1088</v>
      </c>
      <c r="K239" s="14" t="s">
        <v>1089</v>
      </c>
      <c r="L239" s="14" t="s">
        <v>189</v>
      </c>
      <c r="M239" s="78" t="s">
        <v>2978</v>
      </c>
      <c r="N239" s="78">
        <v>0</v>
      </c>
      <c r="O239" s="78">
        <v>0</v>
      </c>
      <c r="P239" s="78">
        <v>1</v>
      </c>
      <c r="Q239" s="78">
        <v>2</v>
      </c>
      <c r="R239" s="384">
        <f t="shared" si="12"/>
        <v>4191000</v>
      </c>
      <c r="S239" s="384">
        <v>450000</v>
      </c>
      <c r="T239" s="384">
        <v>1510000</v>
      </c>
      <c r="U239" s="384">
        <v>1085000</v>
      </c>
      <c r="V239" s="384">
        <v>1146000</v>
      </c>
      <c r="W239" s="612"/>
    </row>
    <row r="240" spans="1:23" ht="81" customHeight="1">
      <c r="A240" s="592" t="s">
        <v>853</v>
      </c>
      <c r="B240" s="839">
        <f>6350000/R282*100%</f>
        <v>0.07106580408075515</v>
      </c>
      <c r="C240" s="549" t="s">
        <v>1091</v>
      </c>
      <c r="D240" s="549" t="s">
        <v>1092</v>
      </c>
      <c r="E240" s="841">
        <v>0</v>
      </c>
      <c r="F240" s="841">
        <v>0</v>
      </c>
      <c r="G240" s="841">
        <v>2</v>
      </c>
      <c r="H240" s="841">
        <v>2</v>
      </c>
      <c r="I240" s="809">
        <v>2</v>
      </c>
      <c r="J240" s="14" t="s">
        <v>1093</v>
      </c>
      <c r="K240" s="14" t="s">
        <v>1094</v>
      </c>
      <c r="L240" s="14" t="s">
        <v>189</v>
      </c>
      <c r="M240" s="78" t="s">
        <v>2978</v>
      </c>
      <c r="N240" s="78">
        <v>1</v>
      </c>
      <c r="O240" s="78">
        <v>1</v>
      </c>
      <c r="P240" s="78">
        <v>1</v>
      </c>
      <c r="Q240" s="78">
        <v>1</v>
      </c>
      <c r="R240" s="384">
        <f t="shared" si="12"/>
        <v>0</v>
      </c>
      <c r="S240" s="384">
        <v>0</v>
      </c>
      <c r="T240" s="384">
        <v>0</v>
      </c>
      <c r="U240" s="384">
        <v>0</v>
      </c>
      <c r="V240" s="384">
        <v>0</v>
      </c>
      <c r="W240" s="612" t="s">
        <v>847</v>
      </c>
    </row>
    <row r="241" spans="1:23" ht="81" customHeight="1">
      <c r="A241" s="592"/>
      <c r="B241" s="839"/>
      <c r="C241" s="549"/>
      <c r="D241" s="549"/>
      <c r="E241" s="841"/>
      <c r="F241" s="841"/>
      <c r="G241" s="841"/>
      <c r="H241" s="841"/>
      <c r="I241" s="809"/>
      <c r="J241" s="14" t="s">
        <v>1095</v>
      </c>
      <c r="K241" s="14" t="s">
        <v>1096</v>
      </c>
      <c r="L241" s="14" t="s">
        <v>189</v>
      </c>
      <c r="M241" s="78" t="s">
        <v>2978</v>
      </c>
      <c r="N241" s="78">
        <v>0</v>
      </c>
      <c r="O241" s="78">
        <v>1</v>
      </c>
      <c r="P241" s="78">
        <v>1</v>
      </c>
      <c r="Q241" s="78">
        <v>2</v>
      </c>
      <c r="R241" s="384">
        <f t="shared" si="12"/>
        <v>6350000</v>
      </c>
      <c r="S241" s="384">
        <v>75000</v>
      </c>
      <c r="T241" s="384">
        <v>2075000</v>
      </c>
      <c r="U241" s="384">
        <v>2100000</v>
      </c>
      <c r="V241" s="384">
        <v>2100000</v>
      </c>
      <c r="W241" s="612"/>
    </row>
    <row r="242" spans="1:23" ht="81" customHeight="1">
      <c r="A242" s="592"/>
      <c r="B242" s="839"/>
      <c r="C242" s="549"/>
      <c r="D242" s="549"/>
      <c r="E242" s="841"/>
      <c r="F242" s="841"/>
      <c r="G242" s="841"/>
      <c r="H242" s="841"/>
      <c r="I242" s="809"/>
      <c r="J242" s="14" t="s">
        <v>1097</v>
      </c>
      <c r="K242" s="14" t="s">
        <v>2593</v>
      </c>
      <c r="L242" s="14" t="s">
        <v>189</v>
      </c>
      <c r="M242" s="78" t="s">
        <v>2978</v>
      </c>
      <c r="N242" s="78">
        <v>0</v>
      </c>
      <c r="O242" s="78">
        <v>1</v>
      </c>
      <c r="P242" s="78">
        <v>1</v>
      </c>
      <c r="Q242" s="78">
        <v>1</v>
      </c>
      <c r="R242" s="384">
        <f t="shared" si="12"/>
        <v>0</v>
      </c>
      <c r="S242" s="384">
        <v>0</v>
      </c>
      <c r="T242" s="384">
        <v>0</v>
      </c>
      <c r="U242" s="384">
        <v>0</v>
      </c>
      <c r="V242" s="384">
        <v>0</v>
      </c>
      <c r="W242" s="612"/>
    </row>
    <row r="243" spans="1:23" ht="81" customHeight="1">
      <c r="A243" s="592"/>
      <c r="B243" s="839"/>
      <c r="C243" s="549"/>
      <c r="D243" s="549"/>
      <c r="E243" s="841"/>
      <c r="F243" s="841"/>
      <c r="G243" s="841"/>
      <c r="H243" s="841"/>
      <c r="I243" s="809"/>
      <c r="J243" s="14" t="s">
        <v>1098</v>
      </c>
      <c r="K243" s="14" t="s">
        <v>1096</v>
      </c>
      <c r="L243" s="14" t="s">
        <v>189</v>
      </c>
      <c r="M243" s="78" t="s">
        <v>2978</v>
      </c>
      <c r="N243" s="78">
        <v>0</v>
      </c>
      <c r="O243" s="78">
        <v>1</v>
      </c>
      <c r="P243" s="78">
        <v>1</v>
      </c>
      <c r="Q243" s="78">
        <v>1</v>
      </c>
      <c r="R243" s="384">
        <f t="shared" si="12"/>
        <v>0</v>
      </c>
      <c r="S243" s="384">
        <v>0</v>
      </c>
      <c r="T243" s="384">
        <v>0</v>
      </c>
      <c r="U243" s="384">
        <v>0</v>
      </c>
      <c r="V243" s="384">
        <v>0</v>
      </c>
      <c r="W243" s="612"/>
    </row>
    <row r="244" spans="1:23" ht="81" customHeight="1">
      <c r="A244" s="592" t="s">
        <v>854</v>
      </c>
      <c r="B244" s="839">
        <f>1610000/R282*100%</f>
        <v>0.018018258987404064</v>
      </c>
      <c r="C244" s="549" t="s">
        <v>1100</v>
      </c>
      <c r="D244" s="549" t="s">
        <v>1101</v>
      </c>
      <c r="E244" s="840">
        <v>0</v>
      </c>
      <c r="F244" s="840">
        <v>85</v>
      </c>
      <c r="G244" s="840">
        <v>170</v>
      </c>
      <c r="H244" s="840">
        <v>255</v>
      </c>
      <c r="I244" s="809">
        <v>340</v>
      </c>
      <c r="J244" s="14" t="s">
        <v>116</v>
      </c>
      <c r="K244" s="14" t="s">
        <v>1893</v>
      </c>
      <c r="L244" s="14" t="s">
        <v>189</v>
      </c>
      <c r="M244" s="159" t="s">
        <v>2978</v>
      </c>
      <c r="N244" s="159">
        <v>1</v>
      </c>
      <c r="O244" s="159">
        <v>1</v>
      </c>
      <c r="P244" s="159">
        <v>1</v>
      </c>
      <c r="Q244" s="159">
        <v>1</v>
      </c>
      <c r="R244" s="384">
        <f t="shared" si="12"/>
        <v>0</v>
      </c>
      <c r="S244" s="384">
        <v>0</v>
      </c>
      <c r="T244" s="384">
        <v>0</v>
      </c>
      <c r="U244" s="384">
        <v>0</v>
      </c>
      <c r="V244" s="384">
        <v>0</v>
      </c>
      <c r="W244" s="612" t="s">
        <v>847</v>
      </c>
    </row>
    <row r="245" spans="1:23" ht="81" customHeight="1">
      <c r="A245" s="592"/>
      <c r="B245" s="839"/>
      <c r="C245" s="549"/>
      <c r="D245" s="549"/>
      <c r="E245" s="840"/>
      <c r="F245" s="840"/>
      <c r="G245" s="840"/>
      <c r="H245" s="840"/>
      <c r="I245" s="809"/>
      <c r="J245" s="14" t="s">
        <v>117</v>
      </c>
      <c r="K245" s="14" t="s">
        <v>118</v>
      </c>
      <c r="L245" s="14" t="s">
        <v>189</v>
      </c>
      <c r="M245" s="159" t="s">
        <v>2978</v>
      </c>
      <c r="N245" s="159">
        <v>1</v>
      </c>
      <c r="O245" s="159">
        <v>1</v>
      </c>
      <c r="P245" s="159">
        <v>1</v>
      </c>
      <c r="Q245" s="159">
        <v>1</v>
      </c>
      <c r="R245" s="384">
        <f t="shared" si="12"/>
        <v>0</v>
      </c>
      <c r="S245" s="384">
        <v>0</v>
      </c>
      <c r="T245" s="384">
        <v>0</v>
      </c>
      <c r="U245" s="384">
        <v>0</v>
      </c>
      <c r="V245" s="384">
        <v>0</v>
      </c>
      <c r="W245" s="612"/>
    </row>
    <row r="246" spans="1:23" ht="81" customHeight="1">
      <c r="A246" s="592"/>
      <c r="B246" s="839"/>
      <c r="C246" s="549"/>
      <c r="D246" s="549"/>
      <c r="E246" s="840"/>
      <c r="F246" s="840"/>
      <c r="G246" s="840"/>
      <c r="H246" s="840"/>
      <c r="I246" s="809"/>
      <c r="J246" s="14" t="s">
        <v>119</v>
      </c>
      <c r="K246" s="14" t="s">
        <v>120</v>
      </c>
      <c r="L246" s="14" t="s">
        <v>189</v>
      </c>
      <c r="M246" s="159" t="s">
        <v>2978</v>
      </c>
      <c r="N246" s="159">
        <v>1</v>
      </c>
      <c r="O246" s="159">
        <v>1</v>
      </c>
      <c r="P246" s="159">
        <v>2</v>
      </c>
      <c r="Q246" s="159">
        <v>2</v>
      </c>
      <c r="R246" s="384">
        <f t="shared" si="12"/>
        <v>70000</v>
      </c>
      <c r="S246" s="384">
        <v>20000</v>
      </c>
      <c r="T246" s="384">
        <v>0</v>
      </c>
      <c r="U246" s="384">
        <v>50000</v>
      </c>
      <c r="V246" s="384">
        <v>0</v>
      </c>
      <c r="W246" s="612"/>
    </row>
    <row r="247" spans="1:23" ht="81" customHeight="1">
      <c r="A247" s="592"/>
      <c r="B247" s="839"/>
      <c r="C247" s="549"/>
      <c r="D247" s="549"/>
      <c r="E247" s="840"/>
      <c r="F247" s="840"/>
      <c r="G247" s="840"/>
      <c r="H247" s="840"/>
      <c r="I247" s="809"/>
      <c r="J247" s="14" t="s">
        <v>121</v>
      </c>
      <c r="K247" s="14" t="s">
        <v>122</v>
      </c>
      <c r="L247" s="14" t="s">
        <v>189</v>
      </c>
      <c r="M247" s="159" t="s">
        <v>2978</v>
      </c>
      <c r="N247" s="159">
        <v>6</v>
      </c>
      <c r="O247" s="159">
        <v>6</v>
      </c>
      <c r="P247" s="159">
        <v>6</v>
      </c>
      <c r="Q247" s="159">
        <v>6</v>
      </c>
      <c r="R247" s="384">
        <f t="shared" si="12"/>
        <v>1540000</v>
      </c>
      <c r="S247" s="384">
        <v>365000</v>
      </c>
      <c r="T247" s="384">
        <v>397000</v>
      </c>
      <c r="U247" s="384">
        <v>350000</v>
      </c>
      <c r="V247" s="384">
        <v>428000</v>
      </c>
      <c r="W247" s="612"/>
    </row>
    <row r="248" spans="1:23" ht="81" customHeight="1">
      <c r="A248" s="592" t="s">
        <v>855</v>
      </c>
      <c r="B248" s="839">
        <f>301000/R282*100%</f>
        <v>0.00336863102807989</v>
      </c>
      <c r="C248" s="549" t="s">
        <v>2022</v>
      </c>
      <c r="D248" s="549" t="s">
        <v>2023</v>
      </c>
      <c r="E248" s="840">
        <v>0</v>
      </c>
      <c r="F248" s="809">
        <v>1</v>
      </c>
      <c r="G248" s="809">
        <v>1</v>
      </c>
      <c r="H248" s="809">
        <v>1</v>
      </c>
      <c r="I248" s="809">
        <v>1</v>
      </c>
      <c r="J248" s="14" t="s">
        <v>2024</v>
      </c>
      <c r="K248" s="14" t="s">
        <v>2025</v>
      </c>
      <c r="L248" s="14" t="s">
        <v>189</v>
      </c>
      <c r="M248" s="78" t="s">
        <v>2978</v>
      </c>
      <c r="N248" s="78">
        <v>2</v>
      </c>
      <c r="O248" s="78">
        <v>4</v>
      </c>
      <c r="P248" s="78">
        <v>7</v>
      </c>
      <c r="Q248" s="78">
        <v>7</v>
      </c>
      <c r="R248" s="384">
        <f t="shared" si="12"/>
        <v>301000</v>
      </c>
      <c r="S248" s="384">
        <v>75000</v>
      </c>
      <c r="T248" s="384">
        <f>+S248</f>
        <v>75000</v>
      </c>
      <c r="U248" s="384">
        <f>+T248</f>
        <v>75000</v>
      </c>
      <c r="V248" s="384">
        <v>76000</v>
      </c>
      <c r="W248" s="612" t="s">
        <v>847</v>
      </c>
    </row>
    <row r="249" spans="1:23" ht="81" customHeight="1">
      <c r="A249" s="592"/>
      <c r="B249" s="839"/>
      <c r="C249" s="626"/>
      <c r="D249" s="549"/>
      <c r="E249" s="840"/>
      <c r="F249" s="809"/>
      <c r="G249" s="809"/>
      <c r="H249" s="809"/>
      <c r="I249" s="809"/>
      <c r="J249" s="14" t="s">
        <v>2026</v>
      </c>
      <c r="K249" s="14" t="s">
        <v>2027</v>
      </c>
      <c r="L249" s="14" t="s">
        <v>189</v>
      </c>
      <c r="M249" s="78" t="s">
        <v>2978</v>
      </c>
      <c r="N249" s="78">
        <v>1</v>
      </c>
      <c r="O249" s="78">
        <v>1</v>
      </c>
      <c r="P249" s="78">
        <v>1</v>
      </c>
      <c r="Q249" s="78">
        <v>1</v>
      </c>
      <c r="R249" s="384">
        <f t="shared" si="12"/>
        <v>0</v>
      </c>
      <c r="S249" s="384">
        <v>0</v>
      </c>
      <c r="T249" s="384">
        <v>0</v>
      </c>
      <c r="U249" s="384">
        <v>0</v>
      </c>
      <c r="V249" s="384">
        <v>0</v>
      </c>
      <c r="W249" s="612"/>
    </row>
    <row r="250" spans="1:23" ht="81" customHeight="1">
      <c r="A250" s="592"/>
      <c r="B250" s="839"/>
      <c r="C250" s="626"/>
      <c r="D250" s="549"/>
      <c r="E250" s="840"/>
      <c r="F250" s="809"/>
      <c r="G250" s="809"/>
      <c r="H250" s="809"/>
      <c r="I250" s="809"/>
      <c r="J250" s="14" t="s">
        <v>2028</v>
      </c>
      <c r="K250" s="14" t="s">
        <v>2029</v>
      </c>
      <c r="L250" s="14" t="s">
        <v>189</v>
      </c>
      <c r="M250" s="78" t="s">
        <v>2978</v>
      </c>
      <c r="N250" s="78">
        <v>0</v>
      </c>
      <c r="O250" s="78">
        <v>0</v>
      </c>
      <c r="P250" s="78">
        <v>1</v>
      </c>
      <c r="Q250" s="78">
        <v>1</v>
      </c>
      <c r="R250" s="384">
        <f t="shared" si="12"/>
        <v>0</v>
      </c>
      <c r="S250" s="384">
        <v>0</v>
      </c>
      <c r="T250" s="384">
        <v>0</v>
      </c>
      <c r="U250" s="384">
        <v>0</v>
      </c>
      <c r="V250" s="384">
        <v>0</v>
      </c>
      <c r="W250" s="612"/>
    </row>
    <row r="251" spans="1:23" ht="81" customHeight="1">
      <c r="A251" s="592" t="s">
        <v>856</v>
      </c>
      <c r="B251" s="839">
        <f>3173000/R282*100%</f>
        <v>0.03551051910995844</v>
      </c>
      <c r="C251" s="549" t="s">
        <v>2031</v>
      </c>
      <c r="D251" s="626" t="s">
        <v>2032</v>
      </c>
      <c r="E251" s="809"/>
      <c r="F251" s="809">
        <v>93750</v>
      </c>
      <c r="G251" s="809">
        <v>187500</v>
      </c>
      <c r="H251" s="809">
        <v>281250</v>
      </c>
      <c r="I251" s="809">
        <v>375000</v>
      </c>
      <c r="J251" s="14" t="s">
        <v>2033</v>
      </c>
      <c r="K251" s="14" t="s">
        <v>2034</v>
      </c>
      <c r="L251" s="14" t="s">
        <v>189</v>
      </c>
      <c r="M251" s="78" t="s">
        <v>2978</v>
      </c>
      <c r="N251" s="78">
        <v>1</v>
      </c>
      <c r="O251" s="78">
        <v>4</v>
      </c>
      <c r="P251" s="78">
        <v>9</v>
      </c>
      <c r="Q251" s="78">
        <v>15</v>
      </c>
      <c r="R251" s="384">
        <f aca="true" t="shared" si="13" ref="R251:R256">SUM(S251:V251)</f>
        <v>0</v>
      </c>
      <c r="S251" s="384">
        <v>0</v>
      </c>
      <c r="T251" s="384">
        <v>0</v>
      </c>
      <c r="U251" s="384">
        <v>0</v>
      </c>
      <c r="V251" s="384">
        <v>0</v>
      </c>
      <c r="W251" s="612" t="s">
        <v>847</v>
      </c>
    </row>
    <row r="252" spans="1:23" ht="81" customHeight="1">
      <c r="A252" s="592"/>
      <c r="B252" s="839"/>
      <c r="C252" s="549"/>
      <c r="D252" s="626"/>
      <c r="E252" s="809"/>
      <c r="F252" s="809"/>
      <c r="G252" s="809"/>
      <c r="H252" s="809"/>
      <c r="I252" s="809"/>
      <c r="J252" s="14" t="s">
        <v>1102</v>
      </c>
      <c r="K252" s="14" t="s">
        <v>2642</v>
      </c>
      <c r="L252" s="14" t="s">
        <v>189</v>
      </c>
      <c r="M252" s="78" t="s">
        <v>2978</v>
      </c>
      <c r="N252" s="78">
        <v>1</v>
      </c>
      <c r="O252" s="78">
        <v>2</v>
      </c>
      <c r="P252" s="78">
        <v>3</v>
      </c>
      <c r="Q252" s="78">
        <v>4</v>
      </c>
      <c r="R252" s="384">
        <f t="shared" si="13"/>
        <v>40000</v>
      </c>
      <c r="S252" s="384">
        <v>10000</v>
      </c>
      <c r="T252" s="384">
        <f>+S252</f>
        <v>10000</v>
      </c>
      <c r="U252" s="384">
        <f>+T252</f>
        <v>10000</v>
      </c>
      <c r="V252" s="384">
        <f>+U252</f>
        <v>10000</v>
      </c>
      <c r="W252" s="612"/>
    </row>
    <row r="253" spans="1:23" ht="81" customHeight="1">
      <c r="A253" s="592"/>
      <c r="B253" s="839"/>
      <c r="C253" s="549"/>
      <c r="D253" s="626"/>
      <c r="E253" s="809"/>
      <c r="F253" s="809"/>
      <c r="G253" s="809"/>
      <c r="H253" s="809"/>
      <c r="I253" s="809"/>
      <c r="J253" s="14" t="s">
        <v>1103</v>
      </c>
      <c r="K253" s="14" t="s">
        <v>1104</v>
      </c>
      <c r="L253" s="14" t="s">
        <v>189</v>
      </c>
      <c r="M253" s="78" t="s">
        <v>2978</v>
      </c>
      <c r="N253" s="78">
        <v>1</v>
      </c>
      <c r="O253" s="78">
        <v>2</v>
      </c>
      <c r="P253" s="78">
        <v>3</v>
      </c>
      <c r="Q253" s="78">
        <v>4</v>
      </c>
      <c r="R253" s="384">
        <f t="shared" si="13"/>
        <v>250000</v>
      </c>
      <c r="S253" s="384">
        <v>100000</v>
      </c>
      <c r="T253" s="384">
        <v>50000</v>
      </c>
      <c r="U253" s="384">
        <f>+T253</f>
        <v>50000</v>
      </c>
      <c r="V253" s="384">
        <f>+U253</f>
        <v>50000</v>
      </c>
      <c r="W253" s="612"/>
    </row>
    <row r="254" spans="1:23" ht="81" customHeight="1">
      <c r="A254" s="592"/>
      <c r="B254" s="839"/>
      <c r="C254" s="549"/>
      <c r="D254" s="626"/>
      <c r="E254" s="809"/>
      <c r="F254" s="809"/>
      <c r="G254" s="809"/>
      <c r="H254" s="809"/>
      <c r="I254" s="809"/>
      <c r="J254" s="14" t="s">
        <v>1105</v>
      </c>
      <c r="K254" s="14" t="s">
        <v>1106</v>
      </c>
      <c r="L254" s="14" t="s">
        <v>189</v>
      </c>
      <c r="M254" s="78" t="s">
        <v>2978</v>
      </c>
      <c r="N254" s="78">
        <v>0</v>
      </c>
      <c r="O254" s="78">
        <v>1</v>
      </c>
      <c r="P254" s="78">
        <v>1</v>
      </c>
      <c r="Q254" s="78">
        <v>1</v>
      </c>
      <c r="R254" s="384">
        <f t="shared" si="13"/>
        <v>50000</v>
      </c>
      <c r="S254" s="384">
        <v>0</v>
      </c>
      <c r="T254" s="384">
        <v>50000</v>
      </c>
      <c r="U254" s="384">
        <v>0</v>
      </c>
      <c r="V254" s="384">
        <v>0</v>
      </c>
      <c r="W254" s="612"/>
    </row>
    <row r="255" spans="1:23" ht="81" customHeight="1">
      <c r="A255" s="592"/>
      <c r="B255" s="839"/>
      <c r="C255" s="549"/>
      <c r="D255" s="626"/>
      <c r="E255" s="809"/>
      <c r="F255" s="809"/>
      <c r="G255" s="809"/>
      <c r="H255" s="809"/>
      <c r="I255" s="809"/>
      <c r="J255" s="14" t="s">
        <v>1107</v>
      </c>
      <c r="K255" s="14" t="s">
        <v>1108</v>
      </c>
      <c r="L255" s="14" t="s">
        <v>189</v>
      </c>
      <c r="M255" s="78" t="s">
        <v>2978</v>
      </c>
      <c r="N255" s="78">
        <v>17</v>
      </c>
      <c r="O255" s="78">
        <v>17</v>
      </c>
      <c r="P255" s="78">
        <v>17</v>
      </c>
      <c r="Q255" s="78">
        <v>17</v>
      </c>
      <c r="R255" s="384">
        <f t="shared" si="13"/>
        <v>2633000</v>
      </c>
      <c r="S255" s="384">
        <f>750000-110000</f>
        <v>640000</v>
      </c>
      <c r="T255" s="384">
        <f>760000-210000</f>
        <v>550000</v>
      </c>
      <c r="U255" s="384">
        <f>828000-160000</f>
        <v>668000</v>
      </c>
      <c r="V255" s="384">
        <f>835000-60000</f>
        <v>775000</v>
      </c>
      <c r="W255" s="612"/>
    </row>
    <row r="256" spans="1:23" ht="81" customHeight="1">
      <c r="A256" s="592"/>
      <c r="B256" s="839"/>
      <c r="C256" s="549"/>
      <c r="D256" s="626"/>
      <c r="E256" s="809"/>
      <c r="F256" s="809"/>
      <c r="G256" s="809"/>
      <c r="H256" s="809"/>
      <c r="I256" s="809"/>
      <c r="J256" s="14" t="s">
        <v>1109</v>
      </c>
      <c r="K256" s="14" t="s">
        <v>1110</v>
      </c>
      <c r="L256" s="14" t="s">
        <v>189</v>
      </c>
      <c r="M256" s="78" t="s">
        <v>2978</v>
      </c>
      <c r="N256" s="78">
        <v>0</v>
      </c>
      <c r="O256" s="78">
        <v>20</v>
      </c>
      <c r="P256" s="78">
        <v>50</v>
      </c>
      <c r="Q256" s="78">
        <v>50</v>
      </c>
      <c r="R256" s="384">
        <f t="shared" si="13"/>
        <v>200000</v>
      </c>
      <c r="S256" s="384">
        <v>0</v>
      </c>
      <c r="T256" s="384">
        <v>100000</v>
      </c>
      <c r="U256" s="384">
        <f>+T256</f>
        <v>100000</v>
      </c>
      <c r="V256" s="384">
        <v>0</v>
      </c>
      <c r="W256" s="612"/>
    </row>
    <row r="257" spans="1:23" ht="81" customHeight="1">
      <c r="A257" s="592" t="s">
        <v>857</v>
      </c>
      <c r="B257" s="839">
        <f>296000/R282*100%</f>
        <v>0.0033126737020320513</v>
      </c>
      <c r="C257" s="90" t="s">
        <v>1112</v>
      </c>
      <c r="D257" s="90" t="s">
        <v>1113</v>
      </c>
      <c r="E257" s="196">
        <v>6</v>
      </c>
      <c r="F257" s="196">
        <v>7</v>
      </c>
      <c r="G257" s="196">
        <v>8</v>
      </c>
      <c r="H257" s="196">
        <v>10</v>
      </c>
      <c r="I257" s="196">
        <v>12</v>
      </c>
      <c r="J257" s="14" t="s">
        <v>1114</v>
      </c>
      <c r="K257" s="14" t="s">
        <v>1115</v>
      </c>
      <c r="L257" s="14" t="s">
        <v>189</v>
      </c>
      <c r="M257" s="78" t="s">
        <v>2978</v>
      </c>
      <c r="N257" s="78">
        <v>1</v>
      </c>
      <c r="O257" s="78">
        <v>1</v>
      </c>
      <c r="P257" s="78">
        <v>1</v>
      </c>
      <c r="Q257" s="78">
        <v>1</v>
      </c>
      <c r="R257" s="384">
        <f aca="true" t="shared" si="14" ref="R257:R262">SUM(S257:V257)</f>
        <v>0</v>
      </c>
      <c r="S257" s="384">
        <v>0</v>
      </c>
      <c r="T257" s="384">
        <v>0</v>
      </c>
      <c r="U257" s="384">
        <v>0</v>
      </c>
      <c r="V257" s="384">
        <v>0</v>
      </c>
      <c r="W257" s="612" t="s">
        <v>847</v>
      </c>
    </row>
    <row r="258" spans="1:23" ht="81" customHeight="1">
      <c r="A258" s="592"/>
      <c r="B258" s="839"/>
      <c r="C258" s="612" t="s">
        <v>1116</v>
      </c>
      <c r="D258" s="549" t="s">
        <v>569</v>
      </c>
      <c r="E258" s="809">
        <v>800</v>
      </c>
      <c r="F258" s="809">
        <v>1300</v>
      </c>
      <c r="G258" s="809">
        <v>1800</v>
      </c>
      <c r="H258" s="809">
        <v>2300</v>
      </c>
      <c r="I258" s="809">
        <v>2800</v>
      </c>
      <c r="J258" s="14" t="s">
        <v>1117</v>
      </c>
      <c r="K258" s="14" t="s">
        <v>1115</v>
      </c>
      <c r="L258" s="14" t="s">
        <v>189</v>
      </c>
      <c r="M258" s="78" t="s">
        <v>2978</v>
      </c>
      <c r="N258" s="78">
        <v>1</v>
      </c>
      <c r="O258" s="78">
        <v>1</v>
      </c>
      <c r="P258" s="78">
        <v>1</v>
      </c>
      <c r="Q258" s="78">
        <v>1</v>
      </c>
      <c r="R258" s="384">
        <f t="shared" si="14"/>
        <v>0</v>
      </c>
      <c r="S258" s="384">
        <v>0</v>
      </c>
      <c r="T258" s="384">
        <v>0</v>
      </c>
      <c r="U258" s="384">
        <v>0</v>
      </c>
      <c r="V258" s="384">
        <v>0</v>
      </c>
      <c r="W258" s="612"/>
    </row>
    <row r="259" spans="1:23" ht="81" customHeight="1">
      <c r="A259" s="592"/>
      <c r="B259" s="839"/>
      <c r="C259" s="612"/>
      <c r="D259" s="549"/>
      <c r="E259" s="809"/>
      <c r="F259" s="809"/>
      <c r="G259" s="809"/>
      <c r="H259" s="809"/>
      <c r="I259" s="809"/>
      <c r="J259" s="14" t="s">
        <v>1118</v>
      </c>
      <c r="K259" s="14" t="s">
        <v>1119</v>
      </c>
      <c r="L259" s="14" t="s">
        <v>189</v>
      </c>
      <c r="M259" s="78" t="s">
        <v>2978</v>
      </c>
      <c r="N259" s="78">
        <v>1</v>
      </c>
      <c r="O259" s="78">
        <v>2</v>
      </c>
      <c r="P259" s="78">
        <v>3</v>
      </c>
      <c r="Q259" s="78">
        <v>4</v>
      </c>
      <c r="R259" s="384">
        <f t="shared" si="14"/>
        <v>96000</v>
      </c>
      <c r="S259" s="384">
        <v>20000</v>
      </c>
      <c r="T259" s="384">
        <f>+S259</f>
        <v>20000</v>
      </c>
      <c r="U259" s="384">
        <f>+T259</f>
        <v>20000</v>
      </c>
      <c r="V259" s="384">
        <v>36000</v>
      </c>
      <c r="W259" s="612"/>
    </row>
    <row r="260" spans="1:23" ht="81" customHeight="1">
      <c r="A260" s="592"/>
      <c r="B260" s="839"/>
      <c r="C260" s="612" t="s">
        <v>1120</v>
      </c>
      <c r="D260" s="549" t="s">
        <v>569</v>
      </c>
      <c r="E260" s="809">
        <v>1500</v>
      </c>
      <c r="F260" s="809">
        <v>2500</v>
      </c>
      <c r="G260" s="809">
        <v>3500</v>
      </c>
      <c r="H260" s="809">
        <v>4500</v>
      </c>
      <c r="I260" s="809">
        <v>5500</v>
      </c>
      <c r="J260" s="14" t="s">
        <v>1114</v>
      </c>
      <c r="K260" s="14" t="s">
        <v>1115</v>
      </c>
      <c r="L260" s="14" t="s">
        <v>189</v>
      </c>
      <c r="M260" s="78" t="s">
        <v>2978</v>
      </c>
      <c r="N260" s="78">
        <v>1</v>
      </c>
      <c r="O260" s="78">
        <v>1</v>
      </c>
      <c r="P260" s="78">
        <v>1</v>
      </c>
      <c r="Q260" s="78">
        <v>1</v>
      </c>
      <c r="R260" s="384">
        <f t="shared" si="14"/>
        <v>0</v>
      </c>
      <c r="S260" s="384">
        <v>0</v>
      </c>
      <c r="T260" s="384">
        <v>0</v>
      </c>
      <c r="U260" s="384">
        <v>0</v>
      </c>
      <c r="V260" s="384">
        <v>0</v>
      </c>
      <c r="W260" s="612"/>
    </row>
    <row r="261" spans="1:23" ht="81" customHeight="1">
      <c r="A261" s="592"/>
      <c r="B261" s="839"/>
      <c r="C261" s="612"/>
      <c r="D261" s="549"/>
      <c r="E261" s="809"/>
      <c r="F261" s="809"/>
      <c r="G261" s="809"/>
      <c r="H261" s="809"/>
      <c r="I261" s="809"/>
      <c r="J261" s="14" t="s">
        <v>1121</v>
      </c>
      <c r="K261" s="14" t="s">
        <v>1122</v>
      </c>
      <c r="L261" s="14" t="s">
        <v>189</v>
      </c>
      <c r="M261" s="78" t="s">
        <v>2978</v>
      </c>
      <c r="N261" s="78">
        <v>1</v>
      </c>
      <c r="O261" s="78">
        <v>1</v>
      </c>
      <c r="P261" s="78">
        <v>1</v>
      </c>
      <c r="Q261" s="78">
        <v>1</v>
      </c>
      <c r="R261" s="384">
        <f t="shared" si="14"/>
        <v>200000</v>
      </c>
      <c r="S261" s="384">
        <v>50000</v>
      </c>
      <c r="T261" s="384">
        <f>+S261</f>
        <v>50000</v>
      </c>
      <c r="U261" s="384">
        <f>+T261</f>
        <v>50000</v>
      </c>
      <c r="V261" s="384">
        <f>+U261</f>
        <v>50000</v>
      </c>
      <c r="W261" s="612"/>
    </row>
    <row r="262" spans="1:23" ht="81" customHeight="1">
      <c r="A262" s="592"/>
      <c r="B262" s="839"/>
      <c r="C262" s="90" t="s">
        <v>865</v>
      </c>
      <c r="D262" s="90" t="s">
        <v>569</v>
      </c>
      <c r="E262" s="196">
        <v>1000</v>
      </c>
      <c r="F262" s="196">
        <v>1250</v>
      </c>
      <c r="G262" s="196">
        <v>1500</v>
      </c>
      <c r="H262" s="196">
        <v>1750</v>
      </c>
      <c r="I262" s="196">
        <v>2000</v>
      </c>
      <c r="J262" s="14" t="s">
        <v>1114</v>
      </c>
      <c r="K262" s="14" t="s">
        <v>1122</v>
      </c>
      <c r="L262" s="14" t="s">
        <v>189</v>
      </c>
      <c r="M262" s="78" t="s">
        <v>2978</v>
      </c>
      <c r="N262" s="78">
        <v>1</v>
      </c>
      <c r="O262" s="78">
        <v>1</v>
      </c>
      <c r="P262" s="78">
        <v>1</v>
      </c>
      <c r="Q262" s="78">
        <v>1</v>
      </c>
      <c r="R262" s="384">
        <f t="shared" si="14"/>
        <v>0</v>
      </c>
      <c r="S262" s="384">
        <v>0</v>
      </c>
      <c r="T262" s="384">
        <v>0</v>
      </c>
      <c r="U262" s="384">
        <v>0</v>
      </c>
      <c r="V262" s="384">
        <v>0</v>
      </c>
      <c r="W262" s="612"/>
    </row>
    <row r="263" spans="1:23" ht="81" customHeight="1">
      <c r="A263" s="592" t="s">
        <v>858</v>
      </c>
      <c r="B263" s="839">
        <f>289000/R282*100%</f>
        <v>0.003234333445565077</v>
      </c>
      <c r="C263" s="549" t="s">
        <v>867</v>
      </c>
      <c r="D263" s="549" t="s">
        <v>1070</v>
      </c>
      <c r="E263" s="816">
        <v>4</v>
      </c>
      <c r="F263" s="816">
        <v>5</v>
      </c>
      <c r="G263" s="816">
        <v>6</v>
      </c>
      <c r="H263" s="816">
        <v>7</v>
      </c>
      <c r="I263" s="816">
        <v>8</v>
      </c>
      <c r="J263" s="14" t="s">
        <v>868</v>
      </c>
      <c r="K263" s="14" t="s">
        <v>869</v>
      </c>
      <c r="L263" s="14" t="s">
        <v>189</v>
      </c>
      <c r="M263" s="78" t="s">
        <v>2978</v>
      </c>
      <c r="N263" s="78">
        <v>1</v>
      </c>
      <c r="O263" s="78">
        <v>1</v>
      </c>
      <c r="P263" s="78">
        <v>1</v>
      </c>
      <c r="Q263" s="78">
        <v>1</v>
      </c>
      <c r="R263" s="384">
        <f>SUM(S263:V263)</f>
        <v>0</v>
      </c>
      <c r="S263" s="384">
        <v>0</v>
      </c>
      <c r="T263" s="384">
        <v>0</v>
      </c>
      <c r="U263" s="384">
        <v>0</v>
      </c>
      <c r="V263" s="384">
        <v>0</v>
      </c>
      <c r="W263" s="612" t="s">
        <v>847</v>
      </c>
    </row>
    <row r="264" spans="1:23" ht="81" customHeight="1">
      <c r="A264" s="592"/>
      <c r="B264" s="839"/>
      <c r="C264" s="549"/>
      <c r="D264" s="549"/>
      <c r="E264" s="816"/>
      <c r="F264" s="816"/>
      <c r="G264" s="816"/>
      <c r="H264" s="816"/>
      <c r="I264" s="816"/>
      <c r="J264" s="14" t="s">
        <v>870</v>
      </c>
      <c r="K264" s="14" t="s">
        <v>1122</v>
      </c>
      <c r="L264" s="14" t="s">
        <v>189</v>
      </c>
      <c r="M264" s="78" t="s">
        <v>2978</v>
      </c>
      <c r="N264" s="78">
        <v>1</v>
      </c>
      <c r="O264" s="78">
        <v>1</v>
      </c>
      <c r="P264" s="78">
        <v>1</v>
      </c>
      <c r="Q264" s="78">
        <v>1</v>
      </c>
      <c r="R264" s="384">
        <f>SUM(S264:V264)</f>
        <v>0</v>
      </c>
      <c r="S264" s="384">
        <v>0</v>
      </c>
      <c r="T264" s="384">
        <v>0</v>
      </c>
      <c r="U264" s="384">
        <v>0</v>
      </c>
      <c r="V264" s="384">
        <v>0</v>
      </c>
      <c r="W264" s="612"/>
    </row>
    <row r="265" spans="1:23" ht="81" customHeight="1">
      <c r="A265" s="592"/>
      <c r="B265" s="839"/>
      <c r="C265" s="549"/>
      <c r="D265" s="549"/>
      <c r="E265" s="816"/>
      <c r="F265" s="816"/>
      <c r="G265" s="816"/>
      <c r="H265" s="816"/>
      <c r="I265" s="816"/>
      <c r="J265" s="14" t="s">
        <v>871</v>
      </c>
      <c r="K265" s="14" t="s">
        <v>872</v>
      </c>
      <c r="L265" s="14" t="s">
        <v>189</v>
      </c>
      <c r="M265" s="78" t="s">
        <v>2978</v>
      </c>
      <c r="N265" s="78">
        <v>2</v>
      </c>
      <c r="O265" s="78">
        <v>2</v>
      </c>
      <c r="P265" s="78">
        <v>2</v>
      </c>
      <c r="Q265" s="78">
        <v>2</v>
      </c>
      <c r="R265" s="384">
        <f>SUM(S265:V265)</f>
        <v>240000</v>
      </c>
      <c r="S265" s="384">
        <v>60000</v>
      </c>
      <c r="T265" s="384">
        <v>50000</v>
      </c>
      <c r="U265" s="384">
        <f>+S265</f>
        <v>60000</v>
      </c>
      <c r="V265" s="384">
        <v>70000</v>
      </c>
      <c r="W265" s="612"/>
    </row>
    <row r="266" spans="1:23" ht="81" customHeight="1">
      <c r="A266" s="592"/>
      <c r="B266" s="839"/>
      <c r="C266" s="549"/>
      <c r="D266" s="549"/>
      <c r="E266" s="816"/>
      <c r="F266" s="816"/>
      <c r="G266" s="816"/>
      <c r="H266" s="816"/>
      <c r="I266" s="816"/>
      <c r="J266" s="14" t="s">
        <v>873</v>
      </c>
      <c r="K266" s="78" t="s">
        <v>874</v>
      </c>
      <c r="L266" s="78" t="s">
        <v>189</v>
      </c>
      <c r="M266" s="78" t="s">
        <v>2978</v>
      </c>
      <c r="N266" s="78">
        <v>1</v>
      </c>
      <c r="O266" s="78">
        <v>1</v>
      </c>
      <c r="P266" s="78">
        <v>1</v>
      </c>
      <c r="Q266" s="78">
        <v>1</v>
      </c>
      <c r="R266" s="384">
        <f>SUM(S266:V266)</f>
        <v>49000</v>
      </c>
      <c r="S266" s="384">
        <v>10000</v>
      </c>
      <c r="T266" s="384">
        <v>15000</v>
      </c>
      <c r="U266" s="384">
        <v>14000</v>
      </c>
      <c r="V266" s="384">
        <f>+S266</f>
        <v>10000</v>
      </c>
      <c r="W266" s="612"/>
    </row>
    <row r="267" spans="1:23" ht="81" customHeight="1">
      <c r="A267" s="592" t="s">
        <v>859</v>
      </c>
      <c r="B267" s="839">
        <f>423000/R282*100%</f>
        <v>0.004733989783647154</v>
      </c>
      <c r="C267" s="90" t="s">
        <v>877</v>
      </c>
      <c r="D267" s="14" t="s">
        <v>878</v>
      </c>
      <c r="E267" s="137">
        <v>5000</v>
      </c>
      <c r="F267" s="137">
        <v>9700</v>
      </c>
      <c r="G267" s="137">
        <v>14400</v>
      </c>
      <c r="H267" s="137">
        <v>19100</v>
      </c>
      <c r="I267" s="137">
        <v>23800</v>
      </c>
      <c r="J267" s="382" t="s">
        <v>877</v>
      </c>
      <c r="K267" s="3" t="s">
        <v>878</v>
      </c>
      <c r="L267" s="3" t="s">
        <v>189</v>
      </c>
      <c r="M267" s="137">
        <v>5000</v>
      </c>
      <c r="N267" s="137">
        <v>9700</v>
      </c>
      <c r="O267" s="137">
        <v>14400</v>
      </c>
      <c r="P267" s="137">
        <v>19100</v>
      </c>
      <c r="Q267" s="137">
        <v>23800</v>
      </c>
      <c r="R267" s="384">
        <f>SUM(S267:V267)</f>
        <v>160000</v>
      </c>
      <c r="S267" s="384">
        <v>40000</v>
      </c>
      <c r="T267" s="384">
        <f aca="true" t="shared" si="15" ref="T267:V268">+S267</f>
        <v>40000</v>
      </c>
      <c r="U267" s="384">
        <f t="shared" si="15"/>
        <v>40000</v>
      </c>
      <c r="V267" s="384">
        <f t="shared" si="15"/>
        <v>40000</v>
      </c>
      <c r="W267" s="626" t="s">
        <v>201</v>
      </c>
    </row>
    <row r="268" spans="1:23" ht="81" customHeight="1">
      <c r="A268" s="592"/>
      <c r="B268" s="839"/>
      <c r="C268" s="90" t="s">
        <v>879</v>
      </c>
      <c r="D268" s="14" t="s">
        <v>2801</v>
      </c>
      <c r="E268" s="128">
        <v>0.35</v>
      </c>
      <c r="F268" s="128">
        <v>0.38</v>
      </c>
      <c r="G268" s="128">
        <v>0.43</v>
      </c>
      <c r="H268" s="128">
        <v>0.46</v>
      </c>
      <c r="I268" s="128">
        <v>0.5</v>
      </c>
      <c r="J268" s="90" t="s">
        <v>879</v>
      </c>
      <c r="K268" s="14" t="s">
        <v>880</v>
      </c>
      <c r="L268" s="14" t="s">
        <v>189</v>
      </c>
      <c r="M268" s="128">
        <v>0.35</v>
      </c>
      <c r="N268" s="128">
        <v>0.38</v>
      </c>
      <c r="O268" s="128">
        <v>0.43</v>
      </c>
      <c r="P268" s="128">
        <v>0.46</v>
      </c>
      <c r="Q268" s="128">
        <v>0.5</v>
      </c>
      <c r="R268" s="384">
        <f aca="true" t="shared" si="16" ref="R268:R280">SUM(S268:V268)</f>
        <v>140000</v>
      </c>
      <c r="S268" s="384">
        <v>35000</v>
      </c>
      <c r="T268" s="384">
        <f t="shared" si="15"/>
        <v>35000</v>
      </c>
      <c r="U268" s="384">
        <f t="shared" si="15"/>
        <v>35000</v>
      </c>
      <c r="V268" s="384">
        <f t="shared" si="15"/>
        <v>35000</v>
      </c>
      <c r="W268" s="626"/>
    </row>
    <row r="269" spans="1:23" ht="81" customHeight="1">
      <c r="A269" s="592"/>
      <c r="B269" s="839"/>
      <c r="C269" s="14" t="s">
        <v>881</v>
      </c>
      <c r="D269" s="14" t="s">
        <v>878</v>
      </c>
      <c r="E269" s="137">
        <v>5000</v>
      </c>
      <c r="F269" s="78">
        <v>6400</v>
      </c>
      <c r="G269" s="78">
        <v>7800</v>
      </c>
      <c r="H269" s="78">
        <v>9200</v>
      </c>
      <c r="I269" s="137">
        <v>10600</v>
      </c>
      <c r="J269" s="3" t="s">
        <v>882</v>
      </c>
      <c r="K269" s="3" t="s">
        <v>883</v>
      </c>
      <c r="L269" s="3" t="s">
        <v>189</v>
      </c>
      <c r="M269" s="78">
        <v>5000</v>
      </c>
      <c r="N269" s="78">
        <v>6400</v>
      </c>
      <c r="O269" s="78">
        <v>7800</v>
      </c>
      <c r="P269" s="78">
        <v>9200</v>
      </c>
      <c r="Q269" s="78">
        <v>10600</v>
      </c>
      <c r="R269" s="384">
        <f t="shared" si="16"/>
        <v>123000</v>
      </c>
      <c r="S269" s="384">
        <v>30000</v>
      </c>
      <c r="T269" s="384">
        <f>+S269</f>
        <v>30000</v>
      </c>
      <c r="U269" s="384">
        <f>+T269</f>
        <v>30000</v>
      </c>
      <c r="V269" s="384">
        <v>33000</v>
      </c>
      <c r="W269" s="626"/>
    </row>
    <row r="270" spans="1:23" ht="81" customHeight="1">
      <c r="A270" s="592" t="s">
        <v>860</v>
      </c>
      <c r="B270" s="839">
        <v>0.0046</v>
      </c>
      <c r="C270" s="90" t="s">
        <v>885</v>
      </c>
      <c r="D270" s="14" t="s">
        <v>886</v>
      </c>
      <c r="E270" s="78">
        <v>0</v>
      </c>
      <c r="F270" s="78">
        <v>250</v>
      </c>
      <c r="G270" s="78">
        <v>500</v>
      </c>
      <c r="H270" s="78">
        <v>750</v>
      </c>
      <c r="I270" s="78">
        <v>1000</v>
      </c>
      <c r="J270" s="90" t="s">
        <v>885</v>
      </c>
      <c r="K270" s="14" t="s">
        <v>886</v>
      </c>
      <c r="L270" s="14" t="s">
        <v>189</v>
      </c>
      <c r="M270" s="78">
        <v>0</v>
      </c>
      <c r="N270" s="78">
        <v>250</v>
      </c>
      <c r="O270" s="78">
        <v>500</v>
      </c>
      <c r="P270" s="78">
        <v>750</v>
      </c>
      <c r="Q270" s="78">
        <v>1000</v>
      </c>
      <c r="R270" s="384">
        <f t="shared" si="16"/>
        <v>80000</v>
      </c>
      <c r="S270" s="384">
        <v>20000</v>
      </c>
      <c r="T270" s="384">
        <f aca="true" t="shared" si="17" ref="T270:V272">+S270</f>
        <v>20000</v>
      </c>
      <c r="U270" s="384">
        <f t="shared" si="17"/>
        <v>20000</v>
      </c>
      <c r="V270" s="384">
        <f t="shared" si="17"/>
        <v>20000</v>
      </c>
      <c r="W270" s="626" t="s">
        <v>201</v>
      </c>
    </row>
    <row r="271" spans="1:23" ht="81" customHeight="1">
      <c r="A271" s="592"/>
      <c r="B271" s="839">
        <f>V271/V273*100%</f>
        <v>0.8620689655172413</v>
      </c>
      <c r="C271" s="90" t="s">
        <v>887</v>
      </c>
      <c r="D271" s="14" t="s">
        <v>888</v>
      </c>
      <c r="E271" s="78">
        <v>0</v>
      </c>
      <c r="F271" s="383">
        <v>250</v>
      </c>
      <c r="G271" s="383">
        <v>500</v>
      </c>
      <c r="H271" s="383">
        <v>750</v>
      </c>
      <c r="I271" s="78">
        <v>2200</v>
      </c>
      <c r="J271" s="90" t="s">
        <v>887</v>
      </c>
      <c r="K271" s="14" t="s">
        <v>888</v>
      </c>
      <c r="L271" s="14" t="s">
        <v>189</v>
      </c>
      <c r="M271" s="78">
        <v>0</v>
      </c>
      <c r="N271" s="78" t="s">
        <v>2802</v>
      </c>
      <c r="O271" s="78">
        <v>1100</v>
      </c>
      <c r="P271" s="78">
        <v>1650</v>
      </c>
      <c r="Q271" s="78">
        <v>2200</v>
      </c>
      <c r="R271" s="384">
        <f t="shared" si="16"/>
        <v>100000</v>
      </c>
      <c r="S271" s="384">
        <v>25000</v>
      </c>
      <c r="T271" s="384">
        <f t="shared" si="17"/>
        <v>25000</v>
      </c>
      <c r="U271" s="384">
        <f t="shared" si="17"/>
        <v>25000</v>
      </c>
      <c r="V271" s="384">
        <f t="shared" si="17"/>
        <v>25000</v>
      </c>
      <c r="W271" s="626"/>
    </row>
    <row r="272" spans="1:23" ht="81" customHeight="1">
      <c r="A272" s="592"/>
      <c r="B272" s="839">
        <f>705/V276*100%</f>
        <v>0.0235</v>
      </c>
      <c r="C272" s="14" t="s">
        <v>889</v>
      </c>
      <c r="D272" s="14" t="s">
        <v>886</v>
      </c>
      <c r="E272" s="78">
        <v>0</v>
      </c>
      <c r="F272" s="78">
        <v>0</v>
      </c>
      <c r="G272" s="78">
        <v>20</v>
      </c>
      <c r="H272" s="78">
        <v>40</v>
      </c>
      <c r="I272" s="78">
        <v>60</v>
      </c>
      <c r="J272" s="14" t="s">
        <v>889</v>
      </c>
      <c r="K272" s="14" t="s">
        <v>886</v>
      </c>
      <c r="L272" s="14" t="s">
        <v>189</v>
      </c>
      <c r="M272" s="78">
        <v>0</v>
      </c>
      <c r="N272" s="78">
        <v>20</v>
      </c>
      <c r="O272" s="78">
        <v>40</v>
      </c>
      <c r="P272" s="78">
        <v>60</v>
      </c>
      <c r="Q272" s="78">
        <v>80</v>
      </c>
      <c r="R272" s="384">
        <f t="shared" si="16"/>
        <v>120000</v>
      </c>
      <c r="S272" s="384">
        <v>30000</v>
      </c>
      <c r="T272" s="384">
        <f t="shared" si="17"/>
        <v>30000</v>
      </c>
      <c r="U272" s="384">
        <f t="shared" si="17"/>
        <v>30000</v>
      </c>
      <c r="V272" s="384">
        <f t="shared" si="17"/>
        <v>30000</v>
      </c>
      <c r="W272" s="626"/>
    </row>
    <row r="273" spans="1:23" ht="81" customHeight="1">
      <c r="A273" s="592"/>
      <c r="B273" s="839">
        <f>V273/V275*100%</f>
        <v>1.16</v>
      </c>
      <c r="C273" s="90" t="s">
        <v>890</v>
      </c>
      <c r="D273" s="14" t="s">
        <v>891</v>
      </c>
      <c r="E273" s="78">
        <v>1</v>
      </c>
      <c r="F273" s="78">
        <v>1</v>
      </c>
      <c r="G273" s="78">
        <v>2</v>
      </c>
      <c r="H273" s="78">
        <v>3</v>
      </c>
      <c r="I273" s="78">
        <v>4</v>
      </c>
      <c r="J273" s="90" t="s">
        <v>890</v>
      </c>
      <c r="K273" s="14" t="s">
        <v>891</v>
      </c>
      <c r="L273" s="14" t="s">
        <v>189</v>
      </c>
      <c r="M273" s="78">
        <v>1</v>
      </c>
      <c r="N273" s="78">
        <v>2</v>
      </c>
      <c r="O273" s="78">
        <v>3</v>
      </c>
      <c r="P273" s="78">
        <v>4</v>
      </c>
      <c r="Q273" s="78">
        <v>5</v>
      </c>
      <c r="R273" s="384">
        <f t="shared" si="16"/>
        <v>119000</v>
      </c>
      <c r="S273" s="384">
        <v>30000</v>
      </c>
      <c r="T273" s="384">
        <f>+S273</f>
        <v>30000</v>
      </c>
      <c r="U273" s="384">
        <f>+T273</f>
        <v>30000</v>
      </c>
      <c r="V273" s="384">
        <v>29000</v>
      </c>
      <c r="W273" s="626"/>
    </row>
    <row r="274" spans="1:23" ht="81" customHeight="1">
      <c r="A274" s="592" t="s">
        <v>861</v>
      </c>
      <c r="B274" s="839">
        <v>0.0046</v>
      </c>
      <c r="C274" s="612" t="s">
        <v>2803</v>
      </c>
      <c r="D274" s="549" t="s">
        <v>894</v>
      </c>
      <c r="E274" s="838">
        <v>46800</v>
      </c>
      <c r="F274" s="838">
        <v>66000</v>
      </c>
      <c r="G274" s="838">
        <v>90000</v>
      </c>
      <c r="H274" s="838">
        <v>123000</v>
      </c>
      <c r="I274" s="838">
        <v>152000</v>
      </c>
      <c r="J274" s="90" t="s">
        <v>896</v>
      </c>
      <c r="K274" s="90" t="s">
        <v>897</v>
      </c>
      <c r="L274" s="90" t="s">
        <v>189</v>
      </c>
      <c r="M274" s="78" t="s">
        <v>2978</v>
      </c>
      <c r="N274" s="78">
        <v>1000</v>
      </c>
      <c r="O274" s="78">
        <v>2000</v>
      </c>
      <c r="P274" s="78">
        <v>3000</v>
      </c>
      <c r="Q274" s="78">
        <v>4000</v>
      </c>
      <c r="R274" s="384">
        <f t="shared" si="16"/>
        <v>80000</v>
      </c>
      <c r="S274" s="384">
        <v>20000</v>
      </c>
      <c r="T274" s="384">
        <f aca="true" t="shared" si="18" ref="T274:V279">+S274</f>
        <v>20000</v>
      </c>
      <c r="U274" s="384">
        <f t="shared" si="18"/>
        <v>20000</v>
      </c>
      <c r="V274" s="384">
        <f t="shared" si="18"/>
        <v>20000</v>
      </c>
      <c r="W274" s="626" t="s">
        <v>201</v>
      </c>
    </row>
    <row r="275" spans="1:23" ht="81" customHeight="1">
      <c r="A275" s="592"/>
      <c r="B275" s="839">
        <f>V275/V277*100%</f>
        <v>0.8620689655172413</v>
      </c>
      <c r="C275" s="612"/>
      <c r="D275" s="549"/>
      <c r="E275" s="838"/>
      <c r="F275" s="838"/>
      <c r="G275" s="838"/>
      <c r="H275" s="838"/>
      <c r="I275" s="838"/>
      <c r="J275" s="90" t="s">
        <v>898</v>
      </c>
      <c r="K275" s="90" t="s">
        <v>1070</v>
      </c>
      <c r="L275" s="90" t="s">
        <v>189</v>
      </c>
      <c r="M275" s="78">
        <v>1</v>
      </c>
      <c r="N275" s="78">
        <v>3</v>
      </c>
      <c r="O275" s="78">
        <v>5</v>
      </c>
      <c r="P275" s="78">
        <v>7</v>
      </c>
      <c r="Q275" s="78">
        <v>8</v>
      </c>
      <c r="R275" s="384">
        <f t="shared" si="16"/>
        <v>100000</v>
      </c>
      <c r="S275" s="384">
        <v>25000</v>
      </c>
      <c r="T275" s="384">
        <f t="shared" si="18"/>
        <v>25000</v>
      </c>
      <c r="U275" s="384">
        <f t="shared" si="18"/>
        <v>25000</v>
      </c>
      <c r="V275" s="384">
        <f t="shared" si="18"/>
        <v>25000</v>
      </c>
      <c r="W275" s="626"/>
    </row>
    <row r="276" spans="1:23" ht="81" customHeight="1">
      <c r="A276" s="592"/>
      <c r="B276" s="839">
        <f>705/V280*100%</f>
        <v>0.004147058823529412</v>
      </c>
      <c r="C276" s="612"/>
      <c r="D276" s="549"/>
      <c r="E276" s="838"/>
      <c r="F276" s="838"/>
      <c r="G276" s="838"/>
      <c r="H276" s="838"/>
      <c r="I276" s="838"/>
      <c r="J276" s="90" t="s">
        <v>2804</v>
      </c>
      <c r="K276" s="90" t="s">
        <v>897</v>
      </c>
      <c r="L276" s="90" t="s">
        <v>189</v>
      </c>
      <c r="M276" s="78">
        <v>46800</v>
      </c>
      <c r="N276" s="78">
        <v>65000</v>
      </c>
      <c r="O276" s="78">
        <v>88000</v>
      </c>
      <c r="P276" s="78">
        <v>120000</v>
      </c>
      <c r="Q276" s="78">
        <v>148000</v>
      </c>
      <c r="R276" s="384">
        <f t="shared" si="16"/>
        <v>120000</v>
      </c>
      <c r="S276" s="384">
        <v>30000</v>
      </c>
      <c r="T276" s="384">
        <f t="shared" si="18"/>
        <v>30000</v>
      </c>
      <c r="U276" s="384">
        <f t="shared" si="18"/>
        <v>30000</v>
      </c>
      <c r="V276" s="384">
        <f t="shared" si="18"/>
        <v>30000</v>
      </c>
      <c r="W276" s="626"/>
    </row>
    <row r="277" spans="1:23" ht="81" customHeight="1">
      <c r="A277" s="592"/>
      <c r="B277" s="839">
        <f>V277/V279*100%</f>
        <v>141.46341463414635</v>
      </c>
      <c r="C277" s="90" t="s">
        <v>1368</v>
      </c>
      <c r="D277" s="14" t="s">
        <v>192</v>
      </c>
      <c r="E277" s="78">
        <v>0</v>
      </c>
      <c r="F277" s="78">
        <v>1</v>
      </c>
      <c r="G277" s="78">
        <v>1</v>
      </c>
      <c r="H277" s="78">
        <v>1</v>
      </c>
      <c r="I277" s="78">
        <v>1</v>
      </c>
      <c r="J277" s="90" t="s">
        <v>1368</v>
      </c>
      <c r="K277" s="14" t="s">
        <v>342</v>
      </c>
      <c r="L277" s="14" t="s">
        <v>189</v>
      </c>
      <c r="M277" s="78">
        <v>1</v>
      </c>
      <c r="N277" s="78">
        <v>1</v>
      </c>
      <c r="O277" s="78">
        <v>1</v>
      </c>
      <c r="P277" s="78">
        <v>1</v>
      </c>
      <c r="Q277" s="78">
        <v>1</v>
      </c>
      <c r="R277" s="384">
        <f t="shared" si="16"/>
        <v>119000</v>
      </c>
      <c r="S277" s="384">
        <v>30000</v>
      </c>
      <c r="T277" s="384">
        <f t="shared" si="18"/>
        <v>30000</v>
      </c>
      <c r="U277" s="384">
        <f t="shared" si="18"/>
        <v>30000</v>
      </c>
      <c r="V277" s="384">
        <v>29000</v>
      </c>
      <c r="W277" s="626"/>
    </row>
    <row r="278" spans="1:23" ht="81" customHeight="1">
      <c r="A278" s="592" t="s">
        <v>862</v>
      </c>
      <c r="B278" s="837">
        <v>3E-05</v>
      </c>
      <c r="C278" s="90" t="s">
        <v>194</v>
      </c>
      <c r="D278" s="14" t="s">
        <v>195</v>
      </c>
      <c r="E278" s="78">
        <v>0</v>
      </c>
      <c r="F278" s="78">
        <v>1</v>
      </c>
      <c r="G278" s="78">
        <v>3</v>
      </c>
      <c r="H278" s="78">
        <v>6</v>
      </c>
      <c r="I278" s="78">
        <v>8</v>
      </c>
      <c r="J278" s="90" t="s">
        <v>194</v>
      </c>
      <c r="K278" s="14" t="s">
        <v>195</v>
      </c>
      <c r="L278" s="14" t="s">
        <v>189</v>
      </c>
      <c r="M278" s="78">
        <v>0</v>
      </c>
      <c r="N278" s="78">
        <v>1</v>
      </c>
      <c r="O278" s="78">
        <v>3</v>
      </c>
      <c r="P278" s="78">
        <v>6</v>
      </c>
      <c r="Q278" s="78">
        <v>8</v>
      </c>
      <c r="R278" s="384">
        <f t="shared" si="16"/>
        <v>2000</v>
      </c>
      <c r="S278" s="384">
        <v>500</v>
      </c>
      <c r="T278" s="384">
        <f t="shared" si="18"/>
        <v>500</v>
      </c>
      <c r="U278" s="384">
        <f t="shared" si="18"/>
        <v>500</v>
      </c>
      <c r="V278" s="384">
        <v>500</v>
      </c>
      <c r="W278" s="626" t="s">
        <v>201</v>
      </c>
    </row>
    <row r="279" spans="1:23" ht="81" customHeight="1">
      <c r="A279" s="592"/>
      <c r="B279" s="837" t="e">
        <f>V279/V281*100%</f>
        <v>#DIV/0!</v>
      </c>
      <c r="C279" s="90" t="s">
        <v>196</v>
      </c>
      <c r="D279" s="14" t="s">
        <v>197</v>
      </c>
      <c r="E279" s="78">
        <v>10</v>
      </c>
      <c r="F279" s="78">
        <v>50</v>
      </c>
      <c r="G279" s="78">
        <v>90</v>
      </c>
      <c r="H279" s="78">
        <v>130</v>
      </c>
      <c r="I279" s="78">
        <v>165</v>
      </c>
      <c r="J279" s="90" t="s">
        <v>196</v>
      </c>
      <c r="K279" s="14" t="s">
        <v>197</v>
      </c>
      <c r="L279" s="14" t="s">
        <v>189</v>
      </c>
      <c r="M279" s="78">
        <v>10</v>
      </c>
      <c r="N279" s="78">
        <v>50</v>
      </c>
      <c r="O279" s="78">
        <v>90</v>
      </c>
      <c r="P279" s="78">
        <v>130</v>
      </c>
      <c r="Q279" s="78">
        <v>165</v>
      </c>
      <c r="R279" s="384">
        <f t="shared" si="16"/>
        <v>805</v>
      </c>
      <c r="S279" s="384">
        <v>200</v>
      </c>
      <c r="T279" s="384">
        <f t="shared" si="18"/>
        <v>200</v>
      </c>
      <c r="U279" s="384">
        <f t="shared" si="18"/>
        <v>200</v>
      </c>
      <c r="V279" s="384">
        <v>205</v>
      </c>
      <c r="W279" s="626"/>
    </row>
    <row r="280" spans="1:25" ht="81" customHeight="1">
      <c r="A280" s="99" t="s">
        <v>863</v>
      </c>
      <c r="B280" s="339">
        <v>0.0046</v>
      </c>
      <c r="C280" s="14" t="s">
        <v>199</v>
      </c>
      <c r="D280" s="14" t="s">
        <v>200</v>
      </c>
      <c r="E280" s="78">
        <v>0</v>
      </c>
      <c r="F280" s="78">
        <v>0</v>
      </c>
      <c r="G280" s="78">
        <v>1</v>
      </c>
      <c r="H280" s="78">
        <v>2</v>
      </c>
      <c r="I280" s="78">
        <v>3</v>
      </c>
      <c r="J280" s="14" t="s">
        <v>199</v>
      </c>
      <c r="K280" s="14" t="s">
        <v>200</v>
      </c>
      <c r="L280" s="14" t="s">
        <v>189</v>
      </c>
      <c r="M280" s="78">
        <v>0</v>
      </c>
      <c r="N280" s="78">
        <v>0</v>
      </c>
      <c r="O280" s="78">
        <v>1</v>
      </c>
      <c r="P280" s="78">
        <v>2</v>
      </c>
      <c r="Q280" s="78">
        <v>3</v>
      </c>
      <c r="R280" s="384">
        <f t="shared" si="16"/>
        <v>421000</v>
      </c>
      <c r="S280" s="384">
        <v>0</v>
      </c>
      <c r="T280" s="384">
        <v>101000</v>
      </c>
      <c r="U280" s="384">
        <v>150000</v>
      </c>
      <c r="V280" s="384">
        <v>170000</v>
      </c>
      <c r="W280" s="78" t="s">
        <v>201</v>
      </c>
      <c r="Y280" s="340"/>
    </row>
    <row r="281" ht="12.75">
      <c r="B281" s="341"/>
    </row>
    <row r="282" spans="1:23" ht="15.75">
      <c r="A282" s="599" t="s">
        <v>237</v>
      </c>
      <c r="B282" s="599"/>
      <c r="C282" s="599"/>
      <c r="D282" s="599"/>
      <c r="E282" s="599"/>
      <c r="F282" s="599"/>
      <c r="G282" s="599"/>
      <c r="H282" s="599"/>
      <c r="I282" s="599"/>
      <c r="J282" s="599"/>
      <c r="K282" s="599"/>
      <c r="L282" s="599"/>
      <c r="M282" s="599"/>
      <c r="N282" s="599"/>
      <c r="O282" s="599"/>
      <c r="P282" s="599"/>
      <c r="Q282" s="599"/>
      <c r="R282" s="354">
        <f>SUM(R8:R280)</f>
        <v>89353805</v>
      </c>
      <c r="S282" s="354">
        <f>SUM(S8:S280)</f>
        <v>16955700</v>
      </c>
      <c r="T282" s="354">
        <f>SUM(T8:T280)</f>
        <v>24665700</v>
      </c>
      <c r="U282" s="354">
        <f>SUM(U8:U280)</f>
        <v>23549700</v>
      </c>
      <c r="V282" s="354">
        <f>SUM(V8:V280)</f>
        <v>24182705</v>
      </c>
      <c r="W282" s="385"/>
    </row>
    <row r="283" spans="18:22" ht="12.75">
      <c r="R283" s="343"/>
      <c r="S283" s="312"/>
      <c r="T283" s="312"/>
      <c r="U283" s="312"/>
      <c r="V283" s="312"/>
    </row>
    <row r="284" ht="12.75">
      <c r="S284" s="311"/>
    </row>
    <row r="286" ht="12.75">
      <c r="S286" s="311"/>
    </row>
  </sheetData>
  <sheetProtection/>
  <mergeCells count="465">
    <mergeCell ref="A8:A16"/>
    <mergeCell ref="B8:B16"/>
    <mergeCell ref="C8:C9"/>
    <mergeCell ref="C15:C16"/>
    <mergeCell ref="A1:W1"/>
    <mergeCell ref="A2:W2"/>
    <mergeCell ref="A3:W3"/>
    <mergeCell ref="A4:W4"/>
    <mergeCell ref="A5:W5"/>
    <mergeCell ref="A6:A7"/>
    <mergeCell ref="B6:B7"/>
    <mergeCell ref="C6:C7"/>
    <mergeCell ref="D6:J6"/>
    <mergeCell ref="K6:Q6"/>
    <mergeCell ref="R6:V6"/>
    <mergeCell ref="W6:W7"/>
    <mergeCell ref="W8:W16"/>
    <mergeCell ref="C12:C13"/>
    <mergeCell ref="D12:D13"/>
    <mergeCell ref="E12:E13"/>
    <mergeCell ref="F12:F13"/>
    <mergeCell ref="G12:G13"/>
    <mergeCell ref="H12:H13"/>
    <mergeCell ref="I12:I13"/>
    <mergeCell ref="D8:D9"/>
    <mergeCell ref="E8:E9"/>
    <mergeCell ref="H8:H9"/>
    <mergeCell ref="I8:I9"/>
    <mergeCell ref="F8:F9"/>
    <mergeCell ref="G8:G9"/>
    <mergeCell ref="D15:D16"/>
    <mergeCell ref="E15:E16"/>
    <mergeCell ref="F15:F16"/>
    <mergeCell ref="G15:G16"/>
    <mergeCell ref="H15:H16"/>
    <mergeCell ref="I15:I16"/>
    <mergeCell ref="A17:A22"/>
    <mergeCell ref="B17:B22"/>
    <mergeCell ref="C17:C22"/>
    <mergeCell ref="D17:D22"/>
    <mergeCell ref="E17:E22"/>
    <mergeCell ref="F17:F22"/>
    <mergeCell ref="G17:G22"/>
    <mergeCell ref="H17:H22"/>
    <mergeCell ref="I17:I22"/>
    <mergeCell ref="W17:W22"/>
    <mergeCell ref="A23:A33"/>
    <mergeCell ref="B23:B33"/>
    <mergeCell ref="C23:C24"/>
    <mergeCell ref="D23:D24"/>
    <mergeCell ref="E23:E24"/>
    <mergeCell ref="F23:F24"/>
    <mergeCell ref="G23:G24"/>
    <mergeCell ref="H23:H24"/>
    <mergeCell ref="I23:I24"/>
    <mergeCell ref="W23:W33"/>
    <mergeCell ref="G26:G27"/>
    <mergeCell ref="H26:H27"/>
    <mergeCell ref="I26:I27"/>
    <mergeCell ref="G29:G31"/>
    <mergeCell ref="H29:H31"/>
    <mergeCell ref="I29:I31"/>
    <mergeCell ref="D29:D31"/>
    <mergeCell ref="E29:E31"/>
    <mergeCell ref="F29:F31"/>
    <mergeCell ref="C26:C27"/>
    <mergeCell ref="D26:D27"/>
    <mergeCell ref="E26:E27"/>
    <mergeCell ref="F26:F27"/>
    <mergeCell ref="C29:C31"/>
    <mergeCell ref="A34:A49"/>
    <mergeCell ref="B34:B49"/>
    <mergeCell ref="C34:C37"/>
    <mergeCell ref="C41:C44"/>
    <mergeCell ref="C38:C40"/>
    <mergeCell ref="C45:C48"/>
    <mergeCell ref="D38:D40"/>
    <mergeCell ref="E38:E40"/>
    <mergeCell ref="F38:F40"/>
    <mergeCell ref="G38:G40"/>
    <mergeCell ref="D41:D44"/>
    <mergeCell ref="E41:E44"/>
    <mergeCell ref="F41:F44"/>
    <mergeCell ref="G41:G44"/>
    <mergeCell ref="D45:D48"/>
    <mergeCell ref="E45:E48"/>
    <mergeCell ref="F45:F48"/>
    <mergeCell ref="G45:G48"/>
    <mergeCell ref="H34:H37"/>
    <mergeCell ref="I34:I37"/>
    <mergeCell ref="I38:I40"/>
    <mergeCell ref="D34:D37"/>
    <mergeCell ref="E34:E37"/>
    <mergeCell ref="F34:F37"/>
    <mergeCell ref="F50:F51"/>
    <mergeCell ref="I41:I44"/>
    <mergeCell ref="W43:W44"/>
    <mergeCell ref="I45:I48"/>
    <mergeCell ref="W34:W42"/>
    <mergeCell ref="G50:G51"/>
    <mergeCell ref="H50:H51"/>
    <mergeCell ref="G34:G37"/>
    <mergeCell ref="H38:H40"/>
    <mergeCell ref="H41:H44"/>
    <mergeCell ref="D52:D53"/>
    <mergeCell ref="I52:I53"/>
    <mergeCell ref="C54:C55"/>
    <mergeCell ref="W45:W48"/>
    <mergeCell ref="E50:E51"/>
    <mergeCell ref="E54:E55"/>
    <mergeCell ref="F54:F55"/>
    <mergeCell ref="I50:I51"/>
    <mergeCell ref="W50:W60"/>
    <mergeCell ref="H45:H48"/>
    <mergeCell ref="E52:E53"/>
    <mergeCell ref="F52:F53"/>
    <mergeCell ref="G52:G53"/>
    <mergeCell ref="H54:H55"/>
    <mergeCell ref="H52:H53"/>
    <mergeCell ref="A50:A60"/>
    <mergeCell ref="B50:B60"/>
    <mergeCell ref="C50:C51"/>
    <mergeCell ref="D50:D51"/>
    <mergeCell ref="C52:C53"/>
    <mergeCell ref="I54:I55"/>
    <mergeCell ref="G54:G55"/>
    <mergeCell ref="C56:C57"/>
    <mergeCell ref="D56:D57"/>
    <mergeCell ref="E56:E57"/>
    <mergeCell ref="F56:F57"/>
    <mergeCell ref="G56:G57"/>
    <mergeCell ref="H56:H57"/>
    <mergeCell ref="I56:I57"/>
    <mergeCell ref="D54:D55"/>
    <mergeCell ref="W61:W69"/>
    <mergeCell ref="C63:C69"/>
    <mergeCell ref="D63:D69"/>
    <mergeCell ref="E63:E69"/>
    <mergeCell ref="F63:F69"/>
    <mergeCell ref="G63:G69"/>
    <mergeCell ref="H63:H69"/>
    <mergeCell ref="I63:I69"/>
    <mergeCell ref="G70:G72"/>
    <mergeCell ref="H70:H72"/>
    <mergeCell ref="I70:I72"/>
    <mergeCell ref="W70:W72"/>
    <mergeCell ref="C70:C72"/>
    <mergeCell ref="D70:D72"/>
    <mergeCell ref="E70:E72"/>
    <mergeCell ref="F70:F72"/>
    <mergeCell ref="C73:C76"/>
    <mergeCell ref="D73:D76"/>
    <mergeCell ref="E73:E76"/>
    <mergeCell ref="F73:F76"/>
    <mergeCell ref="H77:H79"/>
    <mergeCell ref="I77:I79"/>
    <mergeCell ref="G73:G76"/>
    <mergeCell ref="H73:H76"/>
    <mergeCell ref="I73:I76"/>
    <mergeCell ref="W73:W91"/>
    <mergeCell ref="Q86:Q87"/>
    <mergeCell ref="R86:R87"/>
    <mergeCell ref="S86:S87"/>
    <mergeCell ref="T86:T87"/>
    <mergeCell ref="K86:K87"/>
    <mergeCell ref="L86:L87"/>
    <mergeCell ref="M86:M87"/>
    <mergeCell ref="N86:N87"/>
    <mergeCell ref="C77:C79"/>
    <mergeCell ref="G80:G82"/>
    <mergeCell ref="H80:H82"/>
    <mergeCell ref="I80:I82"/>
    <mergeCell ref="D77:D79"/>
    <mergeCell ref="E77:E79"/>
    <mergeCell ref="F77:F79"/>
    <mergeCell ref="G77:G79"/>
    <mergeCell ref="C80:C82"/>
    <mergeCell ref="D80:D82"/>
    <mergeCell ref="E80:E82"/>
    <mergeCell ref="F80:F82"/>
    <mergeCell ref="C86:C87"/>
    <mergeCell ref="J86:J87"/>
    <mergeCell ref="O86:O87"/>
    <mergeCell ref="P86:P87"/>
    <mergeCell ref="W92:W95"/>
    <mergeCell ref="A96:A101"/>
    <mergeCell ref="B96:B101"/>
    <mergeCell ref="W96:W100"/>
    <mergeCell ref="U86:U87"/>
    <mergeCell ref="V86:V87"/>
    <mergeCell ref="A92:A95"/>
    <mergeCell ref="B92:B95"/>
    <mergeCell ref="A61:A91"/>
    <mergeCell ref="B61:B91"/>
    <mergeCell ref="A102:A108"/>
    <mergeCell ref="B102:B108"/>
    <mergeCell ref="W102:W103"/>
    <mergeCell ref="C104:C105"/>
    <mergeCell ref="D104:D105"/>
    <mergeCell ref="E104:E105"/>
    <mergeCell ref="F104:F105"/>
    <mergeCell ref="G104:G105"/>
    <mergeCell ref="H104:H105"/>
    <mergeCell ref="I104:I105"/>
    <mergeCell ref="W104:W105"/>
    <mergeCell ref="A109:A112"/>
    <mergeCell ref="B109:B112"/>
    <mergeCell ref="C109:C110"/>
    <mergeCell ref="D109:D110"/>
    <mergeCell ref="E109:E110"/>
    <mergeCell ref="F109:F110"/>
    <mergeCell ref="G109:G110"/>
    <mergeCell ref="H109:H110"/>
    <mergeCell ref="I109:I110"/>
    <mergeCell ref="W109:W112"/>
    <mergeCell ref="A113:A117"/>
    <mergeCell ref="B113:B117"/>
    <mergeCell ref="C113:C116"/>
    <mergeCell ref="D113:D116"/>
    <mergeCell ref="E113:E116"/>
    <mergeCell ref="F113:F116"/>
    <mergeCell ref="A118:A120"/>
    <mergeCell ref="B118:B120"/>
    <mergeCell ref="W118:W120"/>
    <mergeCell ref="G113:G116"/>
    <mergeCell ref="H113:H116"/>
    <mergeCell ref="I113:I116"/>
    <mergeCell ref="W113:W114"/>
    <mergeCell ref="W116:W117"/>
    <mergeCell ref="W121:W129"/>
    <mergeCell ref="C122:C123"/>
    <mergeCell ref="D122:D123"/>
    <mergeCell ref="E122:E123"/>
    <mergeCell ref="F122:F123"/>
    <mergeCell ref="G122:G123"/>
    <mergeCell ref="H122:H123"/>
    <mergeCell ref="I122:I123"/>
    <mergeCell ref="G124:G125"/>
    <mergeCell ref="H124:H125"/>
    <mergeCell ref="I124:I125"/>
    <mergeCell ref="A143:A154"/>
    <mergeCell ref="B143:B154"/>
    <mergeCell ref="C124:C125"/>
    <mergeCell ref="D124:D125"/>
    <mergeCell ref="E124:E125"/>
    <mergeCell ref="F124:F125"/>
    <mergeCell ref="A121:A129"/>
    <mergeCell ref="B121:B129"/>
    <mergeCell ref="H159:H160"/>
    <mergeCell ref="I159:I160"/>
    <mergeCell ref="W143:W154"/>
    <mergeCell ref="A130:A142"/>
    <mergeCell ref="B130:B142"/>
    <mergeCell ref="W130:W142"/>
    <mergeCell ref="A163:A168"/>
    <mergeCell ref="B163:B168"/>
    <mergeCell ref="A155:A162"/>
    <mergeCell ref="B155:B162"/>
    <mergeCell ref="W155:W162"/>
    <mergeCell ref="C159:C160"/>
    <mergeCell ref="D159:D160"/>
    <mergeCell ref="E159:E160"/>
    <mergeCell ref="F159:F160"/>
    <mergeCell ref="G159:G160"/>
    <mergeCell ref="W163:W168"/>
    <mergeCell ref="C165:C166"/>
    <mergeCell ref="D165:D166"/>
    <mergeCell ref="E165:E166"/>
    <mergeCell ref="F165:F166"/>
    <mergeCell ref="G165:G166"/>
    <mergeCell ref="H165:H166"/>
    <mergeCell ref="I165:I166"/>
    <mergeCell ref="B189:B196"/>
    <mergeCell ref="A178:A188"/>
    <mergeCell ref="B178:B188"/>
    <mergeCell ref="E169:E170"/>
    <mergeCell ref="F169:F170"/>
    <mergeCell ref="G169:G170"/>
    <mergeCell ref="A169:A177"/>
    <mergeCell ref="B169:B177"/>
    <mergeCell ref="C169:C170"/>
    <mergeCell ref="D169:D170"/>
    <mergeCell ref="W199:W201"/>
    <mergeCell ref="A197:A198"/>
    <mergeCell ref="B197:B198"/>
    <mergeCell ref="W197:W198"/>
    <mergeCell ref="W189:W196"/>
    <mergeCell ref="H169:H170"/>
    <mergeCell ref="I169:I170"/>
    <mergeCell ref="W169:W177"/>
    <mergeCell ref="W178:W188"/>
    <mergeCell ref="A189:A196"/>
    <mergeCell ref="D202:D203"/>
    <mergeCell ref="E202:E203"/>
    <mergeCell ref="F202:F203"/>
    <mergeCell ref="E206:E208"/>
    <mergeCell ref="A199:A201"/>
    <mergeCell ref="B199:B201"/>
    <mergeCell ref="G202:G203"/>
    <mergeCell ref="D206:D208"/>
    <mergeCell ref="G206:G208"/>
    <mergeCell ref="A202:A205"/>
    <mergeCell ref="B202:B205"/>
    <mergeCell ref="C202:C203"/>
    <mergeCell ref="A206:A210"/>
    <mergeCell ref="B206:B210"/>
    <mergeCell ref="C206:C208"/>
    <mergeCell ref="F206:F208"/>
    <mergeCell ref="H206:H208"/>
    <mergeCell ref="I206:I208"/>
    <mergeCell ref="W206:W210"/>
    <mergeCell ref="H202:H203"/>
    <mergeCell ref="I202:I203"/>
    <mergeCell ref="W202:W205"/>
    <mergeCell ref="A211:A214"/>
    <mergeCell ref="B211:B214"/>
    <mergeCell ref="W211:W214"/>
    <mergeCell ref="C212:C214"/>
    <mergeCell ref="D212:D214"/>
    <mergeCell ref="E212:E214"/>
    <mergeCell ref="F212:F214"/>
    <mergeCell ref="G212:G214"/>
    <mergeCell ref="H212:H214"/>
    <mergeCell ref="I212:I214"/>
    <mergeCell ref="E215:E217"/>
    <mergeCell ref="F215:F217"/>
    <mergeCell ref="G215:G217"/>
    <mergeCell ref="H215:H217"/>
    <mergeCell ref="A215:A217"/>
    <mergeCell ref="B215:B217"/>
    <mergeCell ref="C215:C217"/>
    <mergeCell ref="D215:D217"/>
    <mergeCell ref="I215:I217"/>
    <mergeCell ref="W215:W217"/>
    <mergeCell ref="A218:A231"/>
    <mergeCell ref="B218:B231"/>
    <mergeCell ref="C218:C222"/>
    <mergeCell ref="D218:D222"/>
    <mergeCell ref="E218:E222"/>
    <mergeCell ref="F218:F222"/>
    <mergeCell ref="G218:G222"/>
    <mergeCell ref="H218:H222"/>
    <mergeCell ref="I218:I222"/>
    <mergeCell ref="W218:W231"/>
    <mergeCell ref="C223:C231"/>
    <mergeCell ref="D223:D231"/>
    <mergeCell ref="E223:E231"/>
    <mergeCell ref="F223:F231"/>
    <mergeCell ref="G223:G231"/>
    <mergeCell ref="H223:H231"/>
    <mergeCell ref="I223:I231"/>
    <mergeCell ref="A232:A236"/>
    <mergeCell ref="B232:B236"/>
    <mergeCell ref="C232:C234"/>
    <mergeCell ref="H232:H234"/>
    <mergeCell ref="D232:D234"/>
    <mergeCell ref="E232:E234"/>
    <mergeCell ref="F232:F234"/>
    <mergeCell ref="G232:G234"/>
    <mergeCell ref="I232:I234"/>
    <mergeCell ref="W232:W236"/>
    <mergeCell ref="C235:C236"/>
    <mergeCell ref="D235:D236"/>
    <mergeCell ref="E235:E236"/>
    <mergeCell ref="F235:F236"/>
    <mergeCell ref="G235:G236"/>
    <mergeCell ref="H235:H236"/>
    <mergeCell ref="I235:I236"/>
    <mergeCell ref="F240:F243"/>
    <mergeCell ref="E240:E243"/>
    <mergeCell ref="G237:G239"/>
    <mergeCell ref="A237:A239"/>
    <mergeCell ref="B237:B239"/>
    <mergeCell ref="C237:C239"/>
    <mergeCell ref="D237:D239"/>
    <mergeCell ref="E237:E239"/>
    <mergeCell ref="F237:F239"/>
    <mergeCell ref="G240:G243"/>
    <mergeCell ref="G244:G247"/>
    <mergeCell ref="I248:I250"/>
    <mergeCell ref="W248:W250"/>
    <mergeCell ref="H244:H247"/>
    <mergeCell ref="I244:I247"/>
    <mergeCell ref="W244:W247"/>
    <mergeCell ref="H248:H250"/>
    <mergeCell ref="A244:A247"/>
    <mergeCell ref="B244:B247"/>
    <mergeCell ref="C244:C247"/>
    <mergeCell ref="D244:D247"/>
    <mergeCell ref="E244:E247"/>
    <mergeCell ref="F244:F247"/>
    <mergeCell ref="H237:H239"/>
    <mergeCell ref="I237:I239"/>
    <mergeCell ref="W237:W239"/>
    <mergeCell ref="A240:A243"/>
    <mergeCell ref="B240:B243"/>
    <mergeCell ref="C240:C243"/>
    <mergeCell ref="D240:D243"/>
    <mergeCell ref="H240:H243"/>
    <mergeCell ref="I240:I243"/>
    <mergeCell ref="W240:W243"/>
    <mergeCell ref="D251:D256"/>
    <mergeCell ref="E251:E256"/>
    <mergeCell ref="F251:F256"/>
    <mergeCell ref="G251:G256"/>
    <mergeCell ref="D248:D250"/>
    <mergeCell ref="E248:E250"/>
    <mergeCell ref="G248:G250"/>
    <mergeCell ref="F248:F250"/>
    <mergeCell ref="A251:A256"/>
    <mergeCell ref="B251:B256"/>
    <mergeCell ref="C251:C256"/>
    <mergeCell ref="A248:A250"/>
    <mergeCell ref="B248:B250"/>
    <mergeCell ref="C248:C250"/>
    <mergeCell ref="A257:A262"/>
    <mergeCell ref="B257:B262"/>
    <mergeCell ref="W257:W262"/>
    <mergeCell ref="C258:C259"/>
    <mergeCell ref="D258:D259"/>
    <mergeCell ref="E258:E259"/>
    <mergeCell ref="G258:G259"/>
    <mergeCell ref="H258:H259"/>
    <mergeCell ref="I258:I259"/>
    <mergeCell ref="C260:C261"/>
    <mergeCell ref="W251:W256"/>
    <mergeCell ref="F263:F266"/>
    <mergeCell ref="F260:F261"/>
    <mergeCell ref="F258:F259"/>
    <mergeCell ref="W263:W266"/>
    <mergeCell ref="G260:G261"/>
    <mergeCell ref="H263:H266"/>
    <mergeCell ref="I263:I266"/>
    <mergeCell ref="H251:H256"/>
    <mergeCell ref="I251:I256"/>
    <mergeCell ref="D260:D261"/>
    <mergeCell ref="E260:E261"/>
    <mergeCell ref="W270:W273"/>
    <mergeCell ref="A267:A269"/>
    <mergeCell ref="B267:B269"/>
    <mergeCell ref="W267:W269"/>
    <mergeCell ref="H260:H261"/>
    <mergeCell ref="I260:I261"/>
    <mergeCell ref="A263:A266"/>
    <mergeCell ref="B263:B266"/>
    <mergeCell ref="C263:C266"/>
    <mergeCell ref="D263:D266"/>
    <mergeCell ref="C274:C276"/>
    <mergeCell ref="A282:Q282"/>
    <mergeCell ref="H274:H276"/>
    <mergeCell ref="I274:I276"/>
    <mergeCell ref="A270:A273"/>
    <mergeCell ref="B270:B273"/>
    <mergeCell ref="E263:E266"/>
    <mergeCell ref="G263:G266"/>
    <mergeCell ref="W274:W277"/>
    <mergeCell ref="A278:A279"/>
    <mergeCell ref="B278:B279"/>
    <mergeCell ref="W278:W279"/>
    <mergeCell ref="D274:D276"/>
    <mergeCell ref="E274:E276"/>
    <mergeCell ref="F274:F276"/>
    <mergeCell ref="G274:G276"/>
    <mergeCell ref="A274:A277"/>
    <mergeCell ref="B274:B277"/>
  </mergeCells>
  <printOptions/>
  <pageMargins left="0.75" right="0.75" top="1" bottom="1" header="0" footer="0"/>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rocio meneses trujillo</dc:creator>
  <cp:keywords/>
  <dc:description/>
  <cp:lastModifiedBy>Mayra Leguizamon</cp:lastModifiedBy>
  <cp:lastPrinted>2012-07-11T15:18:40Z</cp:lastPrinted>
  <dcterms:created xsi:type="dcterms:W3CDTF">2012-07-05T13:43:28Z</dcterms:created>
  <dcterms:modified xsi:type="dcterms:W3CDTF">2013-12-16T21:59:09Z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