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625" firstSheet="12" activeTab="14"/>
  </bookViews>
  <sheets>
    <sheet name="CUADRO 1" sheetId="1" r:id="rId1"/>
    <sheet name="CUADRO 2" sheetId="2" r:id="rId2"/>
    <sheet name="BALANCE FINANCIERO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MATRIZ PLURIANUAL 2012" sheetId="11" r:id="rId11"/>
    <sheet name="MATRIZ PLURIANUAL 2013" sheetId="12" r:id="rId12"/>
    <sheet name="MATRIZ PLURIANUAL 2014" sheetId="13" r:id="rId13"/>
    <sheet name="MATRIZ PLURIANUAL 2015" sheetId="14" r:id="rId14"/>
    <sheet name="TOTALMATRIZ 2012 - 2015" sheetId="15" r:id="rId15"/>
  </sheets>
  <definedNames>
    <definedName name="_xlnm.Print_Titles" localSheetId="2">'BALANCE FINANCIERO'!$1:$3</definedName>
  </definedNames>
  <calcPr fullCalcOnLoad="1"/>
</workbook>
</file>

<file path=xl/sharedStrings.xml><?xml version="1.0" encoding="utf-8"?>
<sst xmlns="http://schemas.openxmlformats.org/spreadsheetml/2006/main" count="750" uniqueCount="338">
  <si>
    <t>EJECUCION DE LOS INGRESOS (MILLONES DE PESOS)</t>
  </si>
  <si>
    <t>CUADRO No. 01</t>
  </si>
  <si>
    <t>CONCEPTO</t>
  </si>
  <si>
    <t>VARIACION PORCENTUAL 2009 - 2010</t>
  </si>
  <si>
    <t>VARIACION PORCENTUAL 2010 - 2011</t>
  </si>
  <si>
    <t>VARIACION PORCENTUAL 2011 - 2012</t>
  </si>
  <si>
    <t>1. INGRESOS CORRIENTES</t>
  </si>
  <si>
    <t>1.1. INGRESOS TRIBUTARIOS</t>
  </si>
  <si>
    <t>1.2. INGRESOS NO TRIBUTARIOS</t>
  </si>
  <si>
    <t>2. TRANSFERENCIAS</t>
  </si>
  <si>
    <t>3. RECURSOS DE CAPITAL</t>
  </si>
  <si>
    <t>CUADRO No. 02</t>
  </si>
  <si>
    <t>EJECUCION DE EGRESOS (MILLONES DE PESOS)</t>
  </si>
  <si>
    <t>TOTAL GASTOS</t>
  </si>
  <si>
    <t>GASTOS DE FUNCIONAMIENTO</t>
  </si>
  <si>
    <t>GASTOS DE PERSONAL</t>
  </si>
  <si>
    <t>GASTOS GENERALES</t>
  </si>
  <si>
    <t>TRANSFERENCIAS CORRIENTES</t>
  </si>
  <si>
    <t>DEUDA</t>
  </si>
  <si>
    <t>INVERSION</t>
  </si>
  <si>
    <t>Fuente: Secretaria de Hacienda Municipal</t>
  </si>
  <si>
    <t>BALANCE FINANCIERO</t>
  </si>
  <si>
    <t>(millones de pesos)</t>
  </si>
  <si>
    <t>CONCEPTOS</t>
  </si>
  <si>
    <t>INGRESOS TOTALES</t>
  </si>
  <si>
    <t>INGRESOS CORRIENTES</t>
  </si>
  <si>
    <t>TRIBUTARIOS</t>
  </si>
  <si>
    <t xml:space="preserve">  Otros Ingresos Tributarios</t>
  </si>
  <si>
    <t>NO TRIBUTARIOS</t>
  </si>
  <si>
    <t xml:space="preserve">             Ingresos de la propiedad (Tasas, multas, arrendamientos y alquileres, contribuciones)</t>
  </si>
  <si>
    <t xml:space="preserve">             Otros no tributarios (operación comercial, fondos especiales, otros)</t>
  </si>
  <si>
    <t xml:space="preserve">       Transferencias</t>
  </si>
  <si>
    <t xml:space="preserve">         Del Nivel Nacional (SGP- Inversión)</t>
  </si>
  <si>
    <t xml:space="preserve">             Otras (Alimentación Escolar, Municipios Ribereños, Otras transferencias del nivel central nacional)</t>
  </si>
  <si>
    <t>GASTOS  TOTALES</t>
  </si>
  <si>
    <t>GASTOS CORRIENTES</t>
  </si>
  <si>
    <t>FUNCIONAMIENTO</t>
  </si>
  <si>
    <t xml:space="preserve">  TRANSFERENCIAS</t>
  </si>
  <si>
    <t xml:space="preserve">        Previsión Social (cesantías y otras prestaciones)</t>
  </si>
  <si>
    <t xml:space="preserve">        A Entidades  Nacionales (Fonpet y otros)</t>
  </si>
  <si>
    <t xml:space="preserve">        A Entidades Departamentales</t>
  </si>
  <si>
    <t xml:space="preserve">        A Entidades Municipales</t>
  </si>
  <si>
    <t xml:space="preserve">        Cuota de auditaje</t>
  </si>
  <si>
    <t xml:space="preserve">         Indemnizaciones por retiros de personal</t>
  </si>
  <si>
    <t xml:space="preserve">        Sentencias y Conciliaciones</t>
  </si>
  <si>
    <t xml:space="preserve">        Otras Transferencias</t>
  </si>
  <si>
    <t xml:space="preserve"> Intereses y Comisiones de Deuda Pública</t>
  </si>
  <si>
    <t xml:space="preserve">           Interna</t>
  </si>
  <si>
    <t xml:space="preserve">           Externa</t>
  </si>
  <si>
    <t>Gastos operativos en sectores sociales (remuneración al trabajo, prestaciones, subsidios en educación, salud y otros sectores de inversión)</t>
  </si>
  <si>
    <t>Déficit de Vigencias anteriores por funcionamiento</t>
  </si>
  <si>
    <t>Amortización de Bonos Pensionales</t>
  </si>
  <si>
    <t>DÉFICIT O AHORRO CORRIENTE</t>
  </si>
  <si>
    <t>INGRESOS DE CAPITAL</t>
  </si>
  <si>
    <t xml:space="preserve">        Cofinanciación (Fondos de Cofinanciación, FNR)</t>
  </si>
  <si>
    <t xml:space="preserve">        Regalías</t>
  </si>
  <si>
    <t xml:space="preserve">        Fondo de Ahorro y Estabilización Petrolera (FAEP)</t>
  </si>
  <si>
    <t xml:space="preserve">         Rendimientos Financieros</t>
  </si>
  <si>
    <t xml:space="preserve">         Excedentes Financieros</t>
  </si>
  <si>
    <t xml:space="preserve">         Recursos del balance  </t>
  </si>
  <si>
    <t xml:space="preserve">         Otros recursos de capital  (donaciones, aprovechamientos y otros)</t>
  </si>
  <si>
    <t>GASTOS DE CAPITAL</t>
  </si>
  <si>
    <t xml:space="preserve">        Formación Bruta de capital (construcción, reparación)</t>
  </si>
  <si>
    <t xml:space="preserve">        Déficit de Vigencias anteriores por inversión</t>
  </si>
  <si>
    <t>DÉFICIT O SUPERÁVIT DE CAPITAL</t>
  </si>
  <si>
    <t>DÉFICIT O SUPERÁVIT TOTAL</t>
  </si>
  <si>
    <t>FINANCIACIÓN</t>
  </si>
  <si>
    <t xml:space="preserve">  Recursos del crédito</t>
  </si>
  <si>
    <t xml:space="preserve">    Interno</t>
  </si>
  <si>
    <t xml:space="preserve">        Desembolsos</t>
  </si>
  <si>
    <t xml:space="preserve">        Amortizaciones</t>
  </si>
  <si>
    <t xml:space="preserve">    Externo</t>
  </si>
  <si>
    <t xml:space="preserve">DÉFICIT O SUPERÁVIT PRIMARIO </t>
  </si>
  <si>
    <t>DÉFICIT O SUPERÁVIT PRIMARIO/INTERESES</t>
  </si>
  <si>
    <t>1/ (Ingresos corrientes + ingresos de capital diferentes de desembolsos, capitalizaciones) - (gastos de funcionamiento + inversión + operación comercial)</t>
  </si>
  <si>
    <t>Fuente: DAF con base en información de la Secretaría de Hacienda Municipal.</t>
  </si>
  <si>
    <t>RESULTADO PRESUPUESTAL</t>
  </si>
  <si>
    <t>GASTOS TOTALES</t>
  </si>
  <si>
    <t>DEFICIT O SUPERAVIT PRESUPUESTAL</t>
  </si>
  <si>
    <t>DÉFICIT O SUPERÁVIT PRIMARIO / INGRESOS CORRIENTES</t>
  </si>
  <si>
    <t>GASTOS CORRIENTES / INGRESOS CORRIENTES</t>
  </si>
  <si>
    <t>DÉFICIT O AHORRO CORRIENTE / INGRESOS CORRIENTES</t>
  </si>
  <si>
    <t>CUENTAS POR PAGAR VIGENCIA ANTERIOR</t>
  </si>
  <si>
    <t>CUENTAS POR PAGAR / INGRESOS CORRIENTES</t>
  </si>
  <si>
    <t>DÉFICIT O SUPERÁVIT TOTAL / INGRESOS CORRIENTES</t>
  </si>
  <si>
    <t>CATEGORIA DEL MUNICIPIO</t>
  </si>
  <si>
    <t>1,- LIMITES DEL GASTO (LEY 617 DE 2000)</t>
  </si>
  <si>
    <t>ICLD</t>
  </si>
  <si>
    <t>GASTOS DE FUNCIONAMIENTO CON ORG. CONTROL</t>
  </si>
  <si>
    <t>GTOS DE FTO CON ORG. CONTROL . / ICLD</t>
  </si>
  <si>
    <t>GASTOS DE FUNCIONAMIENTO SIN ORG. CONTROL</t>
  </si>
  <si>
    <t>GTOS DE FTO SIN ORG. CONTROL . / ICLD</t>
  </si>
  <si>
    <t>LIMITE LEGAL SEGÚN CATEGORÍA</t>
  </si>
  <si>
    <t>2,- CAPACIDAD DE ENDEUDAMIENTO (LEY 358 DE 1997)</t>
  </si>
  <si>
    <t>INGRESOS CORRIENTES LEY 358</t>
  </si>
  <si>
    <t>AHORRO OPERACIONAL</t>
  </si>
  <si>
    <t>SALDO DE LA DEUDA VIGENCIA ANTERIOR</t>
  </si>
  <si>
    <t>DESEMBOLSOS DEUDA CONTRATADA V.A.</t>
  </si>
  <si>
    <t>TOTAL DEUDA SIN NUEVO CREDITO</t>
  </si>
  <si>
    <t>AMORTIZACIONES PAGADAS</t>
  </si>
  <si>
    <t>AMORTIZACIONES POR PAGAR RESTO DE VIGENCIA</t>
  </si>
  <si>
    <t>CREDITO NUEVO</t>
  </si>
  <si>
    <t>AMORTIZACIONES EL NUEVO CREDITO</t>
  </si>
  <si>
    <t>INTERESES PAGADOS Y POR PAGAR DEUDA VIGENTE</t>
  </si>
  <si>
    <t>INTERESES DEL NUEVO CREDITO</t>
  </si>
  <si>
    <t>SALDO DEUDA CON NUEVO CREDITO</t>
  </si>
  <si>
    <t>INTERESES / AHORRO OPERACIONAL</t>
  </si>
  <si>
    <t>SALDO DEUDA / INGRESOS CORRIENTES</t>
  </si>
  <si>
    <t>INDICADORES LEY 358/97 INTERESES / AHORRO O.</t>
  </si>
  <si>
    <t>INDICADORES LEY 358/97 DEUDA / ING. CTES.</t>
  </si>
  <si>
    <t>SEMAFORO</t>
  </si>
  <si>
    <t xml:space="preserve">AHORRO PRIMARIO / INTERESES  </t>
  </si>
  <si>
    <t>AHORRO PRIMARIO / SERVICIO DE LA DEUDA</t>
  </si>
  <si>
    <t>3,- ESTADO DE LA ENTIDAD SEGÚN LEY 819/2003</t>
  </si>
  <si>
    <t xml:space="preserve">    Impuesto Predial Unificado (Incluye Compensación por predial de Resguardos Indigenas)</t>
  </si>
  <si>
    <t xml:space="preserve">    Impuesto de Circulación y Tránsito Servicio Público</t>
  </si>
  <si>
    <t xml:space="preserve">    Impuesto de Industria y Comercio</t>
  </si>
  <si>
    <t xml:space="preserve">    Sobretasa a la Gasolina</t>
  </si>
  <si>
    <t xml:space="preserve">      Transferencias Corrientes (Para Funcionamiento)</t>
  </si>
  <si>
    <t xml:space="preserve">            Sistema General de Participaciones -Educación-</t>
  </si>
  <si>
    <t xml:space="preserve">            Sistema General de Participaciones -Salud-</t>
  </si>
  <si>
    <t xml:space="preserve">            Sistema General de Participaciones Propósito General (Forsoza Inversión)</t>
  </si>
  <si>
    <t xml:space="preserve">        Del Nivel Departamental</t>
  </si>
  <si>
    <t xml:space="preserve">  GASTOS DE PERSONAL</t>
  </si>
  <si>
    <t xml:space="preserve">  GASTOS GENERALES</t>
  </si>
  <si>
    <t xml:space="preserve">          Pensiones (mesadas)</t>
  </si>
  <si>
    <t>Código CGR</t>
  </si>
  <si>
    <t>Balance Financiero Ejecutado Año 2011</t>
  </si>
  <si>
    <t>Composiciones  Anuales</t>
  </si>
  <si>
    <t>Escenario Financiero Año 2009</t>
  </si>
  <si>
    <t>Escenario Financiero Año 2010</t>
  </si>
  <si>
    <t>Escenario Financiero Año 2011</t>
  </si>
  <si>
    <t>Escenario Financiero Año 2012</t>
  </si>
  <si>
    <t>Escenario Financiero Año 2013</t>
  </si>
  <si>
    <t>Escenario Financiero Año 2014</t>
  </si>
  <si>
    <t>Escenario Financiero Año 2015</t>
  </si>
  <si>
    <t>Escenario Financiero Año 2016</t>
  </si>
  <si>
    <t>Escenario Financiero Año 2017</t>
  </si>
  <si>
    <t>Escenario Financiero Año 2018</t>
  </si>
  <si>
    <t>Escenario Financiero Año 2019</t>
  </si>
  <si>
    <t>Escenario Financiero Año 2020</t>
  </si>
  <si>
    <t>Escenario Financiero Año 2021</t>
  </si>
  <si>
    <t>Escenario Financiero Año 2022</t>
  </si>
  <si>
    <t>Escenario Financiero Año 2023</t>
  </si>
  <si>
    <t>1</t>
  </si>
  <si>
    <t>11</t>
  </si>
  <si>
    <t>111</t>
  </si>
  <si>
    <t>1110103</t>
  </si>
  <si>
    <t>307A</t>
  </si>
  <si>
    <t>1110205</t>
  </si>
  <si>
    <t>1110216</t>
  </si>
  <si>
    <t>308A</t>
  </si>
  <si>
    <t>112</t>
  </si>
  <si>
    <t>127A</t>
  </si>
  <si>
    <t>11298</t>
  </si>
  <si>
    <t>11205</t>
  </si>
  <si>
    <t>1120501</t>
  </si>
  <si>
    <t>1120502</t>
  </si>
  <si>
    <t>1120502010101</t>
  </si>
  <si>
    <t>1120502010102</t>
  </si>
  <si>
    <t>1120502010103</t>
  </si>
  <si>
    <t>1120502010198</t>
  </si>
  <si>
    <t>112050202</t>
  </si>
  <si>
    <t>2</t>
  </si>
  <si>
    <t>131A</t>
  </si>
  <si>
    <t>21</t>
  </si>
  <si>
    <t>211</t>
  </si>
  <si>
    <t>212</t>
  </si>
  <si>
    <t>213</t>
  </si>
  <si>
    <t>132A</t>
  </si>
  <si>
    <t>133A</t>
  </si>
  <si>
    <t>312A</t>
  </si>
  <si>
    <t>313A</t>
  </si>
  <si>
    <t>217A</t>
  </si>
  <si>
    <t>314A</t>
  </si>
  <si>
    <t>21305</t>
  </si>
  <si>
    <t>21306</t>
  </si>
  <si>
    <t>21398</t>
  </si>
  <si>
    <t>2320A</t>
  </si>
  <si>
    <t>135A</t>
  </si>
  <si>
    <t>136A</t>
  </si>
  <si>
    <t>137A</t>
  </si>
  <si>
    <t>217</t>
  </si>
  <si>
    <t>300A</t>
  </si>
  <si>
    <t>138A</t>
  </si>
  <si>
    <t>12</t>
  </si>
  <si>
    <t>309A</t>
  </si>
  <si>
    <t>112050207</t>
  </si>
  <si>
    <t>11205020105</t>
  </si>
  <si>
    <t>123</t>
  </si>
  <si>
    <t>125</t>
  </si>
  <si>
    <t>122</t>
  </si>
  <si>
    <t>128</t>
  </si>
  <si>
    <t>139A</t>
  </si>
  <si>
    <t>140A</t>
  </si>
  <si>
    <t>228</t>
  </si>
  <si>
    <t>142A</t>
  </si>
  <si>
    <t>143A</t>
  </si>
  <si>
    <t>144A</t>
  </si>
  <si>
    <t>121</t>
  </si>
  <si>
    <t>12101</t>
  </si>
  <si>
    <t>218A</t>
  </si>
  <si>
    <t>297A</t>
  </si>
  <si>
    <t>12102</t>
  </si>
  <si>
    <t>219A</t>
  </si>
  <si>
    <t>302A</t>
  </si>
  <si>
    <t>145A</t>
  </si>
  <si>
    <t>146A</t>
  </si>
  <si>
    <t>147A</t>
  </si>
  <si>
    <t>148A</t>
  </si>
  <si>
    <t>149A</t>
  </si>
  <si>
    <t>150A</t>
  </si>
  <si>
    <t>RESUMEN DEL ESTADO ACTUAL DEL MUNICIPIO DE:  MUNICIPIO DE CUNDAY</t>
  </si>
  <si>
    <t>OPCIONES DE CATEGORIA</t>
  </si>
  <si>
    <t>AÑO              2011</t>
  </si>
  <si>
    <t>VIGENCIA ACTUAL 2011</t>
  </si>
  <si>
    <t>PROYECCION 2012</t>
  </si>
  <si>
    <t>PROYECCION 2013</t>
  </si>
  <si>
    <t>PROYECCION 2014</t>
  </si>
  <si>
    <t>PROYECCION 2015</t>
  </si>
  <si>
    <t>PROYECCION 2016</t>
  </si>
  <si>
    <t>PROYECCION 2017</t>
  </si>
  <si>
    <t>PROYECCION 2018</t>
  </si>
  <si>
    <t>PROYECCION 2019</t>
  </si>
  <si>
    <t>PROYECCION 2020</t>
  </si>
  <si>
    <t>PROYECCION 2021</t>
  </si>
  <si>
    <t>PROYECCION 2022</t>
  </si>
  <si>
    <t>PROYECCION 2023</t>
  </si>
  <si>
    <t>PROYECCION 2024</t>
  </si>
  <si>
    <t>PROYECCION 2025</t>
  </si>
  <si>
    <t>PROYECCION 2026</t>
  </si>
  <si>
    <t>VERDE</t>
  </si>
  <si>
    <t>OK</t>
  </si>
  <si>
    <t>4,- ESTADO DE LA ENTIDAD CON SERVICIO DEUDA</t>
  </si>
  <si>
    <t>CUADRO No. 03</t>
  </si>
  <si>
    <t>INFLACION ESPERADA EN LAS VIGENCIAS FISCALES</t>
  </si>
  <si>
    <t>AÑOS</t>
  </si>
  <si>
    <t>INFLACION ESPERADA</t>
  </si>
  <si>
    <t>TASA DE CRECIMIENTO REAL - ACTO LEGISLATIVO 04</t>
  </si>
  <si>
    <t>TOTAL % ESTIMADO PARA PROYECCION DEL SGP.</t>
  </si>
  <si>
    <t>PROYECCION DE INGRESOS SGP. - PARA INVERSION (MILLONES DE PESOS)</t>
  </si>
  <si>
    <t>INGRESOS</t>
  </si>
  <si>
    <t>EDUCACION</t>
  </si>
  <si>
    <t>SALUD</t>
  </si>
  <si>
    <t>AGUA POTABLE Y SANEAMIENTO BASICO</t>
  </si>
  <si>
    <t>PROPOSITO GENERAL</t>
  </si>
  <si>
    <t>OTRAS (ALIMENTACION ESCOLAR)</t>
  </si>
  <si>
    <t>TOTAL</t>
  </si>
  <si>
    <t>CUADRO No. 04</t>
  </si>
  <si>
    <t>CUADRO No. 05</t>
  </si>
  <si>
    <t>PROYECCION DE INGRESOS CORRIENTES (MILLONES DE PESOS)</t>
  </si>
  <si>
    <t>CUADRO No. 06</t>
  </si>
  <si>
    <t>ESTRUCTURA DE LOS APORTES DE INVERSION DEL MUNICIPIO (MILLONES DE PESOS)</t>
  </si>
  <si>
    <t>RECURSOS PROPIOS</t>
  </si>
  <si>
    <t>SISTEMA GENERAL DE PARTICIPACIONES</t>
  </si>
  <si>
    <t>FOSYGA</t>
  </si>
  <si>
    <t>TOTAL RECURSOS A INVERTIR</t>
  </si>
  <si>
    <t>%</t>
  </si>
  <si>
    <t>CUADRO No. 07</t>
  </si>
  <si>
    <t>PROYECCION DE EGRESOS CORRIENTES (MILLONES DE PESOS)</t>
  </si>
  <si>
    <t>CUADRO No. 08</t>
  </si>
  <si>
    <t>TOTAL INGRESOS</t>
  </si>
  <si>
    <t>MENOS GASTOS DE FUNCIONAMIENTO</t>
  </si>
  <si>
    <t>MENOS DEUDA</t>
  </si>
  <si>
    <t>MENOS INVERSION</t>
  </si>
  <si>
    <t>INGRESOS MENOS GASTOS</t>
  </si>
  <si>
    <t>PROYECCION GENERAL DE GASTOS  - VS - INVERSION   (MILLONES DE PESOS)</t>
  </si>
  <si>
    <t>CUADRO No. 09</t>
  </si>
  <si>
    <t>CONSOLIDADO FUENTES DE FINANCIACION PLAN DE DESARROLLO (MILLONES DE PESOS)</t>
  </si>
  <si>
    <t>FUENTES DE FINANCIAMIENTO</t>
  </si>
  <si>
    <t>RECURSOS DE COFINANCIACION (S.G.R.)</t>
  </si>
  <si>
    <t>MUNICIPIO DE CUNDAY</t>
  </si>
  <si>
    <t>CODIGO</t>
  </si>
  <si>
    <t>FUENTES DE FINANCIACION</t>
  </si>
  <si>
    <t>TOTAL PRESUPUESTO APROBADO</t>
  </si>
  <si>
    <t>S.G.P.FORSOSA INVERSION</t>
  </si>
  <si>
    <t>S.G.P. LIBRE DESTINACION</t>
  </si>
  <si>
    <t>S.G.P. OTROS SECTORES DE INVERSION</t>
  </si>
  <si>
    <t>OTROS - DESTINACION ESPECIFICA</t>
  </si>
  <si>
    <t>DEPARTAMENTALES</t>
  </si>
  <si>
    <t>03</t>
  </si>
  <si>
    <t xml:space="preserve">TOTAL GASTOS DE FUNCIONAMIENTO ORGANOS DE CONTROL                                </t>
  </si>
  <si>
    <t>04</t>
  </si>
  <si>
    <t>PRESUPUESTO DEL SERVICIO DE LA DEUDA PUBLICA</t>
  </si>
  <si>
    <t>PRESUPUESTO DE GASTOS DE INVERSION APROBADOS</t>
  </si>
  <si>
    <t>0536</t>
  </si>
  <si>
    <t>SECTOR EDUCACION</t>
  </si>
  <si>
    <t xml:space="preserve">0532                  </t>
  </si>
  <si>
    <t xml:space="preserve">SECTOR SALUD - FONDO LOCAL DE SALUD                                                                                                                                                                                          </t>
  </si>
  <si>
    <t>0541</t>
  </si>
  <si>
    <t>SECTOR AGUA POTABLE Y SANEAMIENTO BASICO</t>
  </si>
  <si>
    <t>0546</t>
  </si>
  <si>
    <t>SECTOR RECREACION Y DEPORTE</t>
  </si>
  <si>
    <t>0545</t>
  </si>
  <si>
    <t>SECTOR ARTE Y CULTURA</t>
  </si>
  <si>
    <t>OTROS SECTORES DE INVERSION</t>
  </si>
  <si>
    <t>054701</t>
  </si>
  <si>
    <t>SERVICIOS PUBLICOS (Electrico - Gas - Telefonia)</t>
  </si>
  <si>
    <t>054702</t>
  </si>
  <si>
    <t>SECTOR VIVIENDA</t>
  </si>
  <si>
    <t>054703</t>
  </si>
  <si>
    <t>SECTOR AGROPECUARIO</t>
  </si>
  <si>
    <t>054704</t>
  </si>
  <si>
    <t>SECTOR TRANSPORTE</t>
  </si>
  <si>
    <t>054705</t>
  </si>
  <si>
    <t>SECTOR MEDIO AMBIENTE</t>
  </si>
  <si>
    <t>054706</t>
  </si>
  <si>
    <t>SECTOR CENTROS DE RECLUSION</t>
  </si>
  <si>
    <t>054707</t>
  </si>
  <si>
    <t>SECTOR PREVENCION Y ATENCION DE DESASTRES</t>
  </si>
  <si>
    <t>054708</t>
  </si>
  <si>
    <t>SECTOR PROMOCION DEL DESARROLLO</t>
  </si>
  <si>
    <t>054709</t>
  </si>
  <si>
    <t xml:space="preserve">SECTOR ATENCION A GRUPOS VULNERABLES - PROMOCION SOCIAL. </t>
  </si>
  <si>
    <t>054710</t>
  </si>
  <si>
    <t>SECTOR EQUIPAMENTO MUNICIPAL</t>
  </si>
  <si>
    <t>054711</t>
  </si>
  <si>
    <t>SECTOR DESARROLLO COMUNITARIO.</t>
  </si>
  <si>
    <t>054712</t>
  </si>
  <si>
    <t>SECTOR FORTALECIMIENTO INSTITUCIONAL.</t>
  </si>
  <si>
    <t>054713</t>
  </si>
  <si>
    <t>SECTOR JUSTICIA.</t>
  </si>
  <si>
    <t>GRANDES TOTALES</t>
  </si>
  <si>
    <t>MATRIZ PLURIANUAL DE INVERSIONES</t>
  </si>
  <si>
    <t>MATRIZ PLURIANUAL DE INVERSIONES SECTORIZADA PARA LA VIGENCIA FISCAL DE 2012</t>
  </si>
  <si>
    <t>SECTORES DE INVERSION</t>
  </si>
  <si>
    <t xml:space="preserve">GASTOS DE FUNCIONAMIENTO ALCALDIA                 </t>
  </si>
  <si>
    <t>NACIONALES - S.G.R.</t>
  </si>
  <si>
    <t>PRESUPUESTO DEFINITIVO</t>
  </si>
  <si>
    <t>MATRIZ PLURIANUAL DE INVERSIONES SECTORIZADA PARA LA VIGENCIA FISCAL DE 2013</t>
  </si>
  <si>
    <t>MATRIZ PLURIANUAL DE INVERSIONES SECTORIZADA PARA LA VIGENCIA FISCAL DE 2014</t>
  </si>
  <si>
    <t>MATRIZ PLURIANUAL DE INVERSIONES SECTORIZADA PARA LA VIGENCIA FISCAL DE 2015</t>
  </si>
  <si>
    <t>TOTAL PRESUPUESTOS DEFINITIVOS 2012 - 2015</t>
  </si>
  <si>
    <t>TOTAL MATRIZ PLURIANUAL DE INVERSIONES SECTORIZADA PARA LAS VIGENCIAS FISCALES DEL 2012 AL 2015.</t>
  </si>
  <si>
    <t xml:space="preserve">GASTOS DE FUNCIONAMIENTO ALCALDIA   MUNICIPAL              </t>
  </si>
  <si>
    <t xml:space="preserve">TOTAL GASTOS DE FUNCIONAMIENTO ORGANOS DE CONTROL  - CONCEJO Y PERSONERIA                              </t>
  </si>
  <si>
    <t>GUSTAVO CASTRO CARDENAS</t>
  </si>
  <si>
    <t>Secretario de Hacienda Municipal de Cunday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</si>
</sst>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-* #,##0\ _€_-;\-* #,##0\ _€_-;_-* &quot;-&quot;??\ _€_-;_-@_-"/>
  </numFmts>
  <fonts count="68">
    <font>
      <sz val="8"/>
      <color theme="1"/>
      <name val="Tahoma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164" fontId="59" fillId="0" borderId="14" xfId="46" applyNumberFormat="1" applyFont="1" applyBorder="1" applyAlignment="1">
      <alignment/>
    </xf>
    <xf numFmtId="164" fontId="59" fillId="0" borderId="17" xfId="46" applyNumberFormat="1" applyFont="1" applyBorder="1" applyAlignment="1">
      <alignment/>
    </xf>
    <xf numFmtId="10" fontId="59" fillId="0" borderId="14" xfId="0" applyNumberFormat="1" applyFont="1" applyBorder="1" applyAlignment="1">
      <alignment/>
    </xf>
    <xf numFmtId="10" fontId="59" fillId="0" borderId="17" xfId="0" applyNumberFormat="1" applyFont="1" applyBorder="1" applyAlignment="1">
      <alignment/>
    </xf>
    <xf numFmtId="10" fontId="59" fillId="0" borderId="15" xfId="0" applyNumberFormat="1" applyFont="1" applyBorder="1" applyAlignment="1">
      <alignment/>
    </xf>
    <xf numFmtId="10" fontId="59" fillId="0" borderId="18" xfId="0" applyNumberFormat="1" applyFont="1" applyBorder="1" applyAlignment="1">
      <alignment/>
    </xf>
    <xf numFmtId="0" fontId="59" fillId="0" borderId="19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10" fontId="58" fillId="0" borderId="14" xfId="0" applyNumberFormat="1" applyFont="1" applyBorder="1" applyAlignment="1">
      <alignment/>
    </xf>
    <xf numFmtId="10" fontId="58" fillId="0" borderId="15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10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 wrapText="1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Alignment="1">
      <alignment/>
    </xf>
    <xf numFmtId="4" fontId="61" fillId="0" borderId="14" xfId="0" applyNumberFormat="1" applyFont="1" applyBorder="1" applyAlignment="1">
      <alignment/>
    </xf>
    <xf numFmtId="4" fontId="61" fillId="0" borderId="15" xfId="0" applyNumberFormat="1" applyFont="1" applyBorder="1" applyAlignment="1">
      <alignment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60" fillId="0" borderId="17" xfId="0" applyFont="1" applyBorder="1" applyAlignment="1">
      <alignment wrapText="1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0" borderId="0" xfId="0" applyFont="1" applyAlignment="1">
      <alignment wrapText="1"/>
    </xf>
    <xf numFmtId="4" fontId="60" fillId="0" borderId="14" xfId="0" applyNumberFormat="1" applyFont="1" applyBorder="1" applyAlignment="1">
      <alignment/>
    </xf>
    <xf numFmtId="4" fontId="60" fillId="0" borderId="15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59" fillId="0" borderId="13" xfId="0" applyFont="1" applyBorder="1" applyAlignment="1">
      <alignment horizontal="center"/>
    </xf>
    <xf numFmtId="10" fontId="59" fillId="0" borderId="14" xfId="46" applyNumberFormat="1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6" xfId="0" applyFont="1" applyBorder="1" applyAlignment="1">
      <alignment/>
    </xf>
    <xf numFmtId="164" fontId="58" fillId="0" borderId="17" xfId="46" applyNumberFormat="1" applyFont="1" applyBorder="1" applyAlignment="1">
      <alignment/>
    </xf>
    <xf numFmtId="10" fontId="58" fillId="0" borderId="18" xfId="0" applyNumberFormat="1" applyFont="1" applyBorder="1" applyAlignment="1">
      <alignment/>
    </xf>
    <xf numFmtId="164" fontId="59" fillId="0" borderId="14" xfId="0" applyNumberFormat="1" applyFont="1" applyBorder="1" applyAlignment="1">
      <alignment/>
    </xf>
    <xf numFmtId="0" fontId="62" fillId="0" borderId="13" xfId="0" applyFont="1" applyBorder="1" applyAlignment="1">
      <alignment/>
    </xf>
    <xf numFmtId="0" fontId="0" fillId="0" borderId="0" xfId="0" applyBorder="1" applyAlignment="1">
      <alignment/>
    </xf>
    <xf numFmtId="164" fontId="58" fillId="0" borderId="15" xfId="0" applyNumberFormat="1" applyFont="1" applyBorder="1" applyAlignment="1">
      <alignment/>
    </xf>
    <xf numFmtId="164" fontId="58" fillId="0" borderId="18" xfId="0" applyNumberFormat="1" applyFont="1" applyBorder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13" xfId="0" applyFont="1" applyBorder="1" applyAlignment="1">
      <alignment wrapText="1"/>
    </xf>
    <xf numFmtId="0" fontId="58" fillId="0" borderId="16" xfId="0" applyFont="1" applyBorder="1" applyAlignment="1">
      <alignment wrapText="1"/>
    </xf>
    <xf numFmtId="3" fontId="59" fillId="0" borderId="14" xfId="46" applyNumberFormat="1" applyFont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164" fontId="58" fillId="0" borderId="14" xfId="0" applyNumberFormat="1" applyFont="1" applyBorder="1" applyAlignment="1">
      <alignment/>
    </xf>
    <xf numFmtId="164" fontId="58" fillId="0" borderId="17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Alignment="1">
      <alignment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8" fillId="0" borderId="17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3" fontId="58" fillId="0" borderId="14" xfId="46" applyNumberFormat="1" applyFont="1" applyBorder="1" applyAlignment="1">
      <alignment/>
    </xf>
    <xf numFmtId="3" fontId="58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9" fillId="0" borderId="13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166" fontId="9" fillId="0" borderId="15" xfId="46" applyNumberFormat="1" applyFont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left"/>
    </xf>
    <xf numFmtId="166" fontId="14" fillId="0" borderId="14" xfId="46" applyNumberFormat="1" applyFont="1" applyFill="1" applyBorder="1" applyAlignment="1">
      <alignment/>
    </xf>
    <xf numFmtId="49" fontId="63" fillId="0" borderId="13" xfId="0" applyNumberFormat="1" applyFont="1" applyFill="1" applyBorder="1" applyAlignment="1">
      <alignment/>
    </xf>
    <xf numFmtId="0" fontId="63" fillId="0" borderId="14" xfId="0" applyNumberFormat="1" applyFont="1" applyFill="1" applyBorder="1" applyAlignment="1">
      <alignment wrapText="1"/>
    </xf>
    <xf numFmtId="166" fontId="64" fillId="0" borderId="14" xfId="46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12" fillId="0" borderId="17" xfId="0" applyFont="1" applyBorder="1" applyAlignment="1">
      <alignment horizontal="center" wrapText="1"/>
    </xf>
    <xf numFmtId="164" fontId="12" fillId="0" borderId="17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166" fontId="9" fillId="0" borderId="0" xfId="46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166" fontId="14" fillId="0" borderId="14" xfId="46" applyNumberFormat="1" applyFont="1" applyBorder="1" applyAlignment="1">
      <alignment/>
    </xf>
    <xf numFmtId="165" fontId="14" fillId="0" borderId="14" xfId="46" applyNumberFormat="1" applyFont="1" applyFill="1" applyBorder="1" applyAlignment="1">
      <alignment wrapText="1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67" fillId="0" borderId="0" xfId="0" applyFont="1" applyAlignment="1">
      <alignment/>
    </xf>
    <xf numFmtId="49" fontId="12" fillId="0" borderId="13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166" fontId="22" fillId="0" borderId="14" xfId="46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left" wrapText="1"/>
    </xf>
    <xf numFmtId="0" fontId="12" fillId="0" borderId="14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left"/>
    </xf>
    <xf numFmtId="49" fontId="62" fillId="0" borderId="13" xfId="0" applyNumberFormat="1" applyFont="1" applyFill="1" applyBorder="1" applyAlignment="1">
      <alignment/>
    </xf>
    <xf numFmtId="0" fontId="62" fillId="0" borderId="14" xfId="0" applyNumberFormat="1" applyFont="1" applyFill="1" applyBorder="1" applyAlignment="1">
      <alignment wrapText="1"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 wrapText="1"/>
    </xf>
    <xf numFmtId="0" fontId="67" fillId="0" borderId="14" xfId="0" applyFont="1" applyBorder="1" applyAlignment="1">
      <alignment/>
    </xf>
    <xf numFmtId="0" fontId="67" fillId="0" borderId="16" xfId="0" applyFont="1" applyBorder="1" applyAlignment="1">
      <alignment/>
    </xf>
    <xf numFmtId="164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5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"/>
    </sheetView>
  </sheetViews>
  <sheetFormatPr defaultColWidth="12" defaultRowHeight="10.5"/>
  <cols>
    <col min="1" max="1" width="42.66015625" style="0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19.83203125" style="0" customWidth="1"/>
    <col min="7" max="7" width="19.16015625" style="0" customWidth="1"/>
    <col min="8" max="8" width="18.66015625" style="0" customWidth="1"/>
  </cols>
  <sheetData>
    <row r="1" spans="1:8" ht="15">
      <c r="A1" s="157" t="s">
        <v>1</v>
      </c>
      <c r="B1" s="157"/>
      <c r="C1" s="157"/>
      <c r="D1" s="157"/>
      <c r="E1" s="157"/>
      <c r="F1" s="157"/>
      <c r="G1" s="157"/>
      <c r="H1" s="157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157" t="s">
        <v>0</v>
      </c>
      <c r="B3" s="157"/>
      <c r="C3" s="157"/>
      <c r="D3" s="157"/>
      <c r="E3" s="157"/>
      <c r="F3" s="157"/>
      <c r="G3" s="157"/>
      <c r="H3" s="157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15" thickBot="1">
      <c r="A5" s="3"/>
      <c r="B5" s="3"/>
      <c r="C5" s="3"/>
      <c r="D5" s="3"/>
      <c r="E5" s="3"/>
      <c r="F5" s="3"/>
      <c r="G5" s="3"/>
      <c r="H5" s="3"/>
    </row>
    <row r="6" spans="1:8" s="1" customFormat="1" ht="45">
      <c r="A6" s="4" t="s">
        <v>2</v>
      </c>
      <c r="B6" s="5">
        <v>2009</v>
      </c>
      <c r="C6" s="5">
        <v>2010</v>
      </c>
      <c r="D6" s="5">
        <v>2011</v>
      </c>
      <c r="E6" s="5">
        <v>2012</v>
      </c>
      <c r="F6" s="5" t="s">
        <v>3</v>
      </c>
      <c r="G6" s="5" t="s">
        <v>4</v>
      </c>
      <c r="H6" s="6" t="s">
        <v>5</v>
      </c>
    </row>
    <row r="7" spans="1:8" ht="14.25">
      <c r="A7" s="7"/>
      <c r="B7" s="8"/>
      <c r="C7" s="8"/>
      <c r="D7" s="8"/>
      <c r="E7" s="8"/>
      <c r="F7" s="8"/>
      <c r="G7" s="8"/>
      <c r="H7" s="9"/>
    </row>
    <row r="8" spans="1:8" ht="14.25">
      <c r="A8" s="7" t="s">
        <v>6</v>
      </c>
      <c r="B8" s="11">
        <v>6429104</v>
      </c>
      <c r="C8" s="11">
        <v>6069096</v>
      </c>
      <c r="D8" s="11">
        <v>4978908.12</v>
      </c>
      <c r="E8" s="11">
        <v>5578377.884800001</v>
      </c>
      <c r="F8" s="13">
        <f>C8/B8*100%</f>
        <v>0.9440033945632237</v>
      </c>
      <c r="G8" s="13">
        <f>D8/C8*100%</f>
        <v>0.8203706318041435</v>
      </c>
      <c r="H8" s="15">
        <f>E8/D8*100%</f>
        <v>1.1204018532480975</v>
      </c>
    </row>
    <row r="9" spans="1:8" ht="14.25">
      <c r="A9" s="7" t="s">
        <v>7</v>
      </c>
      <c r="B9" s="11">
        <v>393482</v>
      </c>
      <c r="C9" s="11">
        <v>571262</v>
      </c>
      <c r="D9" s="11">
        <v>602986</v>
      </c>
      <c r="E9" s="11">
        <v>578402.12</v>
      </c>
      <c r="F9" s="13">
        <f>C9/B9*100%</f>
        <v>1.4518122811208645</v>
      </c>
      <c r="G9" s="13">
        <f>D9/C9*100%</f>
        <v>1.05553318792428</v>
      </c>
      <c r="H9" s="15">
        <f>E9/D9*100%</f>
        <v>0.9592297665285762</v>
      </c>
    </row>
    <row r="10" spans="1:8" ht="14.25">
      <c r="A10" s="7" t="s">
        <v>8</v>
      </c>
      <c r="B10" s="11">
        <v>6035622</v>
      </c>
      <c r="C10" s="11">
        <v>5497834</v>
      </c>
      <c r="D10" s="11">
        <v>4375922.12</v>
      </c>
      <c r="E10" s="11">
        <v>4999975.764800001</v>
      </c>
      <c r="F10" s="13">
        <f>C10/B10*100%</f>
        <v>0.9108976672164029</v>
      </c>
      <c r="G10" s="13">
        <f>D10/C10*100%</f>
        <v>0.7959356575698721</v>
      </c>
      <c r="H10" s="15">
        <f>E10/D10*100%</f>
        <v>1.1426107749833538</v>
      </c>
    </row>
    <row r="11" spans="1:8" ht="14.25">
      <c r="A11" s="7" t="s">
        <v>9</v>
      </c>
      <c r="B11" s="11">
        <v>5695176</v>
      </c>
      <c r="C11" s="11">
        <v>4993677</v>
      </c>
      <c r="D11" s="11">
        <v>4283105.12</v>
      </c>
      <c r="E11" s="11">
        <v>4502742.3248000005</v>
      </c>
      <c r="F11" s="13">
        <f>C11/B11*100%</f>
        <v>0.8768257556921858</v>
      </c>
      <c r="G11" s="13">
        <f>D11/C11*100%</f>
        <v>0.8577056786011591</v>
      </c>
      <c r="H11" s="15">
        <f>E11/D11*100%</f>
        <v>1.0512799005969764</v>
      </c>
    </row>
    <row r="12" spans="1:8" ht="15" thickBot="1">
      <c r="A12" s="10" t="s">
        <v>10</v>
      </c>
      <c r="B12" s="12">
        <v>213587</v>
      </c>
      <c r="C12" s="12">
        <v>222130.48</v>
      </c>
      <c r="D12" s="12">
        <v>1727263.9792</v>
      </c>
      <c r="E12" s="12">
        <v>1040256.618368</v>
      </c>
      <c r="F12" s="14">
        <f>C12/B12*100%</f>
        <v>1.04</v>
      </c>
      <c r="G12" s="14">
        <f>D12/C12*100%</f>
        <v>7.775898108174978</v>
      </c>
      <c r="H12" s="16">
        <f>E12/D12*100%</f>
        <v>0.6022568819213179</v>
      </c>
    </row>
    <row r="13" ht="14.25">
      <c r="A13" s="17" t="s">
        <v>20</v>
      </c>
    </row>
    <row r="20" ht="10.5">
      <c r="A20" s="155"/>
    </row>
    <row r="21" ht="10.5">
      <c r="A21" s="25" t="s">
        <v>336</v>
      </c>
    </row>
    <row r="22" ht="10.5">
      <c r="A22" t="s">
        <v>337</v>
      </c>
    </row>
  </sheetData>
  <sheetProtection/>
  <mergeCells count="2">
    <mergeCell ref="A3:H3"/>
    <mergeCell ref="A1:H1"/>
  </mergeCells>
  <printOptions/>
  <pageMargins left="1.26" right="0.7" top="0.75" bottom="0.75" header="0.3" footer="0.3"/>
  <pageSetup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3" sqref="A13"/>
    </sheetView>
  </sheetViews>
  <sheetFormatPr defaultColWidth="12" defaultRowHeight="10.5"/>
  <cols>
    <col min="1" max="1" width="42.66015625" style="24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20.83203125" style="0" customWidth="1"/>
    <col min="7" max="7" width="17.16015625" style="0" customWidth="1"/>
  </cols>
  <sheetData>
    <row r="1" spans="1:7" ht="15">
      <c r="A1" s="157" t="s">
        <v>267</v>
      </c>
      <c r="B1" s="157"/>
      <c r="C1" s="157"/>
      <c r="D1" s="157"/>
      <c r="E1" s="157"/>
      <c r="F1" s="157"/>
      <c r="G1" s="157"/>
    </row>
    <row r="2" spans="1:5" ht="15">
      <c r="A2" s="68"/>
      <c r="B2" s="2"/>
      <c r="C2" s="2"/>
      <c r="D2" s="2"/>
      <c r="E2" s="2"/>
    </row>
    <row r="3" spans="1:7" ht="15">
      <c r="A3" s="157" t="s">
        <v>268</v>
      </c>
      <c r="B3" s="157"/>
      <c r="C3" s="157"/>
      <c r="D3" s="157"/>
      <c r="E3" s="157"/>
      <c r="F3" s="157"/>
      <c r="G3" s="157"/>
    </row>
    <row r="4" spans="1:5" ht="14.25">
      <c r="A4" s="69"/>
      <c r="B4" s="3"/>
      <c r="C4" s="3"/>
      <c r="D4" s="3"/>
      <c r="E4" s="3"/>
    </row>
    <row r="5" spans="1:5" ht="15" thickBot="1">
      <c r="A5" s="69"/>
      <c r="B5" s="3"/>
      <c r="C5" s="3"/>
      <c r="D5" s="3"/>
      <c r="E5" s="3"/>
    </row>
    <row r="6" spans="1:7" s="73" customFormat="1" ht="15">
      <c r="A6" s="4" t="s">
        <v>269</v>
      </c>
      <c r="B6" s="5">
        <v>2012</v>
      </c>
      <c r="C6" s="5">
        <v>2013</v>
      </c>
      <c r="D6" s="5">
        <v>2014</v>
      </c>
      <c r="E6" s="5">
        <v>2015</v>
      </c>
      <c r="F6" s="5" t="s">
        <v>247</v>
      </c>
      <c r="G6" s="6" t="s">
        <v>257</v>
      </c>
    </row>
    <row r="7" spans="1:7" s="65" customFormat="1" ht="14.25">
      <c r="A7" s="70"/>
      <c r="B7" s="8"/>
      <c r="C7" s="8"/>
      <c r="D7" s="8"/>
      <c r="E7" s="8"/>
      <c r="F7" s="26"/>
      <c r="G7" s="27"/>
    </row>
    <row r="8" spans="1:7" s="65" customFormat="1" ht="15">
      <c r="A8" s="70" t="s">
        <v>253</v>
      </c>
      <c r="B8" s="23">
        <f>578402.12+9591</f>
        <v>587993.12</v>
      </c>
      <c r="C8" s="23">
        <v>611513</v>
      </c>
      <c r="D8" s="23">
        <v>635973</v>
      </c>
      <c r="E8" s="23">
        <v>661412</v>
      </c>
      <c r="F8" s="74">
        <f>SUM(B8:E8)</f>
        <v>2496891.12</v>
      </c>
      <c r="G8" s="21">
        <f>F8/F12*100%</f>
        <v>0.10461074715747014</v>
      </c>
    </row>
    <row r="9" spans="1:7" s="65" customFormat="1" ht="29.25">
      <c r="A9" s="70" t="s">
        <v>254</v>
      </c>
      <c r="B9" s="23">
        <v>4502742.3248000005</v>
      </c>
      <c r="C9" s="23">
        <v>4682851.737792</v>
      </c>
      <c r="D9" s="23">
        <v>4870165.80730368</v>
      </c>
      <c r="E9" s="23">
        <v>5064972.439595828</v>
      </c>
      <c r="F9" s="74">
        <f>SUM(B9:E9)</f>
        <v>19120732.309491508</v>
      </c>
      <c r="G9" s="21">
        <f>F9/F12*100%</f>
        <v>0.8010898341029328</v>
      </c>
    </row>
    <row r="10" spans="1:7" s="65" customFormat="1" ht="15">
      <c r="A10" s="70" t="s">
        <v>255</v>
      </c>
      <c r="B10" s="72">
        <v>112191.04000000001</v>
      </c>
      <c r="C10" s="72">
        <v>116678.68160000001</v>
      </c>
      <c r="D10" s="72">
        <v>121345.82886400001</v>
      </c>
      <c r="E10" s="72">
        <v>126199.66201856002</v>
      </c>
      <c r="F10" s="74">
        <f>SUM(B10:E10)</f>
        <v>476415.2124825601</v>
      </c>
      <c r="G10" s="21">
        <f>F10/F12*100%</f>
        <v>0.019960081933803143</v>
      </c>
    </row>
    <row r="11" spans="1:7" s="65" customFormat="1" ht="29.25">
      <c r="A11" s="70" t="s">
        <v>270</v>
      </c>
      <c r="B11" s="72">
        <v>1496248</v>
      </c>
      <c r="C11" s="72">
        <v>278113</v>
      </c>
      <c r="D11" s="72"/>
      <c r="E11" s="72"/>
      <c r="F11" s="74">
        <f>SUM(B11:E11)</f>
        <v>1774361</v>
      </c>
      <c r="G11" s="21">
        <f>F11/F12*100%</f>
        <v>0.07433933680579387</v>
      </c>
    </row>
    <row r="12" spans="1:7" s="65" customFormat="1" ht="15.75" thickBot="1">
      <c r="A12" s="71" t="s">
        <v>256</v>
      </c>
      <c r="B12" s="61">
        <f>SUM(B8:B11)</f>
        <v>6699174.484800001</v>
      </c>
      <c r="C12" s="61">
        <f>SUM(C8:C11)</f>
        <v>5689156.419392</v>
      </c>
      <c r="D12" s="61">
        <f>SUM(D8:D11)</f>
        <v>5627484.63616768</v>
      </c>
      <c r="E12" s="61">
        <f>SUM(E8:E11)</f>
        <v>5852584.101614388</v>
      </c>
      <c r="F12" s="75">
        <f>SUM(B12:E12)</f>
        <v>23868399.64197407</v>
      </c>
      <c r="G12" s="62">
        <f>SUM(G8:G11)</f>
        <v>0.9999999999999999</v>
      </c>
    </row>
    <row r="13" spans="1:2" ht="14.25">
      <c r="A13" s="76" t="s">
        <v>20</v>
      </c>
      <c r="B13" s="77"/>
    </row>
    <row r="20" ht="10.5">
      <c r="A20" s="155"/>
    </row>
    <row r="21" ht="10.5">
      <c r="A21" s="25" t="s">
        <v>336</v>
      </c>
    </row>
    <row r="22" ht="10.5">
      <c r="A22" t="s">
        <v>337</v>
      </c>
    </row>
  </sheetData>
  <sheetProtection/>
  <mergeCells count="2">
    <mergeCell ref="A3:G3"/>
    <mergeCell ref="A1:G1"/>
  </mergeCells>
  <printOptions/>
  <pageMargins left="0.9055118110236221" right="0.7086614173228347" top="1.9291338582677167" bottom="0.7480314960629921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9">
      <selection activeCell="K43" sqref="K43"/>
    </sheetView>
  </sheetViews>
  <sheetFormatPr defaultColWidth="12" defaultRowHeight="10.5"/>
  <cols>
    <col min="1" max="1" width="11.5" style="0" customWidth="1"/>
    <col min="2" max="2" width="48.83203125" style="24" customWidth="1"/>
    <col min="3" max="3" width="17.33203125" style="0" customWidth="1"/>
    <col min="4" max="4" width="16.5" style="0" customWidth="1"/>
    <col min="5" max="5" width="15" style="0" customWidth="1"/>
    <col min="6" max="6" width="15.33203125" style="0" customWidth="1"/>
    <col min="7" max="7" width="13.83203125" style="0" customWidth="1"/>
    <col min="8" max="9" width="14.33203125" style="0" customWidth="1"/>
    <col min="11" max="11" width="15.5" style="0" customWidth="1"/>
    <col min="12" max="12" width="17" style="0" customWidth="1"/>
    <col min="13" max="15" width="12" style="65" customWidth="1"/>
  </cols>
  <sheetData>
    <row r="1" spans="1:12" ht="15.75">
      <c r="A1" s="158" t="s">
        <v>323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.75">
      <c r="A2" s="158" t="s">
        <v>324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15.75">
      <c r="A3" s="158" t="s">
        <v>271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88"/>
    </row>
    <row r="4" ht="13.5" thickBot="1">
      <c r="M4" s="88"/>
    </row>
    <row r="5" spans="1:15" s="127" customFormat="1" ht="45" customHeight="1">
      <c r="A5" s="123" t="s">
        <v>272</v>
      </c>
      <c r="B5" s="124" t="s">
        <v>325</v>
      </c>
      <c r="C5" s="124" t="s">
        <v>328</v>
      </c>
      <c r="D5" s="159" t="s">
        <v>273</v>
      </c>
      <c r="E5" s="159"/>
      <c r="F5" s="159"/>
      <c r="G5" s="159"/>
      <c r="H5" s="159"/>
      <c r="I5" s="159"/>
      <c r="J5" s="159"/>
      <c r="K5" s="159"/>
      <c r="L5" s="125" t="s">
        <v>274</v>
      </c>
      <c r="M5" s="107"/>
      <c r="N5" s="126"/>
      <c r="O5" s="126"/>
    </row>
    <row r="6" spans="1:15" s="25" customFormat="1" ht="48.75" customHeight="1">
      <c r="A6" s="89"/>
      <c r="B6" s="90"/>
      <c r="C6" s="90"/>
      <c r="D6" s="91" t="s">
        <v>275</v>
      </c>
      <c r="E6" s="91" t="s">
        <v>276</v>
      </c>
      <c r="F6" s="91" t="s">
        <v>277</v>
      </c>
      <c r="G6" s="91" t="s">
        <v>244</v>
      </c>
      <c r="H6" s="91" t="s">
        <v>253</v>
      </c>
      <c r="I6" s="91" t="s">
        <v>278</v>
      </c>
      <c r="J6" s="91" t="s">
        <v>279</v>
      </c>
      <c r="K6" s="92" t="s">
        <v>327</v>
      </c>
      <c r="L6" s="93"/>
      <c r="M6" s="94"/>
      <c r="N6" s="95"/>
      <c r="O6" s="95"/>
    </row>
    <row r="7" spans="1:15" ht="11.25">
      <c r="A7" s="89"/>
      <c r="B7" s="90"/>
      <c r="C7" s="90"/>
      <c r="D7" s="91"/>
      <c r="E7" s="91"/>
      <c r="F7" s="91"/>
      <c r="G7" s="91"/>
      <c r="H7" s="91"/>
      <c r="I7" s="91"/>
      <c r="J7" s="91"/>
      <c r="K7" s="92"/>
      <c r="L7" s="93"/>
      <c r="M7" s="94"/>
      <c r="N7" s="95"/>
      <c r="O7" s="95"/>
    </row>
    <row r="8" spans="1:15" ht="12.75">
      <c r="A8" s="96" t="s">
        <v>280</v>
      </c>
      <c r="B8" s="97" t="s">
        <v>326</v>
      </c>
      <c r="C8" s="118">
        <v>665414.3999999999</v>
      </c>
      <c r="D8" s="118">
        <v>0</v>
      </c>
      <c r="E8" s="118">
        <v>400000</v>
      </c>
      <c r="F8" s="118">
        <v>0</v>
      </c>
      <c r="G8" s="118">
        <v>0</v>
      </c>
      <c r="H8" s="118">
        <v>265414.4</v>
      </c>
      <c r="I8" s="118">
        <v>0</v>
      </c>
      <c r="J8" s="118">
        <v>0</v>
      </c>
      <c r="K8" s="118">
        <v>0</v>
      </c>
      <c r="L8" s="98">
        <f>SUM(D8:K8)</f>
        <v>665414.4</v>
      </c>
      <c r="M8" s="120"/>
      <c r="O8" s="95"/>
    </row>
    <row r="9" spans="1:15" ht="25.5">
      <c r="A9" s="96" t="s">
        <v>280</v>
      </c>
      <c r="B9" s="97" t="s">
        <v>281</v>
      </c>
      <c r="C9" s="118">
        <v>187680</v>
      </c>
      <c r="D9" s="118">
        <v>0</v>
      </c>
      <c r="E9" s="118">
        <v>187680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98">
        <f>SUM(D9:K9)</f>
        <v>187680</v>
      </c>
      <c r="M9" s="120"/>
      <c r="O9" s="95"/>
    </row>
    <row r="10" spans="1:15" ht="11.25">
      <c r="A10" s="89"/>
      <c r="B10" s="90"/>
      <c r="C10" s="117"/>
      <c r="D10" s="117"/>
      <c r="E10" s="117"/>
      <c r="F10" s="117"/>
      <c r="G10" s="117"/>
      <c r="H10" s="117"/>
      <c r="I10" s="117"/>
      <c r="J10" s="117"/>
      <c r="K10" s="117"/>
      <c r="L10" s="99"/>
      <c r="M10" s="121"/>
      <c r="O10" s="95"/>
    </row>
    <row r="11" spans="1:15" ht="25.5">
      <c r="A11" s="100" t="s">
        <v>282</v>
      </c>
      <c r="B11" s="101" t="s">
        <v>283</v>
      </c>
      <c r="C11" s="118">
        <v>236000</v>
      </c>
      <c r="D11" s="119">
        <v>0</v>
      </c>
      <c r="E11" s="119">
        <v>0</v>
      </c>
      <c r="F11" s="119">
        <v>236000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98">
        <f>SUM(D11:K11)</f>
        <v>236000</v>
      </c>
      <c r="M11" s="120"/>
      <c r="O11" s="95"/>
    </row>
    <row r="12" spans="1:15" ht="11.25">
      <c r="A12" s="89"/>
      <c r="B12" s="90"/>
      <c r="C12" s="117"/>
      <c r="D12" s="117"/>
      <c r="E12" s="117"/>
      <c r="F12" s="117"/>
      <c r="G12" s="117"/>
      <c r="H12" s="117"/>
      <c r="I12" s="117"/>
      <c r="J12" s="117"/>
      <c r="K12" s="117"/>
      <c r="L12" s="99"/>
      <c r="M12" s="121"/>
      <c r="O12" s="95"/>
    </row>
    <row r="13" spans="1:13" ht="25.5">
      <c r="A13" s="102"/>
      <c r="B13" s="101" t="s">
        <v>284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98">
        <f>SUM(D13:K13)</f>
        <v>0</v>
      </c>
      <c r="M13" s="120"/>
    </row>
    <row r="14" spans="1:13" ht="12.75">
      <c r="A14" s="102" t="s">
        <v>285</v>
      </c>
      <c r="B14" s="101" t="s">
        <v>286</v>
      </c>
      <c r="C14" s="103">
        <f>512073.45+1496248</f>
        <v>2008321.45</v>
      </c>
      <c r="D14" s="103">
        <v>512073.45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1496248</v>
      </c>
      <c r="L14" s="98">
        <f>SUM(D14:K14)</f>
        <v>2008321.45</v>
      </c>
      <c r="M14" s="120"/>
    </row>
    <row r="15" spans="1:13" ht="12.75">
      <c r="A15" s="104" t="s">
        <v>287</v>
      </c>
      <c r="B15" s="105" t="s">
        <v>288</v>
      </c>
      <c r="C15" s="106">
        <f>1977936.45</f>
        <v>1977936.45</v>
      </c>
      <c r="D15" s="106">
        <f>1977936.45-121498</f>
        <v>1856438.45</v>
      </c>
      <c r="E15" s="106">
        <v>121498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98">
        <f>SUM(D15:K15)</f>
        <v>1977936.45</v>
      </c>
      <c r="M15" s="120"/>
    </row>
    <row r="16" spans="1:13" ht="25.5">
      <c r="A16" s="102" t="s">
        <v>289</v>
      </c>
      <c r="B16" s="101" t="s">
        <v>290</v>
      </c>
      <c r="C16" s="103">
        <f>451711+88192</f>
        <v>539903</v>
      </c>
      <c r="D16" s="103">
        <v>0</v>
      </c>
      <c r="E16" s="103">
        <v>0</v>
      </c>
      <c r="F16" s="103">
        <v>0</v>
      </c>
      <c r="G16" s="103">
        <v>539903</v>
      </c>
      <c r="H16" s="103">
        <v>0</v>
      </c>
      <c r="I16" s="103">
        <v>0</v>
      </c>
      <c r="J16" s="103">
        <v>0</v>
      </c>
      <c r="K16" s="103">
        <v>0</v>
      </c>
      <c r="L16" s="98">
        <f>SUM(D16:K16)</f>
        <v>539903</v>
      </c>
      <c r="M16" s="120"/>
    </row>
    <row r="17" spans="1:13" ht="12.75">
      <c r="A17" s="102" t="s">
        <v>291</v>
      </c>
      <c r="B17" s="101" t="s">
        <v>292</v>
      </c>
      <c r="C17" s="103">
        <v>45774.75</v>
      </c>
      <c r="D17" s="103">
        <v>45774.75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98">
        <f>SUM(D17:K17)</f>
        <v>45774.75</v>
      </c>
      <c r="M17" s="120"/>
    </row>
    <row r="18" spans="1:13" ht="12.75">
      <c r="A18" s="102" t="s">
        <v>293</v>
      </c>
      <c r="B18" s="101" t="s">
        <v>294</v>
      </c>
      <c r="C18" s="103">
        <v>34330.8</v>
      </c>
      <c r="D18" s="103">
        <v>34330.8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98">
        <f>SUM(D18:K18)</f>
        <v>34330.8</v>
      </c>
      <c r="M18" s="120"/>
    </row>
    <row r="19" spans="1:13" ht="12.75">
      <c r="A19" s="102"/>
      <c r="B19" s="101" t="s">
        <v>295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98"/>
      <c r="M19" s="120"/>
    </row>
    <row r="20" spans="1:13" ht="25.5">
      <c r="A20" s="102" t="s">
        <v>296</v>
      </c>
      <c r="B20" s="101" t="s">
        <v>297</v>
      </c>
      <c r="C20" s="103">
        <v>18959</v>
      </c>
      <c r="D20" s="103">
        <v>0</v>
      </c>
      <c r="E20" s="103">
        <v>0</v>
      </c>
      <c r="F20" s="103">
        <v>18959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98">
        <f>SUM(D20:K20)</f>
        <v>18959</v>
      </c>
      <c r="M20" s="120"/>
    </row>
    <row r="21" spans="1:13" ht="12.75">
      <c r="A21" s="102" t="s">
        <v>298</v>
      </c>
      <c r="B21" s="101" t="s">
        <v>299</v>
      </c>
      <c r="C21" s="103">
        <v>31240.65</v>
      </c>
      <c r="D21" s="103">
        <v>0</v>
      </c>
      <c r="E21" s="103">
        <v>0</v>
      </c>
      <c r="F21" s="103">
        <v>31240.65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98">
        <f>SUM(D21:K21)</f>
        <v>31240.65</v>
      </c>
      <c r="M21" s="120"/>
    </row>
    <row r="22" spans="1:13" ht="12.75">
      <c r="A22" s="102" t="s">
        <v>300</v>
      </c>
      <c r="B22" s="101" t="s">
        <v>301</v>
      </c>
      <c r="C22" s="103">
        <f>70264+27977</f>
        <v>98241</v>
      </c>
      <c r="D22" s="103">
        <v>0</v>
      </c>
      <c r="E22" s="103">
        <v>0</v>
      </c>
      <c r="F22" s="103">
        <v>70265</v>
      </c>
      <c r="G22" s="103">
        <v>0</v>
      </c>
      <c r="H22" s="103">
        <v>27976</v>
      </c>
      <c r="I22" s="103">
        <v>0</v>
      </c>
      <c r="J22" s="103">
        <v>0</v>
      </c>
      <c r="K22" s="103">
        <v>0</v>
      </c>
      <c r="L22" s="98">
        <f>SUM(D22:K22)</f>
        <v>98241</v>
      </c>
      <c r="M22" s="120"/>
    </row>
    <row r="23" spans="1:13" ht="12.75">
      <c r="A23" s="102" t="s">
        <v>302</v>
      </c>
      <c r="B23" s="101" t="s">
        <v>303</v>
      </c>
      <c r="C23" s="103">
        <f>398507</f>
        <v>398507</v>
      </c>
      <c r="D23" s="103">
        <v>0</v>
      </c>
      <c r="E23" s="103">
        <v>0</v>
      </c>
      <c r="F23" s="103">
        <v>298507</v>
      </c>
      <c r="G23" s="103">
        <v>0</v>
      </c>
      <c r="H23" s="103">
        <v>50000</v>
      </c>
      <c r="I23" s="103">
        <v>50000</v>
      </c>
      <c r="J23" s="103">
        <v>0</v>
      </c>
      <c r="K23" s="103">
        <v>0</v>
      </c>
      <c r="L23" s="98">
        <f>SUM(D23:K23)</f>
        <v>398507</v>
      </c>
      <c r="M23" s="120"/>
    </row>
    <row r="24" spans="1:13" ht="12.75">
      <c r="A24" s="102" t="s">
        <v>304</v>
      </c>
      <c r="B24" s="101" t="s">
        <v>305</v>
      </c>
      <c r="C24" s="103">
        <v>20000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20000</v>
      </c>
      <c r="J24" s="103">
        <v>0</v>
      </c>
      <c r="K24" s="103">
        <v>0</v>
      </c>
      <c r="L24" s="98">
        <f>SUM(D24:K24)</f>
        <v>20000</v>
      </c>
      <c r="M24" s="120"/>
    </row>
    <row r="25" spans="1:13" ht="12.75">
      <c r="A25" s="102" t="s">
        <v>306</v>
      </c>
      <c r="B25" s="101" t="s">
        <v>307</v>
      </c>
      <c r="C25" s="103">
        <v>5000</v>
      </c>
      <c r="D25" s="103">
        <v>0</v>
      </c>
      <c r="E25" s="103">
        <v>0</v>
      </c>
      <c r="F25" s="103">
        <v>5000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98">
        <f>SUM(D25:K25)</f>
        <v>5000</v>
      </c>
      <c r="M25" s="120"/>
    </row>
    <row r="26" spans="1:13" ht="25.5">
      <c r="A26" s="102" t="s">
        <v>308</v>
      </c>
      <c r="B26" s="101" t="s">
        <v>309</v>
      </c>
      <c r="C26" s="103">
        <v>12000</v>
      </c>
      <c r="D26" s="103">
        <v>0</v>
      </c>
      <c r="E26" s="103">
        <v>0</v>
      </c>
      <c r="F26" s="103">
        <v>6000</v>
      </c>
      <c r="G26" s="103">
        <v>0</v>
      </c>
      <c r="H26" s="103">
        <v>6000</v>
      </c>
      <c r="I26" s="103">
        <v>0</v>
      </c>
      <c r="J26" s="103">
        <v>0</v>
      </c>
      <c r="K26" s="103">
        <v>0</v>
      </c>
      <c r="L26" s="98">
        <f>SUM(D26:K26)</f>
        <v>12000</v>
      </c>
      <c r="M26" s="120"/>
    </row>
    <row r="27" spans="1:13" ht="12.75">
      <c r="A27" s="102" t="s">
        <v>310</v>
      </c>
      <c r="B27" s="101" t="s">
        <v>311</v>
      </c>
      <c r="C27" s="103">
        <v>5000</v>
      </c>
      <c r="D27" s="103">
        <v>0</v>
      </c>
      <c r="E27" s="103">
        <v>0</v>
      </c>
      <c r="F27" s="103">
        <v>0</v>
      </c>
      <c r="G27" s="103">
        <v>0</v>
      </c>
      <c r="H27" s="103">
        <v>5000</v>
      </c>
      <c r="I27" s="103">
        <v>0</v>
      </c>
      <c r="J27" s="103">
        <v>0</v>
      </c>
      <c r="K27" s="103">
        <v>0</v>
      </c>
      <c r="L27" s="98">
        <f>SUM(D27:K27)</f>
        <v>5000</v>
      </c>
      <c r="M27" s="120"/>
    </row>
    <row r="28" spans="1:13" ht="25.5">
      <c r="A28" s="102" t="s">
        <v>312</v>
      </c>
      <c r="B28" s="101" t="s">
        <v>313</v>
      </c>
      <c r="C28" s="103">
        <v>118649</v>
      </c>
      <c r="D28" s="103">
        <v>0</v>
      </c>
      <c r="E28" s="103">
        <v>20000</v>
      </c>
      <c r="F28" s="103">
        <v>30000</v>
      </c>
      <c r="G28" s="103">
        <v>0</v>
      </c>
      <c r="H28" s="103">
        <v>38649</v>
      </c>
      <c r="I28" s="103">
        <v>30000</v>
      </c>
      <c r="J28" s="103">
        <v>0</v>
      </c>
      <c r="K28" s="103">
        <v>0</v>
      </c>
      <c r="L28" s="98">
        <f>SUM(D28:K28)</f>
        <v>118649</v>
      </c>
      <c r="M28" s="120"/>
    </row>
    <row r="29" spans="1:13" ht="12.75">
      <c r="A29" s="102" t="s">
        <v>314</v>
      </c>
      <c r="B29" s="101" t="s">
        <v>315</v>
      </c>
      <c r="C29" s="103">
        <v>28608.300000000003</v>
      </c>
      <c r="D29" s="103">
        <v>0</v>
      </c>
      <c r="E29" s="103">
        <v>0</v>
      </c>
      <c r="F29" s="103">
        <v>28608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98">
        <f>SUM(D29:K29)</f>
        <v>28608</v>
      </c>
      <c r="M29" s="120"/>
    </row>
    <row r="30" spans="1:13" ht="12.75">
      <c r="A30" s="102" t="s">
        <v>316</v>
      </c>
      <c r="B30" s="101" t="s">
        <v>317</v>
      </c>
      <c r="C30" s="103">
        <v>5000</v>
      </c>
      <c r="D30" s="103">
        <v>0</v>
      </c>
      <c r="E30" s="103">
        <v>0</v>
      </c>
      <c r="F30" s="103">
        <v>0</v>
      </c>
      <c r="G30" s="103">
        <v>0</v>
      </c>
      <c r="H30" s="103">
        <v>5000</v>
      </c>
      <c r="I30" s="103">
        <v>0</v>
      </c>
      <c r="J30" s="103">
        <v>0</v>
      </c>
      <c r="K30" s="103">
        <v>0</v>
      </c>
      <c r="L30" s="98">
        <f>SUM(D30:K30)</f>
        <v>5000</v>
      </c>
      <c r="M30" s="120"/>
    </row>
    <row r="31" spans="1:13" ht="25.5">
      <c r="A31" s="102" t="s">
        <v>318</v>
      </c>
      <c r="B31" s="101" t="s">
        <v>319</v>
      </c>
      <c r="C31" s="103">
        <v>139499</v>
      </c>
      <c r="D31" s="103">
        <v>0</v>
      </c>
      <c r="E31" s="103">
        <v>20000</v>
      </c>
      <c r="F31" s="103">
        <v>90000</v>
      </c>
      <c r="G31" s="103">
        <v>0</v>
      </c>
      <c r="H31" s="103">
        <v>29499</v>
      </c>
      <c r="I31" s="103">
        <v>0</v>
      </c>
      <c r="J31" s="103">
        <v>0</v>
      </c>
      <c r="K31" s="103">
        <v>0</v>
      </c>
      <c r="L31" s="98">
        <f>SUM(D31:K31)</f>
        <v>139499</v>
      </c>
      <c r="M31" s="120"/>
    </row>
    <row r="32" spans="1:13" ht="12.75">
      <c r="A32" s="102" t="s">
        <v>320</v>
      </c>
      <c r="B32" s="101" t="s">
        <v>321</v>
      </c>
      <c r="C32" s="103">
        <v>42570.6</v>
      </c>
      <c r="D32" s="103">
        <v>0</v>
      </c>
      <c r="E32" s="103">
        <v>0</v>
      </c>
      <c r="F32" s="103">
        <v>42570.6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98">
        <f>SUM(D32:K32)</f>
        <v>42570.6</v>
      </c>
      <c r="M32" s="120"/>
    </row>
    <row r="33" spans="1:13" ht="11.25">
      <c r="A33" s="108"/>
      <c r="B33" s="109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20"/>
    </row>
    <row r="34" spans="1:13" ht="16.5" thickBot="1">
      <c r="A34" s="110"/>
      <c r="B34" s="111" t="s">
        <v>322</v>
      </c>
      <c r="C34" s="112">
        <f>SUM(C8:C32)</f>
        <v>6618635.399999999</v>
      </c>
      <c r="D34" s="112">
        <f aca="true" t="shared" si="0" ref="D34:K34">SUM(D8:D32)</f>
        <v>2448617.4499999997</v>
      </c>
      <c r="E34" s="112">
        <f t="shared" si="0"/>
        <v>749178</v>
      </c>
      <c r="F34" s="112">
        <f t="shared" si="0"/>
        <v>857150.25</v>
      </c>
      <c r="G34" s="112">
        <f t="shared" si="0"/>
        <v>539903</v>
      </c>
      <c r="H34" s="112">
        <f t="shared" si="0"/>
        <v>427538.4</v>
      </c>
      <c r="I34" s="112">
        <f t="shared" si="0"/>
        <v>100000</v>
      </c>
      <c r="J34" s="112">
        <f t="shared" si="0"/>
        <v>0</v>
      </c>
      <c r="K34" s="112">
        <f t="shared" si="0"/>
        <v>1496248</v>
      </c>
      <c r="L34" s="113">
        <f>SUM(L8:L32)</f>
        <v>6618635.1</v>
      </c>
      <c r="M34" s="120"/>
    </row>
    <row r="35" ht="10.5">
      <c r="A35" t="s">
        <v>20</v>
      </c>
    </row>
    <row r="36" spans="2:6" ht="10.5">
      <c r="B36" s="114"/>
      <c r="C36" s="65"/>
      <c r="D36" s="65"/>
      <c r="E36" s="65"/>
      <c r="F36" s="65"/>
    </row>
    <row r="37" spans="2:6" ht="12.75">
      <c r="B37" s="115"/>
      <c r="C37" s="116"/>
      <c r="D37" s="122"/>
      <c r="E37" s="65"/>
      <c r="F37" s="65"/>
    </row>
    <row r="39" ht="10.5">
      <c r="B39" s="155"/>
    </row>
    <row r="40" ht="10.5">
      <c r="B40" s="25" t="s">
        <v>336</v>
      </c>
    </row>
    <row r="41" ht="10.5">
      <c r="B41" t="s">
        <v>337</v>
      </c>
    </row>
  </sheetData>
  <sheetProtection/>
  <mergeCells count="4">
    <mergeCell ref="A1:L1"/>
    <mergeCell ref="A2:L2"/>
    <mergeCell ref="A3:L3"/>
    <mergeCell ref="D5:K5"/>
  </mergeCells>
  <printOptions/>
  <pageMargins left="0.91" right="0.7" top="0.75" bottom="0.75" header="0.3" footer="0.3"/>
  <pageSetup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C1">
      <selection activeCell="N16" sqref="N16"/>
    </sheetView>
  </sheetViews>
  <sheetFormatPr defaultColWidth="12" defaultRowHeight="10.5"/>
  <cols>
    <col min="1" max="1" width="11.5" style="0" customWidth="1"/>
    <col min="2" max="2" width="48.83203125" style="24" customWidth="1"/>
    <col min="3" max="3" width="17.33203125" style="0" customWidth="1"/>
    <col min="4" max="4" width="15.83203125" style="0" customWidth="1"/>
    <col min="5" max="5" width="15" style="0" customWidth="1"/>
    <col min="6" max="6" width="15.33203125" style="0" customWidth="1"/>
    <col min="7" max="7" width="13.83203125" style="0" customWidth="1"/>
    <col min="8" max="9" width="14.33203125" style="0" customWidth="1"/>
    <col min="10" max="10" width="13.16015625" style="0" customWidth="1"/>
    <col min="11" max="11" width="15.5" style="0" customWidth="1"/>
    <col min="12" max="12" width="17" style="0" customWidth="1"/>
    <col min="13" max="15" width="12" style="65" customWidth="1"/>
  </cols>
  <sheetData>
    <row r="1" spans="1:12" ht="15.75">
      <c r="A1" s="158" t="s">
        <v>323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.75">
      <c r="A2" s="158" t="s">
        <v>329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15.75">
      <c r="A3" s="158" t="s">
        <v>271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88"/>
    </row>
    <row r="4" ht="13.5" thickBot="1">
      <c r="M4" s="88"/>
    </row>
    <row r="5" spans="1:15" s="127" customFormat="1" ht="45" customHeight="1">
      <c r="A5" s="123" t="s">
        <v>272</v>
      </c>
      <c r="B5" s="124" t="s">
        <v>325</v>
      </c>
      <c r="C5" s="124" t="s">
        <v>328</v>
      </c>
      <c r="D5" s="159" t="s">
        <v>273</v>
      </c>
      <c r="E5" s="159"/>
      <c r="F5" s="159"/>
      <c r="G5" s="159"/>
      <c r="H5" s="159"/>
      <c r="I5" s="159"/>
      <c r="J5" s="159"/>
      <c r="K5" s="159"/>
      <c r="L5" s="125" t="s">
        <v>274</v>
      </c>
      <c r="M5" s="107"/>
      <c r="N5" s="126"/>
      <c r="O5" s="126"/>
    </row>
    <row r="6" spans="1:15" s="25" customFormat="1" ht="48.75" customHeight="1">
      <c r="A6" s="89"/>
      <c r="B6" s="90"/>
      <c r="C6" s="90"/>
      <c r="D6" s="91" t="s">
        <v>275</v>
      </c>
      <c r="E6" s="91" t="s">
        <v>276</v>
      </c>
      <c r="F6" s="91" t="s">
        <v>277</v>
      </c>
      <c r="G6" s="91" t="s">
        <v>244</v>
      </c>
      <c r="H6" s="91" t="s">
        <v>253</v>
      </c>
      <c r="I6" s="91" t="s">
        <v>278</v>
      </c>
      <c r="J6" s="91" t="s">
        <v>279</v>
      </c>
      <c r="K6" s="92" t="s">
        <v>327</v>
      </c>
      <c r="L6" s="93"/>
      <c r="M6" s="94"/>
      <c r="N6" s="95"/>
      <c r="O6" s="95"/>
    </row>
    <row r="7" spans="1:15" ht="11.25">
      <c r="A7" s="89"/>
      <c r="B7" s="90"/>
      <c r="C7" s="90"/>
      <c r="D7" s="91"/>
      <c r="E7" s="91"/>
      <c r="F7" s="91"/>
      <c r="G7" s="91"/>
      <c r="H7" s="91"/>
      <c r="I7" s="91"/>
      <c r="J7" s="91"/>
      <c r="K7" s="92"/>
      <c r="L7" s="93"/>
      <c r="M7" s="94"/>
      <c r="N7" s="95"/>
      <c r="O7" s="95"/>
    </row>
    <row r="8" spans="1:15" ht="12.75">
      <c r="A8" s="96" t="s">
        <v>280</v>
      </c>
      <c r="B8" s="97" t="s">
        <v>326</v>
      </c>
      <c r="C8" s="118">
        <v>698685.1200000001</v>
      </c>
      <c r="D8" s="118">
        <v>0</v>
      </c>
      <c r="E8" s="118">
        <v>433271</v>
      </c>
      <c r="F8" s="118">
        <v>0</v>
      </c>
      <c r="G8" s="118">
        <v>0</v>
      </c>
      <c r="H8" s="118">
        <v>265414.4</v>
      </c>
      <c r="I8" s="118">
        <v>0</v>
      </c>
      <c r="J8" s="118">
        <v>0</v>
      </c>
      <c r="K8" s="118">
        <v>0</v>
      </c>
      <c r="L8" s="98">
        <f>SUM(D8:K8)</f>
        <v>698685.4</v>
      </c>
      <c r="M8" s="120"/>
      <c r="O8" s="95"/>
    </row>
    <row r="9" spans="1:15" ht="25.5">
      <c r="A9" s="96" t="s">
        <v>280</v>
      </c>
      <c r="B9" s="97" t="s">
        <v>281</v>
      </c>
      <c r="C9" s="118">
        <v>195187.2</v>
      </c>
      <c r="D9" s="118">
        <v>0</v>
      </c>
      <c r="E9" s="118">
        <v>195187.2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98">
        <f>SUM(D9:K9)</f>
        <v>195187.2</v>
      </c>
      <c r="M9" s="120"/>
      <c r="O9" s="95"/>
    </row>
    <row r="10" spans="1:15" ht="11.25">
      <c r="A10" s="89"/>
      <c r="B10" s="90"/>
      <c r="C10" s="117"/>
      <c r="D10" s="117"/>
      <c r="E10" s="117"/>
      <c r="F10" s="117"/>
      <c r="G10" s="117"/>
      <c r="H10" s="117"/>
      <c r="I10" s="117"/>
      <c r="J10" s="117"/>
      <c r="K10" s="117"/>
      <c r="L10" s="99"/>
      <c r="M10" s="121"/>
      <c r="O10" s="95"/>
    </row>
    <row r="11" spans="1:15" ht="25.5">
      <c r="A11" s="100" t="s">
        <v>282</v>
      </c>
      <c r="B11" s="101" t="s">
        <v>283</v>
      </c>
      <c r="C11" s="118">
        <v>247800</v>
      </c>
      <c r="D11" s="119">
        <v>0</v>
      </c>
      <c r="E11" s="119">
        <v>0</v>
      </c>
      <c r="F11" s="119">
        <v>247800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98">
        <f>SUM(D11:K11)</f>
        <v>247800</v>
      </c>
      <c r="M11" s="120"/>
      <c r="O11" s="95"/>
    </row>
    <row r="12" spans="1:15" ht="11.25">
      <c r="A12" s="89"/>
      <c r="B12" s="90"/>
      <c r="C12" s="117"/>
      <c r="D12" s="117"/>
      <c r="E12" s="117"/>
      <c r="F12" s="117"/>
      <c r="G12" s="117"/>
      <c r="H12" s="117"/>
      <c r="I12" s="117"/>
      <c r="J12" s="117"/>
      <c r="K12" s="117"/>
      <c r="L12" s="99"/>
      <c r="M12" s="121"/>
      <c r="O12" s="95"/>
    </row>
    <row r="13" spans="1:13" ht="25.5">
      <c r="A13" s="102"/>
      <c r="B13" s="101" t="s">
        <v>284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98">
        <f>SUM(D13:K13)</f>
        <v>0</v>
      </c>
      <c r="M13" s="120"/>
    </row>
    <row r="14" spans="1:13" ht="12.75">
      <c r="A14" s="102" t="s">
        <v>285</v>
      </c>
      <c r="B14" s="101" t="s">
        <v>286</v>
      </c>
      <c r="C14" s="103">
        <f>537677.1225+55125</f>
        <v>592802.1225</v>
      </c>
      <c r="D14" s="103">
        <v>512073.45</v>
      </c>
      <c r="E14" s="103">
        <v>0</v>
      </c>
      <c r="F14" s="103">
        <v>0</v>
      </c>
      <c r="G14" s="103">
        <v>0</v>
      </c>
      <c r="H14" s="103">
        <v>25604</v>
      </c>
      <c r="I14" s="103">
        <v>55125</v>
      </c>
      <c r="J14" s="103">
        <v>0</v>
      </c>
      <c r="K14" s="103">
        <v>0</v>
      </c>
      <c r="L14" s="98">
        <f>SUM(D14:K14)</f>
        <v>592802.45</v>
      </c>
      <c r="M14" s="120"/>
    </row>
    <row r="15" spans="1:13" ht="12.75">
      <c r="A15" s="104" t="s">
        <v>287</v>
      </c>
      <c r="B15" s="105" t="s">
        <v>288</v>
      </c>
      <c r="C15" s="106">
        <f>2076833.2725+52546</f>
        <v>2129379.2725</v>
      </c>
      <c r="D15" s="106">
        <f>1977936.45-121498</f>
        <v>1856438.45</v>
      </c>
      <c r="E15" s="106">
        <v>121498</v>
      </c>
      <c r="F15" s="106">
        <v>0</v>
      </c>
      <c r="G15" s="106">
        <v>0</v>
      </c>
      <c r="H15" s="106">
        <v>52546</v>
      </c>
      <c r="I15" s="106">
        <v>0</v>
      </c>
      <c r="J15" s="106">
        <v>98897</v>
      </c>
      <c r="K15" s="106">
        <v>0</v>
      </c>
      <c r="L15" s="98">
        <f>SUM(D15:K15)</f>
        <v>2129379.45</v>
      </c>
      <c r="M15" s="120"/>
    </row>
    <row r="16" spans="1:13" ht="25.5">
      <c r="A16" s="102" t="s">
        <v>289</v>
      </c>
      <c r="B16" s="101" t="s">
        <v>290</v>
      </c>
      <c r="C16" s="103">
        <f>570899+97232</f>
        <v>668131</v>
      </c>
      <c r="D16" s="103">
        <v>0</v>
      </c>
      <c r="E16" s="103">
        <v>0</v>
      </c>
      <c r="F16" s="103">
        <v>0</v>
      </c>
      <c r="G16" s="103">
        <v>570899</v>
      </c>
      <c r="H16" s="103">
        <v>0</v>
      </c>
      <c r="I16" s="103">
        <v>0</v>
      </c>
      <c r="J16" s="103">
        <v>97232</v>
      </c>
      <c r="K16" s="103">
        <v>0</v>
      </c>
      <c r="L16" s="98">
        <f>SUM(D16:K16)</f>
        <v>668131</v>
      </c>
      <c r="M16" s="120"/>
    </row>
    <row r="17" spans="1:13" ht="12.75">
      <c r="A17" s="102" t="s">
        <v>291</v>
      </c>
      <c r="B17" s="101" t="s">
        <v>292</v>
      </c>
      <c r="C17" s="103">
        <f>48063.4875+34863</f>
        <v>82926.4875</v>
      </c>
      <c r="D17" s="103">
        <v>48063</v>
      </c>
      <c r="E17" s="103">
        <v>34863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98">
        <f>SUM(D17:K17)</f>
        <v>82926</v>
      </c>
      <c r="M17" s="120"/>
    </row>
    <row r="18" spans="1:13" ht="12.75">
      <c r="A18" s="102" t="s">
        <v>293</v>
      </c>
      <c r="B18" s="101" t="s">
        <v>294</v>
      </c>
      <c r="C18" s="103">
        <f>36047.34+13302</f>
        <v>49349.34</v>
      </c>
      <c r="D18" s="103">
        <v>34330.8</v>
      </c>
      <c r="E18" s="103">
        <v>0</v>
      </c>
      <c r="F18" s="103">
        <v>0</v>
      </c>
      <c r="G18" s="103">
        <v>0</v>
      </c>
      <c r="H18" s="103">
        <v>0</v>
      </c>
      <c r="I18" s="103">
        <v>15019</v>
      </c>
      <c r="J18" s="103">
        <v>0</v>
      </c>
      <c r="K18" s="103">
        <v>0</v>
      </c>
      <c r="L18" s="98">
        <f>SUM(D18:K18)</f>
        <v>49349.8</v>
      </c>
      <c r="M18" s="120"/>
    </row>
    <row r="19" spans="1:13" ht="12.75">
      <c r="A19" s="102"/>
      <c r="B19" s="101" t="s">
        <v>295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98"/>
      <c r="M19" s="120"/>
    </row>
    <row r="20" spans="1:13" ht="25.5">
      <c r="A20" s="102" t="s">
        <v>296</v>
      </c>
      <c r="B20" s="101" t="s">
        <v>297</v>
      </c>
      <c r="C20" s="103">
        <v>18959</v>
      </c>
      <c r="D20" s="103">
        <v>0</v>
      </c>
      <c r="E20" s="103">
        <v>0</v>
      </c>
      <c r="F20" s="103">
        <v>18959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98">
        <f>SUM(D20:K20)</f>
        <v>18959</v>
      </c>
      <c r="M20" s="120"/>
    </row>
    <row r="21" spans="1:13" ht="12.75">
      <c r="A21" s="102" t="s">
        <v>298</v>
      </c>
      <c r="B21" s="101" t="s">
        <v>299</v>
      </c>
      <c r="C21" s="103">
        <v>32802.6825</v>
      </c>
      <c r="D21" s="103">
        <v>0</v>
      </c>
      <c r="E21" s="103">
        <v>0</v>
      </c>
      <c r="F21" s="103">
        <v>32803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98">
        <f>SUM(D21:K21)</f>
        <v>32803</v>
      </c>
      <c r="M21" s="120"/>
    </row>
    <row r="22" spans="1:13" ht="12.75">
      <c r="A22" s="102" t="s">
        <v>300</v>
      </c>
      <c r="B22" s="101" t="s">
        <v>301</v>
      </c>
      <c r="C22" s="103">
        <f>70264+47977</f>
        <v>118241</v>
      </c>
      <c r="D22" s="103">
        <v>0</v>
      </c>
      <c r="E22" s="103">
        <v>0</v>
      </c>
      <c r="F22" s="103">
        <v>90265</v>
      </c>
      <c r="G22" s="103">
        <v>0</v>
      </c>
      <c r="H22" s="103">
        <v>27976</v>
      </c>
      <c r="I22" s="103">
        <v>0</v>
      </c>
      <c r="J22" s="103">
        <v>0</v>
      </c>
      <c r="K22" s="103">
        <v>0</v>
      </c>
      <c r="L22" s="98">
        <f>SUM(D22:K22)</f>
        <v>118241</v>
      </c>
      <c r="M22" s="120"/>
    </row>
    <row r="23" spans="1:13" ht="12.75">
      <c r="A23" s="102" t="s">
        <v>302</v>
      </c>
      <c r="B23" s="101" t="s">
        <v>303</v>
      </c>
      <c r="C23" s="103">
        <v>518431.825</v>
      </c>
      <c r="D23" s="103">
        <v>0</v>
      </c>
      <c r="E23" s="103">
        <v>0</v>
      </c>
      <c r="F23" s="103">
        <v>418432</v>
      </c>
      <c r="G23" s="103">
        <v>0</v>
      </c>
      <c r="H23" s="103">
        <v>50000</v>
      </c>
      <c r="I23" s="103">
        <v>50000</v>
      </c>
      <c r="J23" s="103">
        <v>0</v>
      </c>
      <c r="K23" s="103">
        <v>0</v>
      </c>
      <c r="L23" s="98">
        <f>SUM(D23:K23)</f>
        <v>518432</v>
      </c>
      <c r="M23" s="120"/>
    </row>
    <row r="24" spans="1:13" ht="12.75">
      <c r="A24" s="102" t="s">
        <v>304</v>
      </c>
      <c r="B24" s="101" t="s">
        <v>305</v>
      </c>
      <c r="C24" s="103">
        <v>25000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25000</v>
      </c>
      <c r="J24" s="103">
        <v>0</v>
      </c>
      <c r="K24" s="103">
        <v>0</v>
      </c>
      <c r="L24" s="98">
        <f>SUM(D24:K24)</f>
        <v>25000</v>
      </c>
      <c r="M24" s="120"/>
    </row>
    <row r="25" spans="1:13" ht="12.75">
      <c r="A25" s="102" t="s">
        <v>306</v>
      </c>
      <c r="B25" s="101" t="s">
        <v>307</v>
      </c>
      <c r="C25" s="103">
        <v>10000</v>
      </c>
      <c r="D25" s="103">
        <v>0</v>
      </c>
      <c r="E25" s="103">
        <v>5000</v>
      </c>
      <c r="F25" s="103">
        <v>5000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98">
        <f>SUM(D25:K25)</f>
        <v>10000</v>
      </c>
      <c r="M25" s="120"/>
    </row>
    <row r="26" spans="1:13" ht="25.5">
      <c r="A26" s="102" t="s">
        <v>308</v>
      </c>
      <c r="B26" s="101" t="s">
        <v>309</v>
      </c>
      <c r="C26" s="103">
        <v>17000</v>
      </c>
      <c r="D26" s="103">
        <v>0</v>
      </c>
      <c r="E26" s="103">
        <v>5000</v>
      </c>
      <c r="F26" s="103">
        <v>6000</v>
      </c>
      <c r="G26" s="103">
        <v>0</v>
      </c>
      <c r="H26" s="103">
        <v>6000</v>
      </c>
      <c r="I26" s="103">
        <v>0</v>
      </c>
      <c r="J26" s="103">
        <v>0</v>
      </c>
      <c r="K26" s="103">
        <v>0</v>
      </c>
      <c r="L26" s="98">
        <f>SUM(D26:K26)</f>
        <v>17000</v>
      </c>
      <c r="M26" s="120"/>
    </row>
    <row r="27" spans="1:13" ht="12.75">
      <c r="A27" s="102" t="s">
        <v>310</v>
      </c>
      <c r="B27" s="101" t="s">
        <v>311</v>
      </c>
      <c r="C27" s="103">
        <v>10000</v>
      </c>
      <c r="D27" s="103">
        <v>0</v>
      </c>
      <c r="E27" s="103">
        <v>5000</v>
      </c>
      <c r="F27" s="103">
        <v>0</v>
      </c>
      <c r="G27" s="103">
        <v>0</v>
      </c>
      <c r="H27" s="103">
        <v>5000</v>
      </c>
      <c r="I27" s="103">
        <v>0</v>
      </c>
      <c r="J27" s="103">
        <v>0</v>
      </c>
      <c r="K27" s="103">
        <v>0</v>
      </c>
      <c r="L27" s="98">
        <f>SUM(D27:K27)</f>
        <v>10000</v>
      </c>
      <c r="M27" s="120"/>
    </row>
    <row r="28" spans="1:13" ht="25.5">
      <c r="A28" s="102" t="s">
        <v>312</v>
      </c>
      <c r="B28" s="101" t="s">
        <v>313</v>
      </c>
      <c r="C28" s="103">
        <v>124580.29500000001</v>
      </c>
      <c r="D28" s="103">
        <v>0</v>
      </c>
      <c r="E28" s="103">
        <v>20000</v>
      </c>
      <c r="F28" s="103">
        <v>30000</v>
      </c>
      <c r="G28" s="103">
        <v>0</v>
      </c>
      <c r="H28" s="103">
        <v>38649</v>
      </c>
      <c r="I28" s="103">
        <v>35931</v>
      </c>
      <c r="J28" s="103">
        <v>0</v>
      </c>
      <c r="K28" s="103">
        <v>0</v>
      </c>
      <c r="L28" s="98">
        <f>SUM(D28:K28)</f>
        <v>124580</v>
      </c>
      <c r="M28" s="120"/>
    </row>
    <row r="29" spans="1:13" ht="12.75">
      <c r="A29" s="102" t="s">
        <v>314</v>
      </c>
      <c r="B29" s="101" t="s">
        <v>315</v>
      </c>
      <c r="C29" s="103">
        <v>48608.3</v>
      </c>
      <c r="D29" s="103">
        <v>0</v>
      </c>
      <c r="E29" s="103">
        <v>10000</v>
      </c>
      <c r="F29" s="103">
        <v>38608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98">
        <f>SUM(D29:K29)</f>
        <v>48608</v>
      </c>
      <c r="M29" s="120"/>
    </row>
    <row r="30" spans="1:13" ht="12.75">
      <c r="A30" s="102" t="s">
        <v>316</v>
      </c>
      <c r="B30" s="101" t="s">
        <v>317</v>
      </c>
      <c r="C30" s="103">
        <v>10000</v>
      </c>
      <c r="D30" s="103">
        <v>0</v>
      </c>
      <c r="E30" s="103">
        <v>5000</v>
      </c>
      <c r="F30" s="103">
        <v>0</v>
      </c>
      <c r="G30" s="103">
        <v>0</v>
      </c>
      <c r="H30" s="103">
        <v>5000</v>
      </c>
      <c r="I30" s="103">
        <v>0</v>
      </c>
      <c r="J30" s="103">
        <v>0</v>
      </c>
      <c r="K30" s="103">
        <v>0</v>
      </c>
      <c r="L30" s="98">
        <f>SUM(D30:K30)</f>
        <v>10000</v>
      </c>
      <c r="M30" s="120"/>
    </row>
    <row r="31" spans="1:13" ht="25.5">
      <c r="A31" s="102" t="s">
        <v>318</v>
      </c>
      <c r="B31" s="101" t="s">
        <v>319</v>
      </c>
      <c r="C31" s="103">
        <f>146473.74+141131+27071</f>
        <v>314675.74</v>
      </c>
      <c r="D31" s="103">
        <v>0</v>
      </c>
      <c r="E31" s="103">
        <v>50000</v>
      </c>
      <c r="F31" s="103">
        <f>90000+125176.5</f>
        <v>215176.5</v>
      </c>
      <c r="G31" s="103">
        <v>0</v>
      </c>
      <c r="H31" s="103">
        <v>49499</v>
      </c>
      <c r="I31" s="103">
        <v>0</v>
      </c>
      <c r="J31" s="103">
        <v>0</v>
      </c>
      <c r="K31" s="103">
        <v>0</v>
      </c>
      <c r="L31" s="98">
        <f>SUM(D31:K31)</f>
        <v>314675.5</v>
      </c>
      <c r="M31" s="120"/>
    </row>
    <row r="32" spans="1:13" ht="12.75">
      <c r="A32" s="102" t="s">
        <v>320</v>
      </c>
      <c r="B32" s="101" t="s">
        <v>321</v>
      </c>
      <c r="C32" s="103">
        <v>44570.6</v>
      </c>
      <c r="D32" s="103">
        <v>0</v>
      </c>
      <c r="E32" s="103">
        <v>0</v>
      </c>
      <c r="F32" s="103">
        <v>44570.55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98">
        <f>SUM(D32:K32)</f>
        <v>44570.55</v>
      </c>
      <c r="M32" s="120"/>
    </row>
    <row r="33" spans="1:13" ht="11.25">
      <c r="A33" s="108"/>
      <c r="B33" s="109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20"/>
    </row>
    <row r="34" spans="1:13" ht="16.5" thickBot="1">
      <c r="A34" s="110"/>
      <c r="B34" s="111" t="s">
        <v>322</v>
      </c>
      <c r="C34" s="112">
        <f>SUM(C8:C32)</f>
        <v>5957129.984999999</v>
      </c>
      <c r="D34" s="112">
        <f aca="true" t="shared" si="0" ref="D34:K34">SUM(D8:D32)</f>
        <v>2450905.6999999997</v>
      </c>
      <c r="E34" s="112">
        <f t="shared" si="0"/>
        <v>884819.2</v>
      </c>
      <c r="F34" s="112">
        <f t="shared" si="0"/>
        <v>1147614.05</v>
      </c>
      <c r="G34" s="112">
        <f t="shared" si="0"/>
        <v>570899</v>
      </c>
      <c r="H34" s="112">
        <f t="shared" si="0"/>
        <v>525688.4</v>
      </c>
      <c r="I34" s="112">
        <f t="shared" si="0"/>
        <v>181075</v>
      </c>
      <c r="J34" s="112">
        <f t="shared" si="0"/>
        <v>196129</v>
      </c>
      <c r="K34" s="112">
        <f t="shared" si="0"/>
        <v>0</v>
      </c>
      <c r="L34" s="113">
        <f>SUM(L8:L32)</f>
        <v>5957130.35</v>
      </c>
      <c r="M34" s="120"/>
    </row>
    <row r="35" ht="10.5">
      <c r="A35" t="s">
        <v>20</v>
      </c>
    </row>
    <row r="36" spans="2:6" ht="10.5">
      <c r="B36" s="114"/>
      <c r="C36" s="65"/>
      <c r="D36" s="65"/>
      <c r="E36" s="65"/>
      <c r="F36" s="65"/>
    </row>
    <row r="37" spans="2:6" ht="12.75">
      <c r="B37" s="115"/>
      <c r="C37" s="116"/>
      <c r="D37" s="122"/>
      <c r="E37" s="65"/>
      <c r="F37" s="65"/>
    </row>
    <row r="39" ht="10.5">
      <c r="B39" s="155"/>
    </row>
    <row r="40" ht="10.5">
      <c r="B40" s="25" t="s">
        <v>336</v>
      </c>
    </row>
    <row r="41" ht="10.5">
      <c r="B41" t="s">
        <v>337</v>
      </c>
    </row>
  </sheetData>
  <sheetProtection/>
  <mergeCells count="4">
    <mergeCell ref="A1:L1"/>
    <mergeCell ref="A2:L2"/>
    <mergeCell ref="A3:L3"/>
    <mergeCell ref="D5:K5"/>
  </mergeCells>
  <printOptions/>
  <pageMargins left="0.91" right="0.7" top="0.75" bottom="0.75" header="0.3" footer="0.3"/>
  <pageSetup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C1">
      <selection activeCell="M8" sqref="M8:M34"/>
    </sheetView>
  </sheetViews>
  <sheetFormatPr defaultColWidth="12" defaultRowHeight="10.5"/>
  <cols>
    <col min="1" max="1" width="11.5" style="0" customWidth="1"/>
    <col min="2" max="2" width="48.83203125" style="24" customWidth="1"/>
    <col min="3" max="3" width="17.33203125" style="0" customWidth="1"/>
    <col min="4" max="4" width="15.83203125" style="0" customWidth="1"/>
    <col min="5" max="5" width="15" style="0" customWidth="1"/>
    <col min="6" max="6" width="15.33203125" style="0" customWidth="1"/>
    <col min="7" max="7" width="13.83203125" style="0" customWidth="1"/>
    <col min="8" max="9" width="14.33203125" style="0" customWidth="1"/>
    <col min="10" max="10" width="13.16015625" style="0" customWidth="1"/>
    <col min="11" max="11" width="15.5" style="0" customWidth="1"/>
    <col min="12" max="12" width="17" style="0" customWidth="1"/>
    <col min="13" max="15" width="12" style="65" customWidth="1"/>
  </cols>
  <sheetData>
    <row r="1" spans="1:12" ht="15.75">
      <c r="A1" s="158" t="s">
        <v>323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.75">
      <c r="A2" s="158" t="s">
        <v>330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15.75">
      <c r="A3" s="158" t="s">
        <v>271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88"/>
    </row>
    <row r="4" ht="13.5" thickBot="1">
      <c r="M4" s="88"/>
    </row>
    <row r="5" spans="1:15" s="127" customFormat="1" ht="45" customHeight="1">
      <c r="A5" s="123" t="s">
        <v>272</v>
      </c>
      <c r="B5" s="124" t="s">
        <v>325</v>
      </c>
      <c r="C5" s="124" t="s">
        <v>328</v>
      </c>
      <c r="D5" s="159" t="s">
        <v>273</v>
      </c>
      <c r="E5" s="159"/>
      <c r="F5" s="159"/>
      <c r="G5" s="159"/>
      <c r="H5" s="159"/>
      <c r="I5" s="159"/>
      <c r="J5" s="159"/>
      <c r="K5" s="159"/>
      <c r="L5" s="125" t="s">
        <v>274</v>
      </c>
      <c r="M5" s="107"/>
      <c r="N5" s="126"/>
      <c r="O5" s="126"/>
    </row>
    <row r="6" spans="1:15" s="25" customFormat="1" ht="48.75" customHeight="1">
      <c r="A6" s="89"/>
      <c r="B6" s="90"/>
      <c r="C6" s="90"/>
      <c r="D6" s="91" t="s">
        <v>275</v>
      </c>
      <c r="E6" s="91" t="s">
        <v>276</v>
      </c>
      <c r="F6" s="91" t="s">
        <v>277</v>
      </c>
      <c r="G6" s="91" t="s">
        <v>244</v>
      </c>
      <c r="H6" s="91" t="s">
        <v>253</v>
      </c>
      <c r="I6" s="91" t="s">
        <v>278</v>
      </c>
      <c r="J6" s="91" t="s">
        <v>279</v>
      </c>
      <c r="K6" s="92" t="s">
        <v>327</v>
      </c>
      <c r="L6" s="93"/>
      <c r="M6" s="94"/>
      <c r="N6" s="95"/>
      <c r="O6" s="95"/>
    </row>
    <row r="7" spans="1:15" ht="11.25">
      <c r="A7" s="89"/>
      <c r="B7" s="90"/>
      <c r="C7" s="90"/>
      <c r="D7" s="91"/>
      <c r="E7" s="91"/>
      <c r="F7" s="91"/>
      <c r="G7" s="91"/>
      <c r="H7" s="91"/>
      <c r="I7" s="91"/>
      <c r="J7" s="91"/>
      <c r="K7" s="92"/>
      <c r="L7" s="93"/>
      <c r="M7" s="94"/>
      <c r="N7" s="95"/>
      <c r="O7" s="95"/>
    </row>
    <row r="8" spans="1:15" ht="12.75">
      <c r="A8" s="96" t="s">
        <v>280</v>
      </c>
      <c r="B8" s="97" t="s">
        <v>326</v>
      </c>
      <c r="C8" s="118">
        <v>733619.3760000002</v>
      </c>
      <c r="D8" s="118">
        <v>0</v>
      </c>
      <c r="E8" s="118">
        <f>433271+34934</f>
        <v>468205</v>
      </c>
      <c r="F8" s="118">
        <v>0</v>
      </c>
      <c r="G8" s="118">
        <v>0</v>
      </c>
      <c r="H8" s="118">
        <v>265414.4</v>
      </c>
      <c r="I8" s="118">
        <v>0</v>
      </c>
      <c r="J8" s="118">
        <v>0</v>
      </c>
      <c r="K8" s="118">
        <v>0</v>
      </c>
      <c r="L8" s="98">
        <f>SUM(D8:K8)</f>
        <v>733619.4</v>
      </c>
      <c r="M8" s="120"/>
      <c r="O8" s="95"/>
    </row>
    <row r="9" spans="1:15" ht="25.5">
      <c r="A9" s="96" t="s">
        <v>280</v>
      </c>
      <c r="B9" s="97" t="s">
        <v>281</v>
      </c>
      <c r="C9" s="118">
        <v>202994.68800000002</v>
      </c>
      <c r="D9" s="118">
        <v>0</v>
      </c>
      <c r="E9" s="118">
        <v>202994.68800000002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98">
        <f>SUM(D9:K9)</f>
        <v>202994.68800000002</v>
      </c>
      <c r="M9" s="120"/>
      <c r="O9" s="95"/>
    </row>
    <row r="10" spans="1:15" ht="11.25">
      <c r="A10" s="89"/>
      <c r="B10" s="90"/>
      <c r="C10" s="117"/>
      <c r="D10" s="117"/>
      <c r="E10" s="117"/>
      <c r="F10" s="117"/>
      <c r="G10" s="117"/>
      <c r="H10" s="117"/>
      <c r="I10" s="117"/>
      <c r="J10" s="117"/>
      <c r="K10" s="117"/>
      <c r="L10" s="99"/>
      <c r="M10" s="121"/>
      <c r="O10" s="95"/>
    </row>
    <row r="11" spans="1:15" ht="25.5">
      <c r="A11" s="100" t="s">
        <v>282</v>
      </c>
      <c r="B11" s="101" t="s">
        <v>283</v>
      </c>
      <c r="C11" s="118">
        <v>260190</v>
      </c>
      <c r="D11" s="119">
        <v>0</v>
      </c>
      <c r="E11" s="119">
        <v>0</v>
      </c>
      <c r="F11" s="119">
        <f>247800+12390</f>
        <v>260190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98">
        <f>SUM(D11:K11)</f>
        <v>260190</v>
      </c>
      <c r="M11" s="120"/>
      <c r="O11" s="95"/>
    </row>
    <row r="12" spans="1:15" ht="11.25">
      <c r="A12" s="89"/>
      <c r="B12" s="90"/>
      <c r="C12" s="117"/>
      <c r="D12" s="117"/>
      <c r="E12" s="117"/>
      <c r="F12" s="117"/>
      <c r="G12" s="117"/>
      <c r="H12" s="117"/>
      <c r="I12" s="117"/>
      <c r="J12" s="117"/>
      <c r="K12" s="117"/>
      <c r="L12" s="99"/>
      <c r="M12" s="121"/>
      <c r="O12" s="95"/>
    </row>
    <row r="13" spans="1:13" ht="25.5">
      <c r="A13" s="102"/>
      <c r="B13" s="101" t="s">
        <v>284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98">
        <f>SUM(D13:K13)</f>
        <v>0</v>
      </c>
      <c r="M13" s="120"/>
    </row>
    <row r="14" spans="1:13" ht="12.75">
      <c r="A14" s="102" t="s">
        <v>285</v>
      </c>
      <c r="B14" s="101" t="s">
        <v>286</v>
      </c>
      <c r="C14" s="103">
        <f>537677.1225+55125</f>
        <v>592802.1225</v>
      </c>
      <c r="D14" s="103">
        <v>512073.45</v>
      </c>
      <c r="E14" s="103">
        <v>0</v>
      </c>
      <c r="F14" s="103">
        <v>0</v>
      </c>
      <c r="G14" s="103">
        <v>0</v>
      </c>
      <c r="H14" s="103">
        <v>25604</v>
      </c>
      <c r="I14" s="103">
        <v>55125</v>
      </c>
      <c r="J14" s="103">
        <v>0</v>
      </c>
      <c r="K14" s="103">
        <v>0</v>
      </c>
      <c r="L14" s="98">
        <f>SUM(D14:K14)</f>
        <v>592802.45</v>
      </c>
      <c r="M14" s="120"/>
    </row>
    <row r="15" spans="1:13" ht="12.75">
      <c r="A15" s="104" t="s">
        <v>287</v>
      </c>
      <c r="B15" s="105" t="s">
        <v>288</v>
      </c>
      <c r="C15" s="106">
        <v>2180674.9361250005</v>
      </c>
      <c r="D15" s="106">
        <f>1977936.45-121498+51295</f>
        <v>1907733.45</v>
      </c>
      <c r="E15" s="106">
        <v>121498</v>
      </c>
      <c r="F15" s="106">
        <v>0</v>
      </c>
      <c r="G15" s="106">
        <v>0</v>
      </c>
      <c r="H15" s="106">
        <v>52546</v>
      </c>
      <c r="I15" s="106">
        <v>0</v>
      </c>
      <c r="J15" s="106">
        <v>98897</v>
      </c>
      <c r="K15" s="106">
        <v>0</v>
      </c>
      <c r="L15" s="98">
        <f>SUM(D15:K15)</f>
        <v>2180674.45</v>
      </c>
      <c r="M15" s="120"/>
    </row>
    <row r="16" spans="1:13" ht="25.5">
      <c r="A16" s="102" t="s">
        <v>289</v>
      </c>
      <c r="B16" s="101" t="s">
        <v>290</v>
      </c>
      <c r="C16" s="103">
        <f>570899+97232</f>
        <v>668131</v>
      </c>
      <c r="D16" s="103">
        <v>0</v>
      </c>
      <c r="E16" s="103">
        <v>0</v>
      </c>
      <c r="F16" s="103">
        <v>0</v>
      </c>
      <c r="G16" s="103">
        <v>570899</v>
      </c>
      <c r="H16" s="103">
        <v>0</v>
      </c>
      <c r="I16" s="103">
        <v>0</v>
      </c>
      <c r="J16" s="103">
        <v>97232</v>
      </c>
      <c r="K16" s="103">
        <v>0</v>
      </c>
      <c r="L16" s="98">
        <f>SUM(D16:K16)</f>
        <v>668131</v>
      </c>
      <c r="M16" s="120"/>
    </row>
    <row r="17" spans="1:13" ht="12.75">
      <c r="A17" s="102" t="s">
        <v>291</v>
      </c>
      <c r="B17" s="101" t="s">
        <v>292</v>
      </c>
      <c r="C17" s="103">
        <f>48063.4875+34863</f>
        <v>82926.4875</v>
      </c>
      <c r="D17" s="103">
        <v>48063</v>
      </c>
      <c r="E17" s="103">
        <v>34863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98">
        <f>SUM(D17:K17)</f>
        <v>82926</v>
      </c>
      <c r="M17" s="120"/>
    </row>
    <row r="18" spans="1:13" ht="12.75">
      <c r="A18" s="102" t="s">
        <v>293</v>
      </c>
      <c r="B18" s="101" t="s">
        <v>294</v>
      </c>
      <c r="C18" s="103">
        <f>36047.34+13302</f>
        <v>49349.34</v>
      </c>
      <c r="D18" s="103">
        <v>34330.8</v>
      </c>
      <c r="E18" s="103">
        <v>0</v>
      </c>
      <c r="F18" s="103">
        <v>0</v>
      </c>
      <c r="G18" s="103">
        <v>0</v>
      </c>
      <c r="H18" s="103">
        <v>0</v>
      </c>
      <c r="I18" s="103">
        <v>15019</v>
      </c>
      <c r="J18" s="103">
        <v>0</v>
      </c>
      <c r="K18" s="103">
        <v>0</v>
      </c>
      <c r="L18" s="98">
        <f>SUM(D18:K18)</f>
        <v>49349.8</v>
      </c>
      <c r="M18" s="120"/>
    </row>
    <row r="19" spans="1:13" ht="12.75">
      <c r="A19" s="102"/>
      <c r="B19" s="101" t="s">
        <v>295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98"/>
      <c r="M19" s="120"/>
    </row>
    <row r="20" spans="1:13" ht="25.5">
      <c r="A20" s="102" t="s">
        <v>296</v>
      </c>
      <c r="B20" s="101" t="s">
        <v>297</v>
      </c>
      <c r="C20" s="103">
        <v>18959</v>
      </c>
      <c r="D20" s="103">
        <v>0</v>
      </c>
      <c r="E20" s="103">
        <v>0</v>
      </c>
      <c r="F20" s="103">
        <v>18959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98">
        <f>SUM(D20:K20)</f>
        <v>18959</v>
      </c>
      <c r="M20" s="120"/>
    </row>
    <row r="21" spans="1:13" ht="12.75">
      <c r="A21" s="102" t="s">
        <v>298</v>
      </c>
      <c r="B21" s="101" t="s">
        <v>299</v>
      </c>
      <c r="C21" s="103">
        <v>32802.6825</v>
      </c>
      <c r="D21" s="103">
        <v>0</v>
      </c>
      <c r="E21" s="103">
        <v>0</v>
      </c>
      <c r="F21" s="103">
        <v>32803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98">
        <f>SUM(D21:K21)</f>
        <v>32803</v>
      </c>
      <c r="M21" s="120"/>
    </row>
    <row r="22" spans="1:13" ht="12.75">
      <c r="A22" s="102" t="s">
        <v>300</v>
      </c>
      <c r="B22" s="101" t="s">
        <v>301</v>
      </c>
      <c r="C22" s="103">
        <f>70264+47977</f>
        <v>118241</v>
      </c>
      <c r="D22" s="103">
        <v>0</v>
      </c>
      <c r="E22" s="103">
        <v>0</v>
      </c>
      <c r="F22" s="103">
        <v>90265</v>
      </c>
      <c r="G22" s="103">
        <v>0</v>
      </c>
      <c r="H22" s="103">
        <v>27976</v>
      </c>
      <c r="I22" s="103">
        <v>0</v>
      </c>
      <c r="J22" s="103">
        <v>0</v>
      </c>
      <c r="K22" s="103">
        <v>0</v>
      </c>
      <c r="L22" s="98">
        <f>SUM(D22:K22)</f>
        <v>118241</v>
      </c>
      <c r="M22" s="120"/>
    </row>
    <row r="23" spans="1:13" ht="12.75">
      <c r="A23" s="102" t="s">
        <v>302</v>
      </c>
      <c r="B23" s="101" t="s">
        <v>303</v>
      </c>
      <c r="C23" s="103">
        <f>518431.825+6128</f>
        <v>524559.825</v>
      </c>
      <c r="D23" s="103">
        <v>0</v>
      </c>
      <c r="E23" s="103">
        <v>0</v>
      </c>
      <c r="F23" s="103">
        <v>418432</v>
      </c>
      <c r="G23" s="103">
        <v>0</v>
      </c>
      <c r="H23" s="103">
        <v>50000</v>
      </c>
      <c r="I23" s="103">
        <v>56128</v>
      </c>
      <c r="J23" s="103">
        <v>0</v>
      </c>
      <c r="K23" s="103">
        <v>0</v>
      </c>
      <c r="L23" s="98">
        <f>SUM(D23:K23)</f>
        <v>524560</v>
      </c>
      <c r="M23" s="120"/>
    </row>
    <row r="24" spans="1:13" ht="12.75">
      <c r="A24" s="102" t="s">
        <v>304</v>
      </c>
      <c r="B24" s="101" t="s">
        <v>305</v>
      </c>
      <c r="C24" s="103">
        <v>30000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30000</v>
      </c>
      <c r="J24" s="103">
        <v>0</v>
      </c>
      <c r="K24" s="103">
        <v>0</v>
      </c>
      <c r="L24" s="98">
        <f>SUM(D24:K24)</f>
        <v>30000</v>
      </c>
      <c r="M24" s="120"/>
    </row>
    <row r="25" spans="1:13" ht="12.75">
      <c r="A25" s="102" t="s">
        <v>306</v>
      </c>
      <c r="B25" s="101" t="s">
        <v>307</v>
      </c>
      <c r="C25" s="103">
        <v>10000</v>
      </c>
      <c r="D25" s="103">
        <v>0</v>
      </c>
      <c r="E25" s="103">
        <v>5000</v>
      </c>
      <c r="F25" s="103">
        <v>5000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98">
        <f>SUM(D25:K25)</f>
        <v>10000</v>
      </c>
      <c r="M25" s="120"/>
    </row>
    <row r="26" spans="1:13" ht="25.5">
      <c r="A26" s="102" t="s">
        <v>308</v>
      </c>
      <c r="B26" s="101" t="s">
        <v>309</v>
      </c>
      <c r="C26" s="103">
        <v>20000</v>
      </c>
      <c r="D26" s="103">
        <v>0</v>
      </c>
      <c r="E26" s="103">
        <v>5000</v>
      </c>
      <c r="F26" s="103">
        <v>6000</v>
      </c>
      <c r="G26" s="103">
        <v>0</v>
      </c>
      <c r="H26" s="103">
        <v>9000</v>
      </c>
      <c r="I26" s="103">
        <v>0</v>
      </c>
      <c r="J26" s="103">
        <v>0</v>
      </c>
      <c r="K26" s="103">
        <v>0</v>
      </c>
      <c r="L26" s="98">
        <f>SUM(D26:K26)</f>
        <v>20000</v>
      </c>
      <c r="M26" s="120"/>
    </row>
    <row r="27" spans="1:13" ht="12.75">
      <c r="A27" s="102" t="s">
        <v>310</v>
      </c>
      <c r="B27" s="101" t="s">
        <v>311</v>
      </c>
      <c r="C27" s="103">
        <v>10000</v>
      </c>
      <c r="D27" s="103">
        <v>0</v>
      </c>
      <c r="E27" s="103">
        <v>5000</v>
      </c>
      <c r="F27" s="103">
        <v>0</v>
      </c>
      <c r="G27" s="103">
        <v>0</v>
      </c>
      <c r="H27" s="103">
        <v>5000</v>
      </c>
      <c r="I27" s="103">
        <v>0</v>
      </c>
      <c r="J27" s="103">
        <v>0</v>
      </c>
      <c r="K27" s="103">
        <v>0</v>
      </c>
      <c r="L27" s="98">
        <f>SUM(D27:K27)</f>
        <v>10000</v>
      </c>
      <c r="M27" s="120"/>
    </row>
    <row r="28" spans="1:13" ht="25.5">
      <c r="A28" s="102" t="s">
        <v>312</v>
      </c>
      <c r="B28" s="101" t="s">
        <v>313</v>
      </c>
      <c r="C28" s="103">
        <v>124580.29500000001</v>
      </c>
      <c r="D28" s="103">
        <v>0</v>
      </c>
      <c r="E28" s="103">
        <v>20000</v>
      </c>
      <c r="F28" s="103">
        <v>30000</v>
      </c>
      <c r="G28" s="103">
        <v>0</v>
      </c>
      <c r="H28" s="103">
        <v>38649</v>
      </c>
      <c r="I28" s="103">
        <v>35931.5</v>
      </c>
      <c r="J28" s="103">
        <v>0</v>
      </c>
      <c r="K28" s="103">
        <v>0</v>
      </c>
      <c r="L28" s="98">
        <f>SUM(D28:K28)</f>
        <v>124580.5</v>
      </c>
      <c r="M28" s="120"/>
    </row>
    <row r="29" spans="1:13" ht="12.75">
      <c r="A29" s="102" t="s">
        <v>314</v>
      </c>
      <c r="B29" s="101" t="s">
        <v>315</v>
      </c>
      <c r="C29" s="103">
        <v>58608.3</v>
      </c>
      <c r="D29" s="103">
        <v>0</v>
      </c>
      <c r="E29" s="103">
        <v>10000</v>
      </c>
      <c r="F29" s="103">
        <v>48608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98">
        <f>SUM(D29:K29)</f>
        <v>58608</v>
      </c>
      <c r="M29" s="120"/>
    </row>
    <row r="30" spans="1:13" ht="12.75">
      <c r="A30" s="102" t="s">
        <v>316</v>
      </c>
      <c r="B30" s="101" t="s">
        <v>317</v>
      </c>
      <c r="C30" s="103">
        <v>10000</v>
      </c>
      <c r="D30" s="103">
        <v>0</v>
      </c>
      <c r="E30" s="103">
        <v>5000</v>
      </c>
      <c r="F30" s="103">
        <v>0</v>
      </c>
      <c r="G30" s="103">
        <v>0</v>
      </c>
      <c r="H30" s="103">
        <v>5000</v>
      </c>
      <c r="I30" s="103">
        <v>0</v>
      </c>
      <c r="J30" s="103">
        <v>0</v>
      </c>
      <c r="K30" s="103">
        <v>0</v>
      </c>
      <c r="L30" s="98">
        <f>SUM(D30:K30)</f>
        <v>10000</v>
      </c>
      <c r="M30" s="120"/>
    </row>
    <row r="31" spans="1:13" ht="25.5">
      <c r="A31" s="102" t="s">
        <v>318</v>
      </c>
      <c r="B31" s="101" t="s">
        <v>319</v>
      </c>
      <c r="C31" s="103">
        <f>146473.74+141131+77071</f>
        <v>364675.74</v>
      </c>
      <c r="D31" s="103">
        <v>0</v>
      </c>
      <c r="E31" s="103">
        <v>50000</v>
      </c>
      <c r="F31" s="103">
        <f>90000+175176.5</f>
        <v>265176.5</v>
      </c>
      <c r="G31" s="103">
        <v>0</v>
      </c>
      <c r="H31" s="103">
        <v>49499</v>
      </c>
      <c r="I31" s="103">
        <v>0</v>
      </c>
      <c r="J31" s="103">
        <v>0</v>
      </c>
      <c r="K31" s="103">
        <v>0</v>
      </c>
      <c r="L31" s="98">
        <f>SUM(D31:K31)</f>
        <v>364675.5</v>
      </c>
      <c r="M31" s="120"/>
    </row>
    <row r="32" spans="1:13" ht="12.75">
      <c r="A32" s="102" t="s">
        <v>320</v>
      </c>
      <c r="B32" s="101" t="s">
        <v>321</v>
      </c>
      <c r="C32" s="103">
        <v>44570.6</v>
      </c>
      <c r="D32" s="103">
        <v>0</v>
      </c>
      <c r="E32" s="103">
        <v>0</v>
      </c>
      <c r="F32" s="103">
        <v>44570.55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98">
        <f>SUM(D32:K32)</f>
        <v>44570.55</v>
      </c>
      <c r="M32" s="120"/>
    </row>
    <row r="33" spans="1:13" ht="11.25">
      <c r="A33" s="108"/>
      <c r="B33" s="109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20"/>
    </row>
    <row r="34" spans="1:13" ht="16.5" thickBot="1">
      <c r="A34" s="110"/>
      <c r="B34" s="111" t="s">
        <v>322</v>
      </c>
      <c r="C34" s="112">
        <f>SUM(C8:C32)</f>
        <v>6137685.392625</v>
      </c>
      <c r="D34" s="112">
        <f aca="true" t="shared" si="0" ref="D34:K34">SUM(D8:D32)</f>
        <v>2502200.6999999997</v>
      </c>
      <c r="E34" s="112">
        <f t="shared" si="0"/>
        <v>927560.6880000001</v>
      </c>
      <c r="F34" s="112">
        <f t="shared" si="0"/>
        <v>1220004.05</v>
      </c>
      <c r="G34" s="112">
        <f t="shared" si="0"/>
        <v>570899</v>
      </c>
      <c r="H34" s="112">
        <f t="shared" si="0"/>
        <v>528688.4</v>
      </c>
      <c r="I34" s="112">
        <f t="shared" si="0"/>
        <v>192203.5</v>
      </c>
      <c r="J34" s="112">
        <f t="shared" si="0"/>
        <v>196129</v>
      </c>
      <c r="K34" s="112">
        <f t="shared" si="0"/>
        <v>0</v>
      </c>
      <c r="L34" s="113">
        <f>SUM(L8:L32)</f>
        <v>6137685.3379999995</v>
      </c>
      <c r="M34" s="120"/>
    </row>
    <row r="35" ht="10.5">
      <c r="A35" t="s">
        <v>20</v>
      </c>
    </row>
    <row r="36" spans="2:6" ht="10.5">
      <c r="B36" s="114"/>
      <c r="C36" s="65"/>
      <c r="D36" s="65"/>
      <c r="E36" s="65"/>
      <c r="F36" s="65"/>
    </row>
    <row r="37" spans="2:6" ht="12.75">
      <c r="B37" s="115"/>
      <c r="C37" s="116"/>
      <c r="D37" s="122"/>
      <c r="E37" s="65"/>
      <c r="F37" s="65"/>
    </row>
    <row r="39" ht="10.5">
      <c r="B39" s="156"/>
    </row>
    <row r="40" ht="10.5">
      <c r="B40" s="25" t="s">
        <v>336</v>
      </c>
    </row>
    <row r="41" ht="10.5">
      <c r="B41" t="s">
        <v>337</v>
      </c>
    </row>
    <row r="42" ht="10.5">
      <c r="B42" s="155"/>
    </row>
  </sheetData>
  <sheetProtection/>
  <mergeCells count="4">
    <mergeCell ref="A1:L1"/>
    <mergeCell ref="A2:L2"/>
    <mergeCell ref="A3:L3"/>
    <mergeCell ref="D5:K5"/>
  </mergeCells>
  <printOptions/>
  <pageMargins left="0.91" right="0.7" top="0.75" bottom="0.75" header="0.3" footer="0.3"/>
  <pageSetup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C1">
      <selection activeCell="P11" sqref="P11"/>
    </sheetView>
  </sheetViews>
  <sheetFormatPr defaultColWidth="12" defaultRowHeight="10.5"/>
  <cols>
    <col min="1" max="1" width="11.5" style="0" customWidth="1"/>
    <col min="2" max="2" width="48.83203125" style="24" customWidth="1"/>
    <col min="3" max="3" width="17.33203125" style="0" customWidth="1"/>
    <col min="4" max="4" width="15.83203125" style="0" customWidth="1"/>
    <col min="5" max="5" width="15" style="0" customWidth="1"/>
    <col min="6" max="6" width="15.33203125" style="0" customWidth="1"/>
    <col min="7" max="7" width="13.83203125" style="0" customWidth="1"/>
    <col min="8" max="9" width="14.33203125" style="0" customWidth="1"/>
    <col min="10" max="10" width="13.16015625" style="0" customWidth="1"/>
    <col min="11" max="11" width="15.5" style="0" customWidth="1"/>
    <col min="12" max="12" width="17" style="0" customWidth="1"/>
    <col min="13" max="15" width="12" style="65" customWidth="1"/>
  </cols>
  <sheetData>
    <row r="1" spans="1:12" ht="15.75">
      <c r="A1" s="158" t="s">
        <v>323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5.75">
      <c r="A2" s="158" t="s">
        <v>331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15.75">
      <c r="A3" s="158" t="s">
        <v>271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88"/>
    </row>
    <row r="4" ht="13.5" thickBot="1">
      <c r="M4" s="88"/>
    </row>
    <row r="5" spans="1:15" s="127" customFormat="1" ht="45" customHeight="1">
      <c r="A5" s="123" t="s">
        <v>272</v>
      </c>
      <c r="B5" s="124" t="s">
        <v>325</v>
      </c>
      <c r="C5" s="124" t="s">
        <v>328</v>
      </c>
      <c r="D5" s="159" t="s">
        <v>273</v>
      </c>
      <c r="E5" s="159"/>
      <c r="F5" s="159"/>
      <c r="G5" s="159"/>
      <c r="H5" s="159"/>
      <c r="I5" s="159"/>
      <c r="J5" s="159"/>
      <c r="K5" s="159"/>
      <c r="L5" s="125" t="s">
        <v>274</v>
      </c>
      <c r="M5" s="107"/>
      <c r="N5" s="126"/>
      <c r="O5" s="126"/>
    </row>
    <row r="6" spans="1:15" s="25" customFormat="1" ht="48.75" customHeight="1">
      <c r="A6" s="89"/>
      <c r="B6" s="90"/>
      <c r="C6" s="90"/>
      <c r="D6" s="91" t="s">
        <v>275</v>
      </c>
      <c r="E6" s="91" t="s">
        <v>276</v>
      </c>
      <c r="F6" s="91" t="s">
        <v>277</v>
      </c>
      <c r="G6" s="91" t="s">
        <v>244</v>
      </c>
      <c r="H6" s="91" t="s">
        <v>253</v>
      </c>
      <c r="I6" s="91" t="s">
        <v>278</v>
      </c>
      <c r="J6" s="91" t="s">
        <v>279</v>
      </c>
      <c r="K6" s="92" t="s">
        <v>327</v>
      </c>
      <c r="L6" s="93"/>
      <c r="M6" s="94"/>
      <c r="N6" s="95"/>
      <c r="O6" s="95"/>
    </row>
    <row r="7" spans="1:15" ht="11.25">
      <c r="A7" s="89"/>
      <c r="B7" s="90"/>
      <c r="C7" s="90"/>
      <c r="D7" s="91"/>
      <c r="E7" s="91"/>
      <c r="F7" s="91"/>
      <c r="G7" s="91"/>
      <c r="H7" s="91"/>
      <c r="I7" s="91"/>
      <c r="J7" s="91"/>
      <c r="K7" s="92"/>
      <c r="L7" s="93"/>
      <c r="M7" s="94"/>
      <c r="N7" s="95"/>
      <c r="O7" s="95"/>
    </row>
    <row r="8" spans="1:15" ht="12.75">
      <c r="A8" s="96" t="s">
        <v>280</v>
      </c>
      <c r="B8" s="97" t="s">
        <v>326</v>
      </c>
      <c r="C8" s="118">
        <v>770300.3448000002</v>
      </c>
      <c r="D8" s="118">
        <v>0</v>
      </c>
      <c r="E8" s="118">
        <f>433271+34934+36681</f>
        <v>504886</v>
      </c>
      <c r="F8" s="118">
        <v>0</v>
      </c>
      <c r="G8" s="118">
        <v>0</v>
      </c>
      <c r="H8" s="118">
        <v>265414.4</v>
      </c>
      <c r="I8" s="118">
        <v>0</v>
      </c>
      <c r="J8" s="118">
        <v>0</v>
      </c>
      <c r="K8" s="118">
        <v>0</v>
      </c>
      <c r="L8" s="98">
        <f>SUM(D8:K8)</f>
        <v>770300.4</v>
      </c>
      <c r="M8" s="120"/>
      <c r="O8" s="95"/>
    </row>
    <row r="9" spans="1:15" ht="25.5">
      <c r="A9" s="96" t="s">
        <v>280</v>
      </c>
      <c r="B9" s="97" t="s">
        <v>281</v>
      </c>
      <c r="C9" s="118">
        <v>211114.47552000004</v>
      </c>
      <c r="D9" s="118">
        <v>0</v>
      </c>
      <c r="E9" s="118">
        <v>211114.47552000004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98">
        <f>SUM(D9:K9)</f>
        <v>211114.47552000004</v>
      </c>
      <c r="M9" s="120"/>
      <c r="O9" s="95"/>
    </row>
    <row r="10" spans="1:15" ht="11.25">
      <c r="A10" s="89"/>
      <c r="B10" s="90"/>
      <c r="C10" s="117"/>
      <c r="D10" s="117"/>
      <c r="E10" s="117"/>
      <c r="F10" s="117"/>
      <c r="G10" s="117"/>
      <c r="H10" s="117"/>
      <c r="I10" s="117"/>
      <c r="J10" s="117"/>
      <c r="K10" s="117"/>
      <c r="L10" s="99"/>
      <c r="M10" s="121"/>
      <c r="O10" s="95"/>
    </row>
    <row r="11" spans="1:15" ht="25.5">
      <c r="A11" s="100" t="s">
        <v>282</v>
      </c>
      <c r="B11" s="101" t="s">
        <v>283</v>
      </c>
      <c r="C11" s="118">
        <v>273199.5</v>
      </c>
      <c r="D11" s="119">
        <v>0</v>
      </c>
      <c r="E11" s="119">
        <v>0</v>
      </c>
      <c r="F11" s="118">
        <v>273199.5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98">
        <f>SUM(D11:K11)</f>
        <v>273199.5</v>
      </c>
      <c r="M11" s="120"/>
      <c r="O11" s="95"/>
    </row>
    <row r="12" spans="1:15" ht="11.25">
      <c r="A12" s="89"/>
      <c r="B12" s="90"/>
      <c r="C12" s="117"/>
      <c r="D12" s="117"/>
      <c r="E12" s="117"/>
      <c r="F12" s="117"/>
      <c r="G12" s="117"/>
      <c r="H12" s="117"/>
      <c r="I12" s="117"/>
      <c r="J12" s="117"/>
      <c r="K12" s="117"/>
      <c r="L12" s="99"/>
      <c r="M12" s="121"/>
      <c r="O12" s="95"/>
    </row>
    <row r="13" spans="1:13" ht="25.5">
      <c r="A13" s="102"/>
      <c r="B13" s="101" t="s">
        <v>284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98">
        <f>SUM(D13:K13)</f>
        <v>0</v>
      </c>
      <c r="M13" s="120"/>
    </row>
    <row r="14" spans="1:13" ht="12.75">
      <c r="A14" s="102" t="s">
        <v>285</v>
      </c>
      <c r="B14" s="101" t="s">
        <v>286</v>
      </c>
      <c r="C14" s="103">
        <f>537677.1225+55125</f>
        <v>592802.1225</v>
      </c>
      <c r="D14" s="103">
        <v>512073</v>
      </c>
      <c r="E14" s="103">
        <v>0</v>
      </c>
      <c r="F14" s="103">
        <v>0</v>
      </c>
      <c r="G14" s="103">
        <v>0</v>
      </c>
      <c r="H14" s="103">
        <v>25604</v>
      </c>
      <c r="I14" s="103">
        <v>55125</v>
      </c>
      <c r="J14" s="103">
        <v>0</v>
      </c>
      <c r="K14" s="103">
        <v>0</v>
      </c>
      <c r="L14" s="98">
        <f>SUM(D14:K14)</f>
        <v>592802</v>
      </c>
      <c r="M14" s="120"/>
    </row>
    <row r="15" spans="1:13" ht="12.75">
      <c r="A15" s="104" t="s">
        <v>287</v>
      </c>
      <c r="B15" s="105" t="s">
        <v>288</v>
      </c>
      <c r="C15" s="106">
        <f>2289708.68293125+7663</f>
        <v>2297371.68293125</v>
      </c>
      <c r="D15" s="106">
        <v>2022929</v>
      </c>
      <c r="E15" s="106">
        <v>123000</v>
      </c>
      <c r="F15" s="106">
        <v>0</v>
      </c>
      <c r="G15" s="106">
        <v>0</v>
      </c>
      <c r="H15" s="106">
        <v>52546</v>
      </c>
      <c r="I15" s="106">
        <v>0</v>
      </c>
      <c r="J15" s="106">
        <v>98897</v>
      </c>
      <c r="K15" s="106">
        <v>0</v>
      </c>
      <c r="L15" s="98">
        <f>SUM(D15:K15)</f>
        <v>2297372</v>
      </c>
      <c r="M15" s="120"/>
    </row>
    <row r="16" spans="1:13" ht="25.5">
      <c r="A16" s="102" t="s">
        <v>289</v>
      </c>
      <c r="B16" s="101" t="s">
        <v>290</v>
      </c>
      <c r="C16" s="103">
        <f>570899+97232</f>
        <v>668131</v>
      </c>
      <c r="D16" s="103">
        <v>0</v>
      </c>
      <c r="E16" s="103">
        <v>0</v>
      </c>
      <c r="F16" s="103">
        <v>0</v>
      </c>
      <c r="G16" s="103">
        <v>570899</v>
      </c>
      <c r="H16" s="103">
        <v>0</v>
      </c>
      <c r="I16" s="103">
        <v>0</v>
      </c>
      <c r="J16" s="103">
        <v>97232</v>
      </c>
      <c r="K16" s="103">
        <v>0</v>
      </c>
      <c r="L16" s="98">
        <f>SUM(D16:K16)</f>
        <v>668131</v>
      </c>
      <c r="M16" s="120"/>
    </row>
    <row r="17" spans="1:13" ht="12.75">
      <c r="A17" s="102" t="s">
        <v>291</v>
      </c>
      <c r="B17" s="101" t="s">
        <v>292</v>
      </c>
      <c r="C17" s="103">
        <f>48063.4875+34863</f>
        <v>82926.4875</v>
      </c>
      <c r="D17" s="103">
        <v>48063</v>
      </c>
      <c r="E17" s="103">
        <v>34863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98">
        <f>SUM(D17:K17)</f>
        <v>82926</v>
      </c>
      <c r="M17" s="120"/>
    </row>
    <row r="18" spans="1:13" ht="12.75">
      <c r="A18" s="102" t="s">
        <v>293</v>
      </c>
      <c r="B18" s="101" t="s">
        <v>294</v>
      </c>
      <c r="C18" s="103">
        <f>36047.34+13302</f>
        <v>49349.34</v>
      </c>
      <c r="D18" s="103">
        <v>34330.5</v>
      </c>
      <c r="E18" s="103">
        <v>0</v>
      </c>
      <c r="F18" s="103">
        <v>0</v>
      </c>
      <c r="G18" s="103">
        <v>0</v>
      </c>
      <c r="H18" s="103">
        <v>0</v>
      </c>
      <c r="I18" s="103">
        <v>15019</v>
      </c>
      <c r="J18" s="103">
        <v>0</v>
      </c>
      <c r="K18" s="103">
        <v>0</v>
      </c>
      <c r="L18" s="98">
        <f>SUM(D18:K18)</f>
        <v>49349.5</v>
      </c>
      <c r="M18" s="120"/>
    </row>
    <row r="19" spans="1:13" ht="12.75">
      <c r="A19" s="102"/>
      <c r="B19" s="101" t="s">
        <v>295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98"/>
      <c r="M19" s="120"/>
    </row>
    <row r="20" spans="1:13" ht="25.5">
      <c r="A20" s="102" t="s">
        <v>296</v>
      </c>
      <c r="B20" s="101" t="s">
        <v>297</v>
      </c>
      <c r="C20" s="103">
        <v>18959</v>
      </c>
      <c r="D20" s="103">
        <v>0</v>
      </c>
      <c r="E20" s="103">
        <v>0</v>
      </c>
      <c r="F20" s="103">
        <v>18959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98">
        <f>SUM(D20:K20)</f>
        <v>18959</v>
      </c>
      <c r="M20" s="120"/>
    </row>
    <row r="21" spans="1:13" ht="12.75">
      <c r="A21" s="102" t="s">
        <v>298</v>
      </c>
      <c r="B21" s="101" t="s">
        <v>299</v>
      </c>
      <c r="C21" s="103">
        <v>32802.6825</v>
      </c>
      <c r="D21" s="103">
        <v>0</v>
      </c>
      <c r="E21" s="103">
        <v>0</v>
      </c>
      <c r="F21" s="103">
        <v>32803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98">
        <f>SUM(D21:K21)</f>
        <v>32803</v>
      </c>
      <c r="M21" s="120"/>
    </row>
    <row r="22" spans="1:13" ht="12.75">
      <c r="A22" s="102" t="s">
        <v>300</v>
      </c>
      <c r="B22" s="101" t="s">
        <v>301</v>
      </c>
      <c r="C22" s="103">
        <f>70264+47977+12000</f>
        <v>130241</v>
      </c>
      <c r="D22" s="103">
        <v>0</v>
      </c>
      <c r="E22" s="103">
        <v>12000</v>
      </c>
      <c r="F22" s="103">
        <v>90265</v>
      </c>
      <c r="G22" s="103">
        <v>0</v>
      </c>
      <c r="H22" s="103">
        <v>27976</v>
      </c>
      <c r="I22" s="103">
        <v>0</v>
      </c>
      <c r="J22" s="103">
        <v>0</v>
      </c>
      <c r="K22" s="103">
        <v>0</v>
      </c>
      <c r="L22" s="98">
        <f>SUM(D22:K22)</f>
        <v>130241</v>
      </c>
      <c r="M22" s="120"/>
    </row>
    <row r="23" spans="1:13" ht="12.75">
      <c r="A23" s="102" t="s">
        <v>302</v>
      </c>
      <c r="B23" s="101" t="s">
        <v>303</v>
      </c>
      <c r="C23" s="103">
        <f>518431.825+6128</f>
        <v>524559.825</v>
      </c>
      <c r="D23" s="103">
        <v>0</v>
      </c>
      <c r="E23" s="103">
        <v>0</v>
      </c>
      <c r="F23" s="103">
        <v>418432</v>
      </c>
      <c r="G23" s="103">
        <v>0</v>
      </c>
      <c r="H23" s="103">
        <v>50000</v>
      </c>
      <c r="I23" s="103">
        <v>56128</v>
      </c>
      <c r="J23" s="103">
        <v>0</v>
      </c>
      <c r="K23" s="103">
        <v>0</v>
      </c>
      <c r="L23" s="98">
        <f>SUM(D23:K23)</f>
        <v>524560</v>
      </c>
      <c r="M23" s="120"/>
    </row>
    <row r="24" spans="1:13" ht="12.75">
      <c r="A24" s="102" t="s">
        <v>304</v>
      </c>
      <c r="B24" s="101" t="s">
        <v>305</v>
      </c>
      <c r="C24" s="103">
        <v>35000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35000</v>
      </c>
      <c r="J24" s="103">
        <v>0</v>
      </c>
      <c r="K24" s="103">
        <v>0</v>
      </c>
      <c r="L24" s="98">
        <f>SUM(D24:K24)</f>
        <v>35000</v>
      </c>
      <c r="M24" s="120"/>
    </row>
    <row r="25" spans="1:13" ht="12.75">
      <c r="A25" s="102" t="s">
        <v>306</v>
      </c>
      <c r="B25" s="101" t="s">
        <v>307</v>
      </c>
      <c r="C25" s="103">
        <v>10000</v>
      </c>
      <c r="D25" s="103">
        <v>0</v>
      </c>
      <c r="E25" s="103">
        <v>5000</v>
      </c>
      <c r="F25" s="103">
        <v>5000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98">
        <f>SUM(D25:K25)</f>
        <v>10000</v>
      </c>
      <c r="M25" s="120"/>
    </row>
    <row r="26" spans="1:13" ht="25.5">
      <c r="A26" s="102" t="s">
        <v>308</v>
      </c>
      <c r="B26" s="101" t="s">
        <v>309</v>
      </c>
      <c r="C26" s="103">
        <v>25000</v>
      </c>
      <c r="D26" s="103">
        <v>0</v>
      </c>
      <c r="E26" s="103">
        <v>5000</v>
      </c>
      <c r="F26" s="103">
        <v>11000</v>
      </c>
      <c r="G26" s="103">
        <v>0</v>
      </c>
      <c r="H26" s="103">
        <v>9000</v>
      </c>
      <c r="I26" s="103">
        <v>0</v>
      </c>
      <c r="J26" s="103">
        <v>0</v>
      </c>
      <c r="K26" s="103">
        <v>0</v>
      </c>
      <c r="L26" s="98">
        <f>SUM(D26:K26)</f>
        <v>25000</v>
      </c>
      <c r="M26" s="120"/>
    </row>
    <row r="27" spans="1:13" ht="12.75">
      <c r="A27" s="102" t="s">
        <v>310</v>
      </c>
      <c r="B27" s="101" t="s">
        <v>311</v>
      </c>
      <c r="C27" s="103">
        <v>15000</v>
      </c>
      <c r="D27" s="103">
        <v>0</v>
      </c>
      <c r="E27" s="103">
        <v>5000</v>
      </c>
      <c r="F27" s="103">
        <v>5000</v>
      </c>
      <c r="G27" s="103">
        <v>0</v>
      </c>
      <c r="H27" s="103">
        <v>5000</v>
      </c>
      <c r="I27" s="103">
        <v>0</v>
      </c>
      <c r="J27" s="103">
        <v>0</v>
      </c>
      <c r="K27" s="103">
        <v>0</v>
      </c>
      <c r="L27" s="98">
        <f>SUM(D27:K27)</f>
        <v>15000</v>
      </c>
      <c r="M27" s="120"/>
    </row>
    <row r="28" spans="1:13" ht="25.5">
      <c r="A28" s="102" t="s">
        <v>312</v>
      </c>
      <c r="B28" s="101" t="s">
        <v>313</v>
      </c>
      <c r="C28" s="103">
        <v>144580.295</v>
      </c>
      <c r="D28" s="103">
        <v>0</v>
      </c>
      <c r="E28" s="103">
        <v>30000</v>
      </c>
      <c r="F28" s="103">
        <v>40000</v>
      </c>
      <c r="G28" s="103">
        <v>0</v>
      </c>
      <c r="H28" s="103">
        <v>38649</v>
      </c>
      <c r="I28" s="103">
        <v>35931.5</v>
      </c>
      <c r="J28" s="103">
        <v>0</v>
      </c>
      <c r="K28" s="103">
        <v>0</v>
      </c>
      <c r="L28" s="98">
        <f>SUM(D28:K28)</f>
        <v>144580.5</v>
      </c>
      <c r="M28" s="120"/>
    </row>
    <row r="29" spans="1:13" ht="12.75">
      <c r="A29" s="102" t="s">
        <v>314</v>
      </c>
      <c r="B29" s="101" t="s">
        <v>315</v>
      </c>
      <c r="C29" s="103">
        <v>58608.3</v>
      </c>
      <c r="D29" s="103">
        <v>0</v>
      </c>
      <c r="E29" s="103">
        <v>10000</v>
      </c>
      <c r="F29" s="103">
        <v>48607.9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98">
        <f>SUM(D29:K29)</f>
        <v>58607.9</v>
      </c>
      <c r="M29" s="120"/>
    </row>
    <row r="30" spans="1:13" ht="12.75">
      <c r="A30" s="102" t="s">
        <v>316</v>
      </c>
      <c r="B30" s="101" t="s">
        <v>317</v>
      </c>
      <c r="C30" s="103">
        <v>10000</v>
      </c>
      <c r="D30" s="103">
        <v>0</v>
      </c>
      <c r="E30" s="103">
        <v>5000</v>
      </c>
      <c r="F30" s="103">
        <v>0</v>
      </c>
      <c r="G30" s="103">
        <v>0</v>
      </c>
      <c r="H30" s="103">
        <v>5000</v>
      </c>
      <c r="I30" s="103">
        <v>0</v>
      </c>
      <c r="J30" s="103">
        <v>0</v>
      </c>
      <c r="K30" s="103">
        <v>0</v>
      </c>
      <c r="L30" s="98">
        <f>SUM(D30:K30)</f>
        <v>10000</v>
      </c>
      <c r="M30" s="120"/>
    </row>
    <row r="31" spans="1:13" ht="25.5">
      <c r="A31" s="102" t="s">
        <v>318</v>
      </c>
      <c r="B31" s="101" t="s">
        <v>319</v>
      </c>
      <c r="C31" s="103">
        <f>146473.74+141131+97071</f>
        <v>384675.74</v>
      </c>
      <c r="D31" s="103">
        <v>0</v>
      </c>
      <c r="E31" s="103">
        <v>50000</v>
      </c>
      <c r="F31" s="103">
        <f>90000+175176.3+20000</f>
        <v>285176.3</v>
      </c>
      <c r="G31" s="103">
        <v>0</v>
      </c>
      <c r="H31" s="103">
        <v>49499</v>
      </c>
      <c r="I31" s="103">
        <v>0</v>
      </c>
      <c r="J31" s="103">
        <v>0</v>
      </c>
      <c r="K31" s="103">
        <v>0</v>
      </c>
      <c r="L31" s="98">
        <f>SUM(D31:K31)</f>
        <v>384675.3</v>
      </c>
      <c r="M31" s="120"/>
    </row>
    <row r="32" spans="1:13" ht="12.75">
      <c r="A32" s="102" t="s">
        <v>320</v>
      </c>
      <c r="B32" s="101" t="s">
        <v>321</v>
      </c>
      <c r="C32" s="103">
        <v>48570.6</v>
      </c>
      <c r="D32" s="103">
        <v>0</v>
      </c>
      <c r="E32" s="103">
        <v>0</v>
      </c>
      <c r="F32" s="103">
        <v>48570.55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98">
        <f>SUM(D32:K32)</f>
        <v>48570.55</v>
      </c>
      <c r="M32" s="120"/>
    </row>
    <row r="33" spans="1:13" ht="11.25">
      <c r="A33" s="108"/>
      <c r="B33" s="109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120"/>
    </row>
    <row r="34" spans="1:13" ht="16.5" thickBot="1">
      <c r="A34" s="110"/>
      <c r="B34" s="111" t="s">
        <v>322</v>
      </c>
      <c r="C34" s="112">
        <f>SUM(C8:C32)</f>
        <v>6383192.39575125</v>
      </c>
      <c r="D34" s="112">
        <f aca="true" t="shared" si="0" ref="D34:K34">SUM(D8:D32)</f>
        <v>2617395.5</v>
      </c>
      <c r="E34" s="112">
        <f t="shared" si="0"/>
        <v>995863.4755200001</v>
      </c>
      <c r="F34" s="112">
        <f t="shared" si="0"/>
        <v>1277013.25</v>
      </c>
      <c r="G34" s="112">
        <f t="shared" si="0"/>
        <v>570899</v>
      </c>
      <c r="H34" s="112">
        <f t="shared" si="0"/>
        <v>528688.4</v>
      </c>
      <c r="I34" s="112">
        <f t="shared" si="0"/>
        <v>197203.5</v>
      </c>
      <c r="J34" s="112">
        <f t="shared" si="0"/>
        <v>196129</v>
      </c>
      <c r="K34" s="112">
        <f t="shared" si="0"/>
        <v>0</v>
      </c>
      <c r="L34" s="113">
        <f>SUM(L8:L32)</f>
        <v>6383192.12552</v>
      </c>
      <c r="M34" s="120"/>
    </row>
    <row r="35" ht="10.5">
      <c r="A35" t="s">
        <v>20</v>
      </c>
    </row>
    <row r="36" spans="2:6" ht="10.5">
      <c r="B36" s="114"/>
      <c r="C36" s="65"/>
      <c r="D36" s="65"/>
      <c r="E36" s="65"/>
      <c r="F36" s="65"/>
    </row>
    <row r="37" spans="2:6" ht="12.75">
      <c r="B37" s="115"/>
      <c r="C37" s="116"/>
      <c r="D37" s="122"/>
      <c r="E37" s="65"/>
      <c r="F37" s="65"/>
    </row>
    <row r="39" ht="10.5">
      <c r="B39" s="156"/>
    </row>
    <row r="40" ht="10.5">
      <c r="B40" s="25" t="s">
        <v>336</v>
      </c>
    </row>
    <row r="41" ht="10.5">
      <c r="B41" t="s">
        <v>337</v>
      </c>
    </row>
    <row r="42" ht="10.5">
      <c r="B42" s="155"/>
    </row>
  </sheetData>
  <sheetProtection/>
  <mergeCells count="4">
    <mergeCell ref="A1:L1"/>
    <mergeCell ref="A2:L2"/>
    <mergeCell ref="A3:L3"/>
    <mergeCell ref="D5:K5"/>
  </mergeCells>
  <printOptions/>
  <pageMargins left="0.91" right="0.7" top="0.75" bottom="0.75" header="0.3" footer="0.3"/>
  <pageSetup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B1">
      <selection activeCell="B44" sqref="B44"/>
    </sheetView>
  </sheetViews>
  <sheetFormatPr defaultColWidth="12" defaultRowHeight="10.5"/>
  <cols>
    <col min="1" max="1" width="22.16015625" style="0" customWidth="1"/>
    <col min="2" max="2" width="97.16015625" style="24" customWidth="1"/>
    <col min="3" max="3" width="39.33203125" style="0" customWidth="1"/>
    <col min="4" max="6" width="12" style="65" customWidth="1"/>
  </cols>
  <sheetData>
    <row r="1" spans="1:3" ht="15.75">
      <c r="A1" s="158" t="s">
        <v>323</v>
      </c>
      <c r="B1" s="158"/>
      <c r="C1" s="158"/>
    </row>
    <row r="2" spans="1:3" ht="37.5" customHeight="1">
      <c r="A2" s="160" t="s">
        <v>333</v>
      </c>
      <c r="B2" s="160"/>
      <c r="C2" s="160"/>
    </row>
    <row r="3" spans="1:4" ht="15.75">
      <c r="A3" s="158" t="s">
        <v>271</v>
      </c>
      <c r="B3" s="158"/>
      <c r="C3" s="158"/>
      <c r="D3" s="88"/>
    </row>
    <row r="4" ht="13.5" thickBot="1">
      <c r="D4" s="88"/>
    </row>
    <row r="5" spans="1:6" s="132" customFormat="1" ht="59.25" customHeight="1">
      <c r="A5" s="128" t="s">
        <v>272</v>
      </c>
      <c r="B5" s="129" t="s">
        <v>325</v>
      </c>
      <c r="C5" s="129" t="s">
        <v>332</v>
      </c>
      <c r="D5" s="130"/>
      <c r="E5" s="131"/>
      <c r="F5" s="131"/>
    </row>
    <row r="6" spans="1:6" s="136" customFormat="1" ht="15.75">
      <c r="A6" s="133"/>
      <c r="B6" s="134"/>
      <c r="C6" s="134"/>
      <c r="D6" s="135"/>
      <c r="E6" s="130"/>
      <c r="F6" s="130"/>
    </row>
    <row r="7" spans="1:6" s="136" customFormat="1" ht="15.75">
      <c r="A7" s="137" t="s">
        <v>280</v>
      </c>
      <c r="B7" s="138" t="s">
        <v>334</v>
      </c>
      <c r="C7" s="139">
        <f>'MATRIZ PLURIANUAL 2012'!C8+'MATRIZ PLURIANUAL 2013'!C8+'MATRIZ PLURIANUAL 2014'!C8+'MATRIZ PLURIANUAL 2015'!C8</f>
        <v>2868019.2408000003</v>
      </c>
      <c r="D7" s="140"/>
      <c r="E7" s="141"/>
      <c r="F7" s="130"/>
    </row>
    <row r="8" spans="1:6" s="136" customFormat="1" ht="31.5">
      <c r="A8" s="137" t="s">
        <v>280</v>
      </c>
      <c r="B8" s="138" t="s">
        <v>335</v>
      </c>
      <c r="C8" s="139">
        <f>'MATRIZ PLURIANUAL 2012'!C9+'MATRIZ PLURIANUAL 2013'!C9+'MATRIZ PLURIANUAL 2014'!C9+'MATRIZ PLURIANUAL 2015'!C9</f>
        <v>796976.3635200001</v>
      </c>
      <c r="D8" s="140"/>
      <c r="E8" s="141"/>
      <c r="F8" s="130"/>
    </row>
    <row r="9" spans="1:6" s="136" customFormat="1" ht="15.75">
      <c r="A9" s="133"/>
      <c r="B9" s="134"/>
      <c r="C9" s="142"/>
      <c r="D9" s="143"/>
      <c r="E9" s="141"/>
      <c r="F9" s="130"/>
    </row>
    <row r="10" spans="1:6" s="136" customFormat="1" ht="15.75">
      <c r="A10" s="144" t="s">
        <v>282</v>
      </c>
      <c r="B10" s="145" t="s">
        <v>283</v>
      </c>
      <c r="C10" s="139">
        <f>'MATRIZ PLURIANUAL 2012'!C11+'MATRIZ PLURIANUAL 2013'!C11+'MATRIZ PLURIANUAL 2014'!C11+'MATRIZ PLURIANUAL 2015'!C11</f>
        <v>1017189.5</v>
      </c>
      <c r="D10" s="140"/>
      <c r="E10" s="141"/>
      <c r="F10" s="130"/>
    </row>
    <row r="11" spans="1:6" s="136" customFormat="1" ht="15.75">
      <c r="A11" s="133"/>
      <c r="B11" s="134"/>
      <c r="C11" s="142"/>
      <c r="D11" s="143"/>
      <c r="E11" s="141"/>
      <c r="F11" s="130"/>
    </row>
    <row r="12" spans="1:6" s="136" customFormat="1" ht="15.75">
      <c r="A12" s="146"/>
      <c r="B12" s="145" t="s">
        <v>284</v>
      </c>
      <c r="C12" s="139"/>
      <c r="D12" s="140"/>
      <c r="E12" s="141"/>
      <c r="F12" s="141"/>
    </row>
    <row r="13" spans="1:6" s="136" customFormat="1" ht="15.75">
      <c r="A13" s="146" t="s">
        <v>285</v>
      </c>
      <c r="B13" s="145" t="s">
        <v>286</v>
      </c>
      <c r="C13" s="139">
        <f>'MATRIZ PLURIANUAL 2012'!C14+'MATRIZ PLURIANUAL 2013'!C14+'MATRIZ PLURIANUAL 2014'!C14+'MATRIZ PLURIANUAL 2015'!C14</f>
        <v>3786727.8175</v>
      </c>
      <c r="D13" s="140"/>
      <c r="E13" s="141"/>
      <c r="F13" s="141"/>
    </row>
    <row r="14" spans="1:4" s="141" customFormat="1" ht="15.75">
      <c r="A14" s="147" t="s">
        <v>287</v>
      </c>
      <c r="B14" s="148" t="s">
        <v>288</v>
      </c>
      <c r="C14" s="139">
        <f>'MATRIZ PLURIANUAL 2012'!C15+'MATRIZ PLURIANUAL 2013'!C15+'MATRIZ PLURIANUAL 2014'!C15+'MATRIZ PLURIANUAL 2015'!C15</f>
        <v>8585362.341556251</v>
      </c>
      <c r="D14" s="140"/>
    </row>
    <row r="15" spans="1:4" s="141" customFormat="1" ht="15.75">
      <c r="A15" s="146" t="s">
        <v>289</v>
      </c>
      <c r="B15" s="145" t="s">
        <v>290</v>
      </c>
      <c r="C15" s="139">
        <f>'MATRIZ PLURIANUAL 2012'!C16+'MATRIZ PLURIANUAL 2013'!C16+'MATRIZ PLURIANUAL 2014'!C16+'MATRIZ PLURIANUAL 2015'!C16</f>
        <v>2544296</v>
      </c>
      <c r="D15" s="140"/>
    </row>
    <row r="16" spans="1:4" s="141" customFormat="1" ht="15.75">
      <c r="A16" s="146" t="s">
        <v>291</v>
      </c>
      <c r="B16" s="145" t="s">
        <v>292</v>
      </c>
      <c r="C16" s="139">
        <f>'MATRIZ PLURIANUAL 2012'!C17+'MATRIZ PLURIANUAL 2013'!C17+'MATRIZ PLURIANUAL 2014'!C17+'MATRIZ PLURIANUAL 2015'!C17</f>
        <v>294554.2125</v>
      </c>
      <c r="D16" s="140"/>
    </row>
    <row r="17" spans="1:4" s="141" customFormat="1" ht="15.75">
      <c r="A17" s="146" t="s">
        <v>293</v>
      </c>
      <c r="B17" s="145" t="s">
        <v>294</v>
      </c>
      <c r="C17" s="139">
        <f>'MATRIZ PLURIANUAL 2012'!C18+'MATRIZ PLURIANUAL 2013'!C18+'MATRIZ PLURIANUAL 2014'!C18+'MATRIZ PLURIANUAL 2015'!C18</f>
        <v>182378.81999999998</v>
      </c>
      <c r="D17" s="140"/>
    </row>
    <row r="18" spans="1:4" s="141" customFormat="1" ht="15.75">
      <c r="A18" s="146"/>
      <c r="B18" s="145" t="s">
        <v>295</v>
      </c>
      <c r="C18" s="139"/>
      <c r="D18" s="140"/>
    </row>
    <row r="19" spans="1:4" s="141" customFormat="1" ht="15.75">
      <c r="A19" s="146" t="s">
        <v>296</v>
      </c>
      <c r="B19" s="145" t="s">
        <v>297</v>
      </c>
      <c r="C19" s="139">
        <f>'MATRIZ PLURIANUAL 2012'!C20+'MATRIZ PLURIANUAL 2013'!C20+'MATRIZ PLURIANUAL 2014'!C20+'MATRIZ PLURIANUAL 2015'!C20</f>
        <v>75836</v>
      </c>
      <c r="D19" s="140"/>
    </row>
    <row r="20" spans="1:4" s="141" customFormat="1" ht="15.75">
      <c r="A20" s="146" t="s">
        <v>298</v>
      </c>
      <c r="B20" s="145" t="s">
        <v>299</v>
      </c>
      <c r="C20" s="139">
        <f>'MATRIZ PLURIANUAL 2012'!C21+'MATRIZ PLURIANUAL 2013'!C21+'MATRIZ PLURIANUAL 2014'!C21+'MATRIZ PLURIANUAL 2015'!C21</f>
        <v>129648.69750000001</v>
      </c>
      <c r="D20" s="140"/>
    </row>
    <row r="21" spans="1:4" s="141" customFormat="1" ht="15.75">
      <c r="A21" s="146" t="s">
        <v>300</v>
      </c>
      <c r="B21" s="145" t="s">
        <v>301</v>
      </c>
      <c r="C21" s="139">
        <f>'MATRIZ PLURIANUAL 2012'!C22+'MATRIZ PLURIANUAL 2013'!C22+'MATRIZ PLURIANUAL 2014'!C22+'MATRIZ PLURIANUAL 2015'!C22</f>
        <v>464964</v>
      </c>
      <c r="D21" s="140"/>
    </row>
    <row r="22" spans="1:4" s="141" customFormat="1" ht="15.75">
      <c r="A22" s="146" t="s">
        <v>302</v>
      </c>
      <c r="B22" s="145" t="s">
        <v>303</v>
      </c>
      <c r="C22" s="139">
        <f>'MATRIZ PLURIANUAL 2012'!C23+'MATRIZ PLURIANUAL 2013'!C23+'MATRIZ PLURIANUAL 2014'!C23+'MATRIZ PLURIANUAL 2015'!C23</f>
        <v>1966058.4749999999</v>
      </c>
      <c r="D22" s="140"/>
    </row>
    <row r="23" spans="1:4" s="141" customFormat="1" ht="15.75">
      <c r="A23" s="146" t="s">
        <v>304</v>
      </c>
      <c r="B23" s="145" t="s">
        <v>305</v>
      </c>
      <c r="C23" s="139">
        <f>'MATRIZ PLURIANUAL 2012'!C24+'MATRIZ PLURIANUAL 2013'!C24+'MATRIZ PLURIANUAL 2014'!C24+'MATRIZ PLURIANUAL 2015'!C24</f>
        <v>110000</v>
      </c>
      <c r="D23" s="140"/>
    </row>
    <row r="24" spans="1:4" s="141" customFormat="1" ht="15.75">
      <c r="A24" s="146" t="s">
        <v>306</v>
      </c>
      <c r="B24" s="145" t="s">
        <v>307</v>
      </c>
      <c r="C24" s="139">
        <f>'MATRIZ PLURIANUAL 2012'!C25+'MATRIZ PLURIANUAL 2013'!C25+'MATRIZ PLURIANUAL 2014'!C25+'MATRIZ PLURIANUAL 2015'!C25</f>
        <v>35000</v>
      </c>
      <c r="D24" s="140"/>
    </row>
    <row r="25" spans="1:4" s="141" customFormat="1" ht="15.75">
      <c r="A25" s="146" t="s">
        <v>308</v>
      </c>
      <c r="B25" s="145" t="s">
        <v>309</v>
      </c>
      <c r="C25" s="139">
        <f>'MATRIZ PLURIANUAL 2012'!C26+'MATRIZ PLURIANUAL 2013'!C26+'MATRIZ PLURIANUAL 2014'!C26+'MATRIZ PLURIANUAL 2015'!C26</f>
        <v>74000</v>
      </c>
      <c r="D25" s="140"/>
    </row>
    <row r="26" spans="1:4" s="141" customFormat="1" ht="15.75">
      <c r="A26" s="146" t="s">
        <v>310</v>
      </c>
      <c r="B26" s="145" t="s">
        <v>311</v>
      </c>
      <c r="C26" s="139">
        <f>'MATRIZ PLURIANUAL 2012'!C27+'MATRIZ PLURIANUAL 2013'!C27+'MATRIZ PLURIANUAL 2014'!C27+'MATRIZ PLURIANUAL 2015'!C27</f>
        <v>40000</v>
      </c>
      <c r="D26" s="140"/>
    </row>
    <row r="27" spans="1:4" s="141" customFormat="1" ht="18.75" customHeight="1">
      <c r="A27" s="146" t="s">
        <v>312</v>
      </c>
      <c r="B27" s="145" t="s">
        <v>313</v>
      </c>
      <c r="C27" s="139">
        <f>'MATRIZ PLURIANUAL 2012'!C28+'MATRIZ PLURIANUAL 2013'!C28+'MATRIZ PLURIANUAL 2014'!C28+'MATRIZ PLURIANUAL 2015'!C28</f>
        <v>512389.885</v>
      </c>
      <c r="D27" s="140"/>
    </row>
    <row r="28" spans="1:4" s="141" customFormat="1" ht="15.75">
      <c r="A28" s="146" t="s">
        <v>314</v>
      </c>
      <c r="B28" s="145" t="s">
        <v>315</v>
      </c>
      <c r="C28" s="139">
        <f>'MATRIZ PLURIANUAL 2012'!C29+'MATRIZ PLURIANUAL 2013'!C29+'MATRIZ PLURIANUAL 2014'!C29+'MATRIZ PLURIANUAL 2015'!C29</f>
        <v>194433.2</v>
      </c>
      <c r="D28" s="140"/>
    </row>
    <row r="29" spans="1:4" s="141" customFormat="1" ht="15.75">
      <c r="A29" s="146" t="s">
        <v>316</v>
      </c>
      <c r="B29" s="145" t="s">
        <v>317</v>
      </c>
      <c r="C29" s="139">
        <f>'MATRIZ PLURIANUAL 2012'!C30+'MATRIZ PLURIANUAL 2013'!C30+'MATRIZ PLURIANUAL 2014'!C30+'MATRIZ PLURIANUAL 2015'!C30</f>
        <v>35000</v>
      </c>
      <c r="D29" s="140"/>
    </row>
    <row r="30" spans="1:4" s="141" customFormat="1" ht="15.75">
      <c r="A30" s="146" t="s">
        <v>318</v>
      </c>
      <c r="B30" s="145" t="s">
        <v>319</v>
      </c>
      <c r="C30" s="139">
        <f>'MATRIZ PLURIANUAL 2012'!C31+'MATRIZ PLURIANUAL 2013'!C31+'MATRIZ PLURIANUAL 2014'!C31+'MATRIZ PLURIANUAL 2015'!C31</f>
        <v>1203526.22</v>
      </c>
      <c r="D30" s="140"/>
    </row>
    <row r="31" spans="1:4" s="141" customFormat="1" ht="15.75">
      <c r="A31" s="146" t="s">
        <v>320</v>
      </c>
      <c r="B31" s="145" t="s">
        <v>321</v>
      </c>
      <c r="C31" s="139">
        <f>'MATRIZ PLURIANUAL 2012'!C32+'MATRIZ PLURIANUAL 2013'!C32+'MATRIZ PLURIANUAL 2014'!C32+'MATRIZ PLURIANUAL 2015'!C32</f>
        <v>180282.4</v>
      </c>
      <c r="D31" s="140"/>
    </row>
    <row r="32" spans="1:4" s="141" customFormat="1" ht="15.75">
      <c r="A32" s="149"/>
      <c r="B32" s="150"/>
      <c r="C32" s="151"/>
      <c r="D32" s="140"/>
    </row>
    <row r="33" spans="1:4" s="141" customFormat="1" ht="18.75" thickBot="1">
      <c r="A33" s="152"/>
      <c r="B33" s="154" t="s">
        <v>322</v>
      </c>
      <c r="C33" s="153">
        <f>SUM(C7:C31)</f>
        <v>25096643.17337625</v>
      </c>
      <c r="D33" s="140"/>
    </row>
    <row r="34" ht="10.5">
      <c r="A34" t="s">
        <v>20</v>
      </c>
    </row>
    <row r="35" spans="2:3" ht="10.5">
      <c r="B35" s="114"/>
      <c r="C35" s="65"/>
    </row>
    <row r="36" spans="2:3" ht="12.75">
      <c r="B36" s="115"/>
      <c r="C36" s="116"/>
    </row>
    <row r="38" ht="10.5">
      <c r="B38" s="65"/>
    </row>
    <row r="39" ht="10.5">
      <c r="B39" s="25" t="s">
        <v>336</v>
      </c>
    </row>
    <row r="40" ht="10.5">
      <c r="B40" t="s">
        <v>337</v>
      </c>
    </row>
  </sheetData>
  <sheetProtection/>
  <mergeCells count="3">
    <mergeCell ref="A2:C2"/>
    <mergeCell ref="A1:C1"/>
    <mergeCell ref="A3:C3"/>
  </mergeCells>
  <printOptions/>
  <pageMargins left="0.91" right="0.7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5" sqref="A15"/>
    </sheetView>
  </sheetViews>
  <sheetFormatPr defaultColWidth="12" defaultRowHeight="10.5"/>
  <cols>
    <col min="1" max="1" width="42.66015625" style="0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19.83203125" style="0" customWidth="1"/>
    <col min="7" max="7" width="19.16015625" style="0" customWidth="1"/>
    <col min="8" max="8" width="18.66015625" style="0" customWidth="1"/>
  </cols>
  <sheetData>
    <row r="1" spans="1:8" ht="15">
      <c r="A1" s="157" t="s">
        <v>11</v>
      </c>
      <c r="B1" s="157"/>
      <c r="C1" s="157"/>
      <c r="D1" s="157"/>
      <c r="E1" s="157"/>
      <c r="F1" s="157"/>
      <c r="G1" s="157"/>
      <c r="H1" s="157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157" t="s">
        <v>12</v>
      </c>
      <c r="B3" s="157"/>
      <c r="C3" s="157"/>
      <c r="D3" s="157"/>
      <c r="E3" s="157"/>
      <c r="F3" s="157"/>
      <c r="G3" s="157"/>
      <c r="H3" s="157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15" thickBot="1">
      <c r="A5" s="3"/>
      <c r="B5" s="3"/>
      <c r="C5" s="3"/>
      <c r="D5" s="3"/>
      <c r="E5" s="3"/>
      <c r="F5" s="3"/>
      <c r="G5" s="3"/>
      <c r="H5" s="3"/>
    </row>
    <row r="6" spans="1:8" s="1" customFormat="1" ht="45">
      <c r="A6" s="4" t="s">
        <v>2</v>
      </c>
      <c r="B6" s="5">
        <v>2009</v>
      </c>
      <c r="C6" s="5">
        <v>2010</v>
      </c>
      <c r="D6" s="5">
        <v>2011</v>
      </c>
      <c r="E6" s="5">
        <v>2012</v>
      </c>
      <c r="F6" s="5" t="s">
        <v>3</v>
      </c>
      <c r="G6" s="5" t="s">
        <v>4</v>
      </c>
      <c r="H6" s="6" t="s">
        <v>5</v>
      </c>
    </row>
    <row r="7" spans="1:8" ht="14.25">
      <c r="A7" s="7"/>
      <c r="B7" s="8"/>
      <c r="C7" s="8"/>
      <c r="D7" s="8"/>
      <c r="E7" s="8"/>
      <c r="F7" s="8"/>
      <c r="G7" s="8"/>
      <c r="H7" s="9"/>
    </row>
    <row r="8" spans="1:8" ht="15">
      <c r="A8" s="18" t="s">
        <v>13</v>
      </c>
      <c r="B8" s="22">
        <v>6642691</v>
      </c>
      <c r="C8" s="22">
        <v>6291226.199999999</v>
      </c>
      <c r="D8" s="22">
        <v>6706172.445</v>
      </c>
      <c r="E8" s="22">
        <v>6618635.41725</v>
      </c>
      <c r="F8" s="20">
        <f>C8/B8*100%</f>
        <v>0.9470899971111104</v>
      </c>
      <c r="G8" s="20">
        <f>D8/C8*100%</f>
        <v>1.065956338527456</v>
      </c>
      <c r="H8" s="21">
        <f>E8/D8*100%</f>
        <v>0.9869467973769052</v>
      </c>
    </row>
    <row r="9" spans="1:8" ht="14.25">
      <c r="A9" s="7" t="s">
        <v>14</v>
      </c>
      <c r="B9" s="23">
        <v>827828</v>
      </c>
      <c r="C9" s="23">
        <v>700143.85</v>
      </c>
      <c r="D9" s="23">
        <v>633728</v>
      </c>
      <c r="E9" s="23">
        <v>665414.3999999999</v>
      </c>
      <c r="F9" s="13">
        <f>C9/B9*100%</f>
        <v>0.845760049188962</v>
      </c>
      <c r="G9" s="13">
        <f>D9/C9*100%</f>
        <v>0.9051397080757048</v>
      </c>
      <c r="H9" s="15">
        <f>E9/D9*100%</f>
        <v>1.0499999999999998</v>
      </c>
    </row>
    <row r="10" spans="1:8" ht="14.25">
      <c r="A10" s="7" t="s">
        <v>15</v>
      </c>
      <c r="B10" s="11">
        <v>310428</v>
      </c>
      <c r="C10" s="11">
        <v>316296.85</v>
      </c>
      <c r="D10" s="11">
        <v>248973</v>
      </c>
      <c r="E10" s="11">
        <v>261421.65</v>
      </c>
      <c r="F10" s="13">
        <f>C10/B10*100%</f>
        <v>1.0189056721687475</v>
      </c>
      <c r="G10" s="13">
        <f>D10/C10*100%</f>
        <v>0.7871497929871891</v>
      </c>
      <c r="H10" s="15">
        <f>E10/D10*100%</f>
        <v>1.05</v>
      </c>
    </row>
    <row r="11" spans="1:8" ht="14.25">
      <c r="A11" s="7" t="s">
        <v>16</v>
      </c>
      <c r="B11" s="11">
        <v>134441</v>
      </c>
      <c r="C11" s="11">
        <v>19671</v>
      </c>
      <c r="D11" s="11">
        <v>17213</v>
      </c>
      <c r="E11" s="11">
        <v>18073.65</v>
      </c>
      <c r="F11" s="13">
        <f aca="true" t="shared" si="0" ref="F11:H14">C11/B11*100%</f>
        <v>0.14631697175712766</v>
      </c>
      <c r="G11" s="13">
        <f t="shared" si="0"/>
        <v>0.8750444817243658</v>
      </c>
      <c r="H11" s="15">
        <f t="shared" si="0"/>
        <v>1.05</v>
      </c>
    </row>
    <row r="12" spans="1:8" ht="14.25">
      <c r="A12" s="7" t="s">
        <v>17</v>
      </c>
      <c r="B12" s="11">
        <v>382959</v>
      </c>
      <c r="C12" s="11">
        <v>364176</v>
      </c>
      <c r="D12" s="11">
        <v>367542</v>
      </c>
      <c r="E12" s="11">
        <v>385919.1</v>
      </c>
      <c r="F12" s="13">
        <f t="shared" si="0"/>
        <v>0.950952974078165</v>
      </c>
      <c r="G12" s="13">
        <f t="shared" si="0"/>
        <v>1.009242783708976</v>
      </c>
      <c r="H12" s="15">
        <f t="shared" si="0"/>
        <v>1.05</v>
      </c>
    </row>
    <row r="13" spans="1:8" ht="14.25">
      <c r="A13" s="7" t="s">
        <v>18</v>
      </c>
      <c r="B13" s="11">
        <v>60059</v>
      </c>
      <c r="C13" s="11">
        <v>40000</v>
      </c>
      <c r="D13" s="11">
        <v>52429</v>
      </c>
      <c r="E13" s="11">
        <v>236000</v>
      </c>
      <c r="F13" s="13">
        <f t="shared" si="0"/>
        <v>0.6660117551074777</v>
      </c>
      <c r="G13" s="13">
        <f t="shared" si="0"/>
        <v>1.310725</v>
      </c>
      <c r="H13" s="15">
        <f t="shared" si="0"/>
        <v>4.501325602243034</v>
      </c>
    </row>
    <row r="14" spans="1:8" ht="15" thickBot="1">
      <c r="A14" s="10" t="s">
        <v>19</v>
      </c>
      <c r="B14" s="12">
        <v>5591617</v>
      </c>
      <c r="C14" s="12">
        <v>5375797.35</v>
      </c>
      <c r="D14" s="12">
        <v>5840554.445</v>
      </c>
      <c r="E14" s="12">
        <v>4729541.0172500005</v>
      </c>
      <c r="F14" s="14">
        <f t="shared" si="0"/>
        <v>0.9614029984528625</v>
      </c>
      <c r="G14" s="14">
        <f t="shared" si="0"/>
        <v>1.0864536113884578</v>
      </c>
      <c r="H14" s="16">
        <f t="shared" si="0"/>
        <v>0.8097760344138013</v>
      </c>
    </row>
    <row r="15" ht="14.25">
      <c r="A15" s="17" t="s">
        <v>20</v>
      </c>
    </row>
    <row r="22" ht="10.5">
      <c r="A22" s="155"/>
    </row>
    <row r="23" ht="10.5">
      <c r="A23" s="25" t="s">
        <v>336</v>
      </c>
    </row>
    <row r="24" ht="10.5">
      <c r="A24" t="s">
        <v>337</v>
      </c>
    </row>
  </sheetData>
  <sheetProtection/>
  <mergeCells count="2">
    <mergeCell ref="A1:H1"/>
    <mergeCell ref="A3:H3"/>
  </mergeCells>
  <printOptions/>
  <pageMargins left="1.141732283464567" right="0.7086614173228347" top="1.9291338582677167" bottom="0.7480314960629921" header="0.31496062992125984" footer="0.31496062992125984"/>
  <pageSetup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">
      <selection activeCell="C143" sqref="C143"/>
    </sheetView>
  </sheetViews>
  <sheetFormatPr defaultColWidth="28.16015625" defaultRowHeight="10.5"/>
  <cols>
    <col min="1" max="1" width="15.16015625" style="38" customWidth="1"/>
    <col min="2" max="2" width="43.5" style="52" customWidth="1"/>
    <col min="3" max="19" width="15.83203125" style="38" customWidth="1"/>
    <col min="20" max="16384" width="28.16015625" style="38" customWidth="1"/>
  </cols>
  <sheetData>
    <row r="1" s="28" customFormat="1" ht="12">
      <c r="B1" s="29" t="s">
        <v>21</v>
      </c>
    </row>
    <row r="2" s="28" customFormat="1" ht="12.75" thickBot="1">
      <c r="B2" s="29" t="s">
        <v>22</v>
      </c>
    </row>
    <row r="3" spans="1:19" s="33" customFormat="1" ht="48">
      <c r="A3" s="30" t="s">
        <v>126</v>
      </c>
      <c r="B3" s="31" t="s">
        <v>23</v>
      </c>
      <c r="C3" s="31" t="s">
        <v>127</v>
      </c>
      <c r="D3" s="31" t="s">
        <v>128</v>
      </c>
      <c r="E3" s="31" t="s">
        <v>129</v>
      </c>
      <c r="F3" s="31" t="s">
        <v>130</v>
      </c>
      <c r="G3" s="31" t="s">
        <v>131</v>
      </c>
      <c r="H3" s="31" t="s">
        <v>132</v>
      </c>
      <c r="I3" s="31" t="s">
        <v>133</v>
      </c>
      <c r="J3" s="31" t="s">
        <v>134</v>
      </c>
      <c r="K3" s="31" t="s">
        <v>135</v>
      </c>
      <c r="L3" s="31" t="s">
        <v>136</v>
      </c>
      <c r="M3" s="31" t="s">
        <v>137</v>
      </c>
      <c r="N3" s="31" t="s">
        <v>138</v>
      </c>
      <c r="O3" s="31" t="s">
        <v>139</v>
      </c>
      <c r="P3" s="31" t="s">
        <v>140</v>
      </c>
      <c r="Q3" s="31" t="s">
        <v>141</v>
      </c>
      <c r="R3" s="31" t="s">
        <v>142</v>
      </c>
      <c r="S3" s="32" t="s">
        <v>143</v>
      </c>
    </row>
    <row r="4" spans="1:19" ht="12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28" customFormat="1" ht="12">
      <c r="A5" s="44" t="s">
        <v>144</v>
      </c>
      <c r="B5" s="45" t="s">
        <v>24</v>
      </c>
      <c r="C5" s="53">
        <v>6706172.12</v>
      </c>
      <c r="D5" s="53"/>
      <c r="E5" s="53">
        <v>6642691</v>
      </c>
      <c r="F5" s="53">
        <v>6291226.48</v>
      </c>
      <c r="G5" s="53">
        <v>6706172.0992</v>
      </c>
      <c r="H5" s="53">
        <v>5818634.503168</v>
      </c>
      <c r="I5" s="53">
        <v>5957129.60329472</v>
      </c>
      <c r="J5" s="53">
        <v>6137684.387426509</v>
      </c>
      <c r="K5" s="53">
        <v>6383191.76292357</v>
      </c>
      <c r="L5" s="53">
        <v>6638519.433440512</v>
      </c>
      <c r="M5" s="53">
        <v>6904060.210778134</v>
      </c>
      <c r="N5" s="53">
        <v>7180222.619209259</v>
      </c>
      <c r="O5" s="53">
        <v>7467431.52397763</v>
      </c>
      <c r="P5" s="53">
        <v>7766128.784936735</v>
      </c>
      <c r="Q5" s="53">
        <v>8076773.936334206</v>
      </c>
      <c r="R5" s="53">
        <v>8399844.893787574</v>
      </c>
      <c r="S5" s="54">
        <v>8735838.689539077</v>
      </c>
    </row>
    <row r="6" spans="1:19" s="28" customFormat="1" ht="12">
      <c r="A6" s="44" t="s">
        <v>145</v>
      </c>
      <c r="B6" s="45" t="s">
        <v>25</v>
      </c>
      <c r="C6" s="53">
        <v>4978908.12</v>
      </c>
      <c r="D6" s="53">
        <v>0.7424366733969244</v>
      </c>
      <c r="E6" s="53">
        <v>6429104</v>
      </c>
      <c r="F6" s="53">
        <v>6069096</v>
      </c>
      <c r="G6" s="53">
        <v>4978908.12</v>
      </c>
      <c r="H6" s="53">
        <v>5578377.8848</v>
      </c>
      <c r="I6" s="53">
        <v>5707262.720192</v>
      </c>
      <c r="J6" s="53">
        <v>5877822.82899968</v>
      </c>
      <c r="K6" s="53">
        <v>6112935.742159668</v>
      </c>
      <c r="L6" s="53">
        <v>6357453.1718460545</v>
      </c>
      <c r="M6" s="53">
        <v>6611751.298719898</v>
      </c>
      <c r="N6" s="53">
        <v>6876221.350668693</v>
      </c>
      <c r="O6" s="53">
        <v>7151270.204695442</v>
      </c>
      <c r="P6" s="53">
        <v>7437321.012883259</v>
      </c>
      <c r="Q6" s="53">
        <v>7734813.85339859</v>
      </c>
      <c r="R6" s="53">
        <v>8044206.407534535</v>
      </c>
      <c r="S6" s="54">
        <v>8365974.663835915</v>
      </c>
    </row>
    <row r="7" spans="1:19" s="28" customFormat="1" ht="12">
      <c r="A7" s="44" t="s">
        <v>146</v>
      </c>
      <c r="B7" s="45" t="s">
        <v>26</v>
      </c>
      <c r="C7" s="53">
        <v>502986</v>
      </c>
      <c r="D7" s="53">
        <v>0.07500344324595117</v>
      </c>
      <c r="E7" s="53">
        <v>393482</v>
      </c>
      <c r="F7" s="53">
        <v>571262</v>
      </c>
      <c r="G7" s="53">
        <v>602986</v>
      </c>
      <c r="H7" s="53">
        <v>578402.12</v>
      </c>
      <c r="I7" s="53">
        <v>601538.2048000001</v>
      </c>
      <c r="J7" s="53">
        <v>625599.732992</v>
      </c>
      <c r="K7" s="53">
        <v>650623.7223116801</v>
      </c>
      <c r="L7" s="53">
        <v>676648.6712041473</v>
      </c>
      <c r="M7" s="53">
        <v>703714.6180523131</v>
      </c>
      <c r="N7" s="53">
        <v>731863.2027744057</v>
      </c>
      <c r="O7" s="53">
        <v>761137.730885382</v>
      </c>
      <c r="P7" s="53">
        <v>791583.2401207972</v>
      </c>
      <c r="Q7" s="53">
        <v>823246.5697256292</v>
      </c>
      <c r="R7" s="53">
        <v>856176.4325146542</v>
      </c>
      <c r="S7" s="54">
        <v>890423.4898152405</v>
      </c>
    </row>
    <row r="8" spans="1:19" ht="36">
      <c r="A8" s="34" t="s">
        <v>147</v>
      </c>
      <c r="B8" s="35" t="s">
        <v>114</v>
      </c>
      <c r="C8" s="39">
        <v>275912</v>
      </c>
      <c r="D8" s="39">
        <v>0.548548070920463</v>
      </c>
      <c r="E8" s="39">
        <v>184253</v>
      </c>
      <c r="F8" s="39">
        <v>310512</v>
      </c>
      <c r="G8" s="39">
        <v>375912</v>
      </c>
      <c r="H8" s="39">
        <v>342244</v>
      </c>
      <c r="I8" s="39">
        <v>355933.76</v>
      </c>
      <c r="J8" s="39">
        <v>370171.1104</v>
      </c>
      <c r="K8" s="39">
        <v>384977.954816</v>
      </c>
      <c r="L8" s="39">
        <v>400377.07300864</v>
      </c>
      <c r="M8" s="39">
        <v>416392.1559289856</v>
      </c>
      <c r="N8" s="39">
        <v>433047.84216614504</v>
      </c>
      <c r="O8" s="39">
        <v>450369.75585279084</v>
      </c>
      <c r="P8" s="39">
        <v>468384.5460869025</v>
      </c>
      <c r="Q8" s="39">
        <v>487119.9279303786</v>
      </c>
      <c r="R8" s="39">
        <v>506604.72504759376</v>
      </c>
      <c r="S8" s="40">
        <v>526868.9140494976</v>
      </c>
    </row>
    <row r="9" spans="1:19" ht="24">
      <c r="A9" s="34" t="s">
        <v>148</v>
      </c>
      <c r="B9" s="35" t="s">
        <v>115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40">
        <v>0</v>
      </c>
    </row>
    <row r="10" spans="1:19" ht="12">
      <c r="A10" s="34" t="s">
        <v>149</v>
      </c>
      <c r="B10" s="35" t="s">
        <v>116</v>
      </c>
      <c r="C10" s="39">
        <v>42779</v>
      </c>
      <c r="D10" s="39">
        <v>0.08505008091676508</v>
      </c>
      <c r="E10" s="39">
        <v>69578</v>
      </c>
      <c r="F10" s="39">
        <v>31883</v>
      </c>
      <c r="G10" s="39">
        <v>42779</v>
      </c>
      <c r="H10" s="39">
        <v>44490.16</v>
      </c>
      <c r="I10" s="39">
        <v>46269.76640000001</v>
      </c>
      <c r="J10" s="39">
        <v>48120.55705600001</v>
      </c>
      <c r="K10" s="39">
        <v>50045.37933824002</v>
      </c>
      <c r="L10" s="39">
        <v>52047.19451176962</v>
      </c>
      <c r="M10" s="39">
        <v>54129.08229224041</v>
      </c>
      <c r="N10" s="39">
        <v>56294.24558393003</v>
      </c>
      <c r="O10" s="39">
        <v>58546.01540728723</v>
      </c>
      <c r="P10" s="39">
        <v>60887.85602357872</v>
      </c>
      <c r="Q10" s="39">
        <v>63323.37026452187</v>
      </c>
      <c r="R10" s="39">
        <v>65856.30507510275</v>
      </c>
      <c r="S10" s="40">
        <v>68490.55727810686</v>
      </c>
    </row>
    <row r="11" spans="1:19" ht="12">
      <c r="A11" s="34" t="s">
        <v>150</v>
      </c>
      <c r="B11" s="35" t="s">
        <v>117</v>
      </c>
      <c r="C11" s="39">
        <v>42951</v>
      </c>
      <c r="D11" s="39">
        <v>0.08539203874461715</v>
      </c>
      <c r="E11" s="39">
        <v>56514</v>
      </c>
      <c r="F11" s="39">
        <v>46000</v>
      </c>
      <c r="G11" s="39">
        <v>42951</v>
      </c>
      <c r="H11" s="39">
        <v>44669.04</v>
      </c>
      <c r="I11" s="39">
        <v>46455.8016</v>
      </c>
      <c r="J11" s="39">
        <v>48314.033664</v>
      </c>
      <c r="K11" s="39">
        <v>50246.595010560006</v>
      </c>
      <c r="L11" s="39">
        <v>52256.45881098241</v>
      </c>
      <c r="M11" s="39">
        <v>54346.71716342171</v>
      </c>
      <c r="N11" s="39">
        <v>56520.58584995858</v>
      </c>
      <c r="O11" s="39">
        <v>58781.40928395693</v>
      </c>
      <c r="P11" s="39">
        <v>61132.665655315206</v>
      </c>
      <c r="Q11" s="39">
        <v>63577.972281527815</v>
      </c>
      <c r="R11" s="39">
        <v>66121.09117278893</v>
      </c>
      <c r="S11" s="40">
        <v>68765.93481970049</v>
      </c>
    </row>
    <row r="12" spans="1:19" ht="12">
      <c r="A12" s="34" t="s">
        <v>151</v>
      </c>
      <c r="B12" s="35" t="s">
        <v>27</v>
      </c>
      <c r="C12" s="39">
        <v>141344</v>
      </c>
      <c r="D12" s="39">
        <v>0.2810098094181548</v>
      </c>
      <c r="E12" s="39">
        <v>83137</v>
      </c>
      <c r="F12" s="39">
        <v>182867</v>
      </c>
      <c r="G12" s="39">
        <v>141344</v>
      </c>
      <c r="H12" s="39">
        <v>146998.92</v>
      </c>
      <c r="I12" s="39">
        <v>152878.87680000003</v>
      </c>
      <c r="J12" s="39">
        <v>158994.03187200002</v>
      </c>
      <c r="K12" s="39">
        <v>165353.79314688002</v>
      </c>
      <c r="L12" s="39">
        <v>171967.9448727552</v>
      </c>
      <c r="M12" s="39">
        <v>178846.66266766546</v>
      </c>
      <c r="N12" s="39">
        <v>186000.52917437206</v>
      </c>
      <c r="O12" s="39">
        <v>193440.55034134694</v>
      </c>
      <c r="P12" s="39">
        <v>201178.17235500083</v>
      </c>
      <c r="Q12" s="39">
        <v>209225.29924920085</v>
      </c>
      <c r="R12" s="39">
        <v>217594.31121916886</v>
      </c>
      <c r="S12" s="40">
        <v>226298.08366793563</v>
      </c>
    </row>
    <row r="13" spans="1:19" s="28" customFormat="1" ht="12">
      <c r="A13" s="44" t="s">
        <v>152</v>
      </c>
      <c r="B13" s="45" t="s">
        <v>28</v>
      </c>
      <c r="C13" s="53">
        <v>41186</v>
      </c>
      <c r="D13" s="53">
        <v>0.006141506549939252</v>
      </c>
      <c r="E13" s="53">
        <v>340446</v>
      </c>
      <c r="F13" s="53">
        <v>504157</v>
      </c>
      <c r="G13" s="53">
        <v>92817</v>
      </c>
      <c r="H13" s="53">
        <v>497233.44</v>
      </c>
      <c r="I13" s="53">
        <v>422872.7776</v>
      </c>
      <c r="J13" s="53">
        <v>382057.288704</v>
      </c>
      <c r="K13" s="53">
        <v>397339.58025216</v>
      </c>
      <c r="L13" s="53">
        <v>413233.1634622465</v>
      </c>
      <c r="M13" s="53">
        <v>429762.4900007364</v>
      </c>
      <c r="N13" s="53">
        <v>446952.98960076575</v>
      </c>
      <c r="O13" s="53">
        <v>464831.1091847964</v>
      </c>
      <c r="P13" s="53">
        <v>483424.35355218826</v>
      </c>
      <c r="Q13" s="53">
        <v>502761.3276942759</v>
      </c>
      <c r="R13" s="53">
        <v>522871.7808020469</v>
      </c>
      <c r="S13" s="54">
        <v>543786.6520341288</v>
      </c>
    </row>
    <row r="14" spans="1:19" ht="36">
      <c r="A14" s="34" t="s">
        <v>153</v>
      </c>
      <c r="B14" s="35" t="s">
        <v>29</v>
      </c>
      <c r="C14" s="39">
        <v>23808</v>
      </c>
      <c r="D14" s="39">
        <v>0.5780605059971835</v>
      </c>
      <c r="E14" s="39">
        <v>42550</v>
      </c>
      <c r="F14" s="39">
        <v>39299</v>
      </c>
      <c r="G14" s="39">
        <v>33808</v>
      </c>
      <c r="H14" s="39">
        <v>179160.32</v>
      </c>
      <c r="I14" s="39">
        <v>92076.7328</v>
      </c>
      <c r="J14" s="39">
        <v>38029.402112</v>
      </c>
      <c r="K14" s="39">
        <v>39550.57819648</v>
      </c>
      <c r="L14" s="39">
        <v>41132.60132433921</v>
      </c>
      <c r="M14" s="39">
        <v>42777.905377312774</v>
      </c>
      <c r="N14" s="39">
        <v>44489.02159240528</v>
      </c>
      <c r="O14" s="39">
        <v>46268.582456101496</v>
      </c>
      <c r="P14" s="39">
        <v>48119.32575434556</v>
      </c>
      <c r="Q14" s="39">
        <v>50044.09878451939</v>
      </c>
      <c r="R14" s="39">
        <v>52045.86273590017</v>
      </c>
      <c r="S14" s="40">
        <v>54127.697245336174</v>
      </c>
    </row>
    <row r="15" spans="1:19" ht="24">
      <c r="A15" s="34" t="s">
        <v>154</v>
      </c>
      <c r="B15" s="35" t="s">
        <v>30</v>
      </c>
      <c r="C15" s="39">
        <v>17378</v>
      </c>
      <c r="D15" s="39">
        <v>0.4219394940028165</v>
      </c>
      <c r="E15" s="39">
        <v>297896</v>
      </c>
      <c r="F15" s="39">
        <v>464858</v>
      </c>
      <c r="G15" s="39">
        <v>59009</v>
      </c>
      <c r="H15" s="39">
        <v>318073.12</v>
      </c>
      <c r="I15" s="39">
        <v>330796.0448</v>
      </c>
      <c r="J15" s="39">
        <v>344027.886592</v>
      </c>
      <c r="K15" s="39">
        <v>357789.00205568003</v>
      </c>
      <c r="L15" s="39">
        <v>372100.56213790725</v>
      </c>
      <c r="M15" s="39">
        <v>386984.5846234236</v>
      </c>
      <c r="N15" s="39">
        <v>402463.9680083605</v>
      </c>
      <c r="O15" s="39">
        <v>418562.5267286949</v>
      </c>
      <c r="P15" s="39">
        <v>435305.0277978427</v>
      </c>
      <c r="Q15" s="39">
        <v>452717.22890975646</v>
      </c>
      <c r="R15" s="39">
        <v>470825.9180661467</v>
      </c>
      <c r="S15" s="40">
        <v>489658.95478879265</v>
      </c>
    </row>
    <row r="16" spans="1:19" ht="12">
      <c r="A16" s="34" t="s">
        <v>155</v>
      </c>
      <c r="B16" s="35" t="s">
        <v>31</v>
      </c>
      <c r="C16" s="39">
        <v>4434736.12</v>
      </c>
      <c r="D16" s="39">
        <v>0.6612917236010339</v>
      </c>
      <c r="E16" s="39">
        <v>5695176</v>
      </c>
      <c r="F16" s="39">
        <v>4993677</v>
      </c>
      <c r="G16" s="39">
        <v>4283105.12</v>
      </c>
      <c r="H16" s="39">
        <v>4502742.3248000005</v>
      </c>
      <c r="I16" s="39">
        <v>4682851.737792</v>
      </c>
      <c r="J16" s="39">
        <v>4870165.80730368</v>
      </c>
      <c r="K16" s="39">
        <v>5064972.439595828</v>
      </c>
      <c r="L16" s="39">
        <v>5267571.337179661</v>
      </c>
      <c r="M16" s="39">
        <v>5478274.190666848</v>
      </c>
      <c r="N16" s="39">
        <v>5697405.158293522</v>
      </c>
      <c r="O16" s="39">
        <v>5925301.364625263</v>
      </c>
      <c r="P16" s="39">
        <v>6162313.419210274</v>
      </c>
      <c r="Q16" s="39">
        <v>6408805.955978685</v>
      </c>
      <c r="R16" s="39">
        <v>6665158.194217834</v>
      </c>
      <c r="S16" s="40">
        <v>6931764.521986546</v>
      </c>
    </row>
    <row r="17" spans="1:19" ht="24">
      <c r="A17" s="34" t="s">
        <v>156</v>
      </c>
      <c r="B17" s="35" t="s">
        <v>118</v>
      </c>
      <c r="C17" s="39">
        <v>602012</v>
      </c>
      <c r="D17" s="39">
        <v>0.13574922694611197</v>
      </c>
      <c r="E17" s="39">
        <v>613684</v>
      </c>
      <c r="F17" s="39">
        <v>676572</v>
      </c>
      <c r="G17" s="39">
        <v>872012</v>
      </c>
      <c r="H17" s="39">
        <v>728982</v>
      </c>
      <c r="I17" s="39">
        <v>758141</v>
      </c>
      <c r="J17" s="39">
        <v>788466.64</v>
      </c>
      <c r="K17" s="39">
        <v>820005.3056000001</v>
      </c>
      <c r="L17" s="39">
        <v>852805.5178240001</v>
      </c>
      <c r="M17" s="39">
        <v>886917.7385369601</v>
      </c>
      <c r="N17" s="39">
        <v>922394.4480784385</v>
      </c>
      <c r="O17" s="39">
        <v>959290.226001576</v>
      </c>
      <c r="P17" s="39">
        <v>997661.8350416392</v>
      </c>
      <c r="Q17" s="39">
        <v>1037568.3084433047</v>
      </c>
      <c r="R17" s="39">
        <v>1079071.040781037</v>
      </c>
      <c r="S17" s="40">
        <v>1122233.8824122786</v>
      </c>
    </row>
    <row r="18" spans="1:19" ht="12">
      <c r="A18" s="34" t="s">
        <v>157</v>
      </c>
      <c r="B18" s="35" t="s">
        <v>32</v>
      </c>
      <c r="C18" s="39">
        <v>3588794.12</v>
      </c>
      <c r="D18" s="39">
        <v>0.8092463729273704</v>
      </c>
      <c r="E18" s="39">
        <v>4758399</v>
      </c>
      <c r="F18" s="39">
        <v>4123811</v>
      </c>
      <c r="G18" s="39">
        <v>3388794.12</v>
      </c>
      <c r="H18" s="39">
        <v>3574169.3648</v>
      </c>
      <c r="I18" s="39">
        <v>3717136.1393920006</v>
      </c>
      <c r="J18" s="39">
        <v>3865821.5849676803</v>
      </c>
      <c r="K18" s="39">
        <v>4020454.4483663877</v>
      </c>
      <c r="L18" s="39">
        <v>4181272.6263010437</v>
      </c>
      <c r="M18" s="39">
        <v>4348523.531353085</v>
      </c>
      <c r="N18" s="39">
        <v>4522464.472607208</v>
      </c>
      <c r="O18" s="39">
        <v>4703363.051511497</v>
      </c>
      <c r="P18" s="39">
        <v>4891497.573571958</v>
      </c>
      <c r="Q18" s="39">
        <v>5087157.476514836</v>
      </c>
      <c r="R18" s="39">
        <v>5290643.775575431</v>
      </c>
      <c r="S18" s="40">
        <v>5502269.526598447</v>
      </c>
    </row>
    <row r="19" spans="1:19" ht="24">
      <c r="A19" s="34" t="s">
        <v>158</v>
      </c>
      <c r="B19" s="35" t="s">
        <v>119</v>
      </c>
      <c r="C19" s="39">
        <v>306838</v>
      </c>
      <c r="D19" s="39">
        <v>0.08549891404748512</v>
      </c>
      <c r="E19" s="39">
        <v>233314</v>
      </c>
      <c r="F19" s="39">
        <v>242632</v>
      </c>
      <c r="G19" s="39">
        <v>306838</v>
      </c>
      <c r="H19" s="39">
        <v>319111.52</v>
      </c>
      <c r="I19" s="39">
        <v>331875.9808</v>
      </c>
      <c r="J19" s="39">
        <v>345151.02003200003</v>
      </c>
      <c r="K19" s="39">
        <v>358957.06083328003</v>
      </c>
      <c r="L19" s="39">
        <v>373315.3432666112</v>
      </c>
      <c r="M19" s="39">
        <v>388247.95699727564</v>
      </c>
      <c r="N19" s="39">
        <v>403777.8752771667</v>
      </c>
      <c r="O19" s="39">
        <v>419928.9902882534</v>
      </c>
      <c r="P19" s="39">
        <v>436726.1498997836</v>
      </c>
      <c r="Q19" s="39">
        <v>454195.19589577493</v>
      </c>
      <c r="R19" s="39">
        <v>472363.00373160595</v>
      </c>
      <c r="S19" s="40">
        <v>491257.5238808702</v>
      </c>
    </row>
    <row r="20" spans="1:19" ht="24">
      <c r="A20" s="34" t="s">
        <v>159</v>
      </c>
      <c r="B20" s="35" t="s">
        <v>120</v>
      </c>
      <c r="C20" s="39">
        <v>1771195.12</v>
      </c>
      <c r="D20" s="39">
        <v>0.49353489243902354</v>
      </c>
      <c r="E20" s="39">
        <v>1308197</v>
      </c>
      <c r="F20" s="39">
        <v>1405815</v>
      </c>
      <c r="G20" s="39">
        <v>1771195.12</v>
      </c>
      <c r="H20" s="39">
        <v>1891866.4048000001</v>
      </c>
      <c r="I20" s="39">
        <v>1967541.0609920002</v>
      </c>
      <c r="J20" s="39">
        <v>2046242.70343168</v>
      </c>
      <c r="K20" s="39">
        <v>2128092.4115689476</v>
      </c>
      <c r="L20" s="39">
        <v>2213216.108031706</v>
      </c>
      <c r="M20" s="39">
        <v>2301744.752352974</v>
      </c>
      <c r="N20" s="39">
        <v>2393814.542447093</v>
      </c>
      <c r="O20" s="39">
        <v>2489567.124144977</v>
      </c>
      <c r="P20" s="39">
        <v>2589149.8091107765</v>
      </c>
      <c r="Q20" s="39">
        <v>2692715.801475207</v>
      </c>
      <c r="R20" s="39">
        <v>2800424.433534216</v>
      </c>
      <c r="S20" s="40">
        <v>2912441.4108755845</v>
      </c>
    </row>
    <row r="21" spans="1:19" ht="24">
      <c r="A21" s="34" t="s">
        <v>160</v>
      </c>
      <c r="B21" s="35" t="s">
        <v>121</v>
      </c>
      <c r="C21" s="39">
        <v>752600</v>
      </c>
      <c r="D21" s="39">
        <v>0.2097083239759655</v>
      </c>
      <c r="E21" s="39">
        <v>897093</v>
      </c>
      <c r="F21" s="39">
        <v>847021</v>
      </c>
      <c r="G21" s="39">
        <v>752600</v>
      </c>
      <c r="H21" s="39">
        <v>782704</v>
      </c>
      <c r="I21" s="39">
        <v>814012.16</v>
      </c>
      <c r="J21" s="39">
        <v>846572.6464000001</v>
      </c>
      <c r="K21" s="39">
        <v>880435.5522560001</v>
      </c>
      <c r="L21" s="39">
        <v>915652.9743462402</v>
      </c>
      <c r="M21" s="39">
        <v>952279.0933200899</v>
      </c>
      <c r="N21" s="39">
        <v>990370.2570528935</v>
      </c>
      <c r="O21" s="39">
        <v>1029985.0673350093</v>
      </c>
      <c r="P21" s="39">
        <v>1071184.4700284097</v>
      </c>
      <c r="Q21" s="39">
        <v>1114031.8488295462</v>
      </c>
      <c r="R21" s="39">
        <v>1158593.1227827282</v>
      </c>
      <c r="S21" s="40">
        <v>1204936.8476940372</v>
      </c>
    </row>
    <row r="22" spans="1:19" ht="36">
      <c r="A22" s="34" t="s">
        <v>161</v>
      </c>
      <c r="B22" s="35" t="s">
        <v>33</v>
      </c>
      <c r="C22" s="39">
        <v>758161</v>
      </c>
      <c r="D22" s="39">
        <v>0.21125786953752587</v>
      </c>
      <c r="E22" s="39">
        <v>2319795</v>
      </c>
      <c r="F22" s="39">
        <v>1628343</v>
      </c>
      <c r="G22" s="39">
        <v>558161</v>
      </c>
      <c r="H22" s="39">
        <v>580487.4400000001</v>
      </c>
      <c r="I22" s="39">
        <v>603706.9376000001</v>
      </c>
      <c r="J22" s="39">
        <v>627855.2151040001</v>
      </c>
      <c r="K22" s="39">
        <v>652969.42370816</v>
      </c>
      <c r="L22" s="39">
        <v>679088.2006564864</v>
      </c>
      <c r="M22" s="39">
        <v>706251.728682746</v>
      </c>
      <c r="N22" s="39">
        <v>734501.7978300558</v>
      </c>
      <c r="O22" s="39">
        <v>763881.869743258</v>
      </c>
      <c r="P22" s="39">
        <v>794437.1445329883</v>
      </c>
      <c r="Q22" s="39">
        <v>826214.6303143079</v>
      </c>
      <c r="R22" s="39">
        <v>859263.2155268803</v>
      </c>
      <c r="S22" s="40">
        <v>893633.7441479554</v>
      </c>
    </row>
    <row r="23" spans="1:19" ht="12">
      <c r="A23" s="34" t="s">
        <v>162</v>
      </c>
      <c r="B23" s="35" t="s">
        <v>122</v>
      </c>
      <c r="C23" s="39">
        <v>243930</v>
      </c>
      <c r="D23" s="39">
        <v>0.05500440012651756</v>
      </c>
      <c r="E23" s="39">
        <v>323093</v>
      </c>
      <c r="F23" s="39">
        <v>193294</v>
      </c>
      <c r="G23" s="39">
        <v>22299</v>
      </c>
      <c r="H23" s="39">
        <v>199590.96</v>
      </c>
      <c r="I23" s="39">
        <v>207574.5984</v>
      </c>
      <c r="J23" s="39">
        <v>215877.58233600002</v>
      </c>
      <c r="K23" s="39">
        <v>224512.68562944</v>
      </c>
      <c r="L23" s="39">
        <v>233493.19305461764</v>
      </c>
      <c r="M23" s="39">
        <v>242832.92077680235</v>
      </c>
      <c r="N23" s="39">
        <v>252546.23760787447</v>
      </c>
      <c r="O23" s="39">
        <v>262648.08711218945</v>
      </c>
      <c r="P23" s="39">
        <v>273154.010596677</v>
      </c>
      <c r="Q23" s="39">
        <v>284080.17102054413</v>
      </c>
      <c r="R23" s="39">
        <v>295443.3778613659</v>
      </c>
      <c r="S23" s="40">
        <v>307261.11297582055</v>
      </c>
    </row>
    <row r="24" spans="1:19" s="28" customFormat="1" ht="12">
      <c r="A24" s="44" t="s">
        <v>163</v>
      </c>
      <c r="B24" s="45" t="s">
        <v>34</v>
      </c>
      <c r="C24" s="53">
        <v>5164928.445</v>
      </c>
      <c r="D24" s="53"/>
      <c r="E24" s="53">
        <v>6592632</v>
      </c>
      <c r="F24" s="53">
        <v>6256226.199999999</v>
      </c>
      <c r="G24" s="53">
        <v>6661176.445</v>
      </c>
      <c r="H24" s="53">
        <v>5658635.417250001</v>
      </c>
      <c r="I24" s="53">
        <v>5789129.888112501</v>
      </c>
      <c r="J24" s="53">
        <v>5961285.083518125</v>
      </c>
      <c r="K24" s="53">
        <v>6197972.463614034</v>
      </c>
      <c r="L24" s="53">
        <v>6444038.839539534</v>
      </c>
      <c r="M24" s="53">
        <v>6699856.022351078</v>
      </c>
      <c r="N24" s="53">
        <v>6965807.475742095</v>
      </c>
      <c r="O24" s="53">
        <v>7242295.948795288</v>
      </c>
      <c r="P24" s="53">
        <v>7529735.972586717</v>
      </c>
      <c r="Q24" s="53">
        <v>7828561.327821074</v>
      </c>
      <c r="R24" s="53">
        <v>8139222.100386002</v>
      </c>
      <c r="S24" s="54">
        <v>8462184.657962814</v>
      </c>
    </row>
    <row r="25" spans="1:19" s="28" customFormat="1" ht="12">
      <c r="A25" s="44" t="s">
        <v>164</v>
      </c>
      <c r="B25" s="45" t="s">
        <v>35</v>
      </c>
      <c r="C25" s="53">
        <v>1018804</v>
      </c>
      <c r="D25" s="53">
        <v>0.19555062856578526</v>
      </c>
      <c r="E25" s="53">
        <v>1001015</v>
      </c>
      <c r="F25" s="53">
        <v>880428.85</v>
      </c>
      <c r="G25" s="53">
        <v>908814</v>
      </c>
      <c r="H25" s="53">
        <v>1021696.0000000001</v>
      </c>
      <c r="I25" s="53">
        <v>1070904</v>
      </c>
      <c r="J25" s="53">
        <v>1122497.3280000002</v>
      </c>
      <c r="K25" s="53">
        <v>1116552.3203200004</v>
      </c>
      <c r="L25" s="53">
        <v>1120752.8915808003</v>
      </c>
      <c r="M25" s="53">
        <v>1174594.9456144322</v>
      </c>
      <c r="N25" s="53">
        <v>1231041.2787279293</v>
      </c>
      <c r="O25" s="53">
        <v>1290218.5919304127</v>
      </c>
      <c r="P25" s="53">
        <v>1352259.7807636638</v>
      </c>
      <c r="Q25" s="53">
        <v>1417304.2394080462</v>
      </c>
      <c r="R25" s="53">
        <v>1485498.179768896</v>
      </c>
      <c r="S25" s="54">
        <v>1556994.9662834061</v>
      </c>
    </row>
    <row r="26" spans="1:19" s="28" customFormat="1" ht="12">
      <c r="A26" s="44" t="s">
        <v>165</v>
      </c>
      <c r="B26" s="45" t="s">
        <v>36</v>
      </c>
      <c r="C26" s="53">
        <v>1011371</v>
      </c>
      <c r="D26" s="53">
        <v>0.19412392841332268</v>
      </c>
      <c r="E26" s="53">
        <v>991015</v>
      </c>
      <c r="F26" s="53">
        <v>875428.85</v>
      </c>
      <c r="G26" s="53">
        <v>813189</v>
      </c>
      <c r="H26" s="53">
        <v>853094.4000000001</v>
      </c>
      <c r="I26" s="53">
        <v>893872.3200000001</v>
      </c>
      <c r="J26" s="53">
        <v>936614.0640000001</v>
      </c>
      <c r="K26" s="53">
        <v>981414.8203200003</v>
      </c>
      <c r="L26" s="53">
        <v>1028374.4165808003</v>
      </c>
      <c r="M26" s="53">
        <v>1077597.5468644323</v>
      </c>
      <c r="N26" s="53">
        <v>1129194.0100404294</v>
      </c>
      <c r="O26" s="53">
        <v>1183278.9598085377</v>
      </c>
      <c r="P26" s="53">
        <v>1239973.167035695</v>
      </c>
      <c r="Q26" s="53">
        <v>1299403.294993679</v>
      </c>
      <c r="R26" s="53">
        <v>1361702.1881338104</v>
      </c>
      <c r="S26" s="54">
        <v>1427009.1750665663</v>
      </c>
    </row>
    <row r="27" spans="1:19" s="28" customFormat="1" ht="12">
      <c r="A27" s="44" t="s">
        <v>166</v>
      </c>
      <c r="B27" s="45" t="s">
        <v>123</v>
      </c>
      <c r="C27" s="53">
        <v>342094</v>
      </c>
      <c r="D27" s="53">
        <v>0.33824778444309755</v>
      </c>
      <c r="E27" s="53">
        <v>310428</v>
      </c>
      <c r="F27" s="53">
        <v>316296.85</v>
      </c>
      <c r="G27" s="53">
        <v>248973</v>
      </c>
      <c r="H27" s="53">
        <v>261421.65</v>
      </c>
      <c r="I27" s="53">
        <v>274492.73250000004</v>
      </c>
      <c r="J27" s="53">
        <v>288217.369125</v>
      </c>
      <c r="K27" s="53">
        <v>302628.2375812501</v>
      </c>
      <c r="L27" s="53">
        <v>317759.64946031256</v>
      </c>
      <c r="M27" s="53">
        <v>333647.63193332823</v>
      </c>
      <c r="N27" s="53">
        <v>350330.01352999464</v>
      </c>
      <c r="O27" s="53">
        <v>367846.51420649444</v>
      </c>
      <c r="P27" s="53">
        <v>386238.8399168191</v>
      </c>
      <c r="Q27" s="53">
        <v>405550.7819126601</v>
      </c>
      <c r="R27" s="53">
        <v>425828.32100829313</v>
      </c>
      <c r="S27" s="54">
        <v>447119.73705870786</v>
      </c>
    </row>
    <row r="28" spans="1:19" s="28" customFormat="1" ht="12">
      <c r="A28" s="44" t="s">
        <v>167</v>
      </c>
      <c r="B28" s="45" t="s">
        <v>124</v>
      </c>
      <c r="C28" s="53">
        <v>106998</v>
      </c>
      <c r="D28" s="53">
        <v>0.10579500499816585</v>
      </c>
      <c r="E28" s="53">
        <v>134441</v>
      </c>
      <c r="F28" s="53">
        <v>19671</v>
      </c>
      <c r="G28" s="53">
        <v>17213</v>
      </c>
      <c r="H28" s="53">
        <v>18073.65</v>
      </c>
      <c r="I28" s="53">
        <v>18977.332500000004</v>
      </c>
      <c r="J28" s="53">
        <v>19926.199125000006</v>
      </c>
      <c r="K28" s="53">
        <v>20922.509081250006</v>
      </c>
      <c r="L28" s="53">
        <v>21968.634535312507</v>
      </c>
      <c r="M28" s="53">
        <v>23067.06626207813</v>
      </c>
      <c r="N28" s="53">
        <v>24220.419575182037</v>
      </c>
      <c r="O28" s="53">
        <v>25431.440553941142</v>
      </c>
      <c r="P28" s="53">
        <v>26703.0125816382</v>
      </c>
      <c r="Q28" s="53">
        <v>28038.16321072011</v>
      </c>
      <c r="R28" s="53">
        <v>29440.07137125612</v>
      </c>
      <c r="S28" s="54">
        <v>30912.074939818922</v>
      </c>
    </row>
    <row r="29" spans="1:19" s="28" customFormat="1" ht="12">
      <c r="A29" s="44" t="s">
        <v>168</v>
      </c>
      <c r="B29" s="45" t="s">
        <v>37</v>
      </c>
      <c r="C29" s="53">
        <v>562279</v>
      </c>
      <c r="D29" s="53">
        <v>0.5559572105587366</v>
      </c>
      <c r="E29" s="53">
        <v>546146</v>
      </c>
      <c r="F29" s="53">
        <v>539461</v>
      </c>
      <c r="G29" s="53">
        <v>547003</v>
      </c>
      <c r="H29" s="53">
        <v>573599.1000000001</v>
      </c>
      <c r="I29" s="53">
        <v>600402.255</v>
      </c>
      <c r="J29" s="53">
        <v>628470.4957500001</v>
      </c>
      <c r="K29" s="53">
        <v>657864.0736575002</v>
      </c>
      <c r="L29" s="53">
        <v>688646.1325851752</v>
      </c>
      <c r="M29" s="53">
        <v>720882.8486690259</v>
      </c>
      <c r="N29" s="53">
        <v>754643.5769352529</v>
      </c>
      <c r="O29" s="53">
        <v>790001.0050481022</v>
      </c>
      <c r="P29" s="53">
        <v>827031.3145372376</v>
      </c>
      <c r="Q29" s="53">
        <v>865814.3498702988</v>
      </c>
      <c r="R29" s="53">
        <v>906433.7957542612</v>
      </c>
      <c r="S29" s="54">
        <v>948977.3630680395</v>
      </c>
    </row>
    <row r="30" spans="1:19" ht="12">
      <c r="A30" s="34" t="s">
        <v>169</v>
      </c>
      <c r="B30" s="35" t="s">
        <v>125</v>
      </c>
      <c r="C30" s="39">
        <v>176352</v>
      </c>
      <c r="D30" s="39">
        <v>0.31363789150937527</v>
      </c>
      <c r="E30" s="39">
        <v>101000</v>
      </c>
      <c r="F30" s="39">
        <v>145471</v>
      </c>
      <c r="G30" s="39">
        <v>175139</v>
      </c>
      <c r="H30" s="39">
        <v>183895.95</v>
      </c>
      <c r="I30" s="39">
        <v>193090.74750000003</v>
      </c>
      <c r="J30" s="39">
        <v>202745.28487500004</v>
      </c>
      <c r="K30" s="39">
        <v>212882.54911875006</v>
      </c>
      <c r="L30" s="39">
        <v>223526.67657468756</v>
      </c>
      <c r="M30" s="39">
        <v>234703.01040342194</v>
      </c>
      <c r="N30" s="39">
        <v>246438.16092359304</v>
      </c>
      <c r="O30" s="39">
        <v>258760.0689697727</v>
      </c>
      <c r="P30" s="39">
        <v>271698.0724182613</v>
      </c>
      <c r="Q30" s="39">
        <v>285282.9760391744</v>
      </c>
      <c r="R30" s="39">
        <v>299547.12484113313</v>
      </c>
      <c r="S30" s="40">
        <v>314524.4810831898</v>
      </c>
    </row>
    <row r="31" spans="1:19" ht="24">
      <c r="A31" s="34" t="s">
        <v>170</v>
      </c>
      <c r="B31" s="35" t="s">
        <v>38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40">
        <v>0</v>
      </c>
    </row>
    <row r="32" spans="1:19" ht="12">
      <c r="A32" s="34" t="s">
        <v>171</v>
      </c>
      <c r="B32" s="35" t="s">
        <v>39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40">
        <v>0</v>
      </c>
    </row>
    <row r="33" spans="1:19" ht="12">
      <c r="A33" s="34" t="s">
        <v>172</v>
      </c>
      <c r="B33" s="35" t="s">
        <v>40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40">
        <v>0</v>
      </c>
    </row>
    <row r="34" spans="1:19" ht="12">
      <c r="A34" s="34" t="s">
        <v>173</v>
      </c>
      <c r="B34" s="35" t="s">
        <v>41</v>
      </c>
      <c r="C34" s="39">
        <v>179461</v>
      </c>
      <c r="D34" s="39">
        <v>0.31916717501453906</v>
      </c>
      <c r="E34" s="39">
        <v>163187</v>
      </c>
      <c r="F34" s="39">
        <v>175285</v>
      </c>
      <c r="G34" s="39">
        <v>179461</v>
      </c>
      <c r="H34" s="39">
        <v>187680</v>
      </c>
      <c r="I34" s="39">
        <v>195187.2</v>
      </c>
      <c r="J34" s="39">
        <v>202994.68800000002</v>
      </c>
      <c r="K34" s="39">
        <v>211114.47552000004</v>
      </c>
      <c r="L34" s="39">
        <v>219559.05454080005</v>
      </c>
      <c r="M34" s="39">
        <v>228341.41672243207</v>
      </c>
      <c r="N34" s="39">
        <v>237475.07339132932</v>
      </c>
      <c r="O34" s="39">
        <v>246974.07632698253</v>
      </c>
      <c r="P34" s="39">
        <v>256853.03938006185</v>
      </c>
      <c r="Q34" s="39">
        <v>267127.16095526435</v>
      </c>
      <c r="R34" s="39">
        <v>277812.2473934749</v>
      </c>
      <c r="S34" s="40">
        <v>288924.7372892139</v>
      </c>
    </row>
    <row r="35" spans="1:19" ht="12">
      <c r="A35" s="34" t="s">
        <v>174</v>
      </c>
      <c r="B35" s="35" t="s">
        <v>42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40">
        <v>0</v>
      </c>
    </row>
    <row r="36" spans="1:19" ht="24">
      <c r="A36" s="34" t="s">
        <v>175</v>
      </c>
      <c r="B36" s="35" t="s">
        <v>43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40">
        <v>0</v>
      </c>
    </row>
    <row r="37" spans="1:19" ht="12">
      <c r="A37" s="34" t="s">
        <v>176</v>
      </c>
      <c r="B37" s="35" t="s">
        <v>44</v>
      </c>
      <c r="C37" s="39">
        <v>4073</v>
      </c>
      <c r="D37" s="39">
        <v>0.007243734871834089</v>
      </c>
      <c r="E37" s="39">
        <v>51787</v>
      </c>
      <c r="F37" s="39">
        <v>14614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40">
        <v>0</v>
      </c>
    </row>
    <row r="38" spans="1:19" ht="12">
      <c r="A38" s="34" t="s">
        <v>177</v>
      </c>
      <c r="B38" s="35" t="s">
        <v>45</v>
      </c>
      <c r="C38" s="39">
        <v>202393</v>
      </c>
      <c r="D38" s="39">
        <v>0.3599511986042516</v>
      </c>
      <c r="E38" s="39">
        <v>230172</v>
      </c>
      <c r="F38" s="39">
        <v>204091</v>
      </c>
      <c r="G38" s="39">
        <v>192403</v>
      </c>
      <c r="H38" s="39">
        <v>202023.15000000002</v>
      </c>
      <c r="I38" s="39">
        <v>212124.30750000002</v>
      </c>
      <c r="J38" s="39">
        <v>222730.52287500002</v>
      </c>
      <c r="K38" s="39">
        <v>233867.04901875005</v>
      </c>
      <c r="L38" s="39">
        <v>245560.40146968755</v>
      </c>
      <c r="M38" s="39">
        <v>257838.42154317192</v>
      </c>
      <c r="N38" s="39">
        <v>270730.3426203305</v>
      </c>
      <c r="O38" s="39">
        <v>284266.85975134704</v>
      </c>
      <c r="P38" s="39">
        <v>298480.20273891435</v>
      </c>
      <c r="Q38" s="39">
        <v>313404.2128758601</v>
      </c>
      <c r="R38" s="39">
        <v>329074.42351965315</v>
      </c>
      <c r="S38" s="40">
        <v>345528.1446956358</v>
      </c>
    </row>
    <row r="39" spans="1:19" ht="12">
      <c r="A39" s="34" t="s">
        <v>178</v>
      </c>
      <c r="B39" s="35" t="s">
        <v>46</v>
      </c>
      <c r="C39" s="39">
        <v>7433</v>
      </c>
      <c r="D39" s="39">
        <v>0.0014267001524625757</v>
      </c>
      <c r="E39" s="39">
        <v>10000</v>
      </c>
      <c r="F39" s="39">
        <v>5000</v>
      </c>
      <c r="G39" s="39">
        <v>7433</v>
      </c>
      <c r="H39" s="39">
        <v>76000</v>
      </c>
      <c r="I39" s="39">
        <v>79800</v>
      </c>
      <c r="J39" s="39">
        <v>83790</v>
      </c>
      <c r="K39" s="39">
        <v>87979.5</v>
      </c>
      <c r="L39" s="39">
        <v>92378.475</v>
      </c>
      <c r="M39" s="39">
        <v>96997.39875000001</v>
      </c>
      <c r="N39" s="39">
        <v>101847.2686875</v>
      </c>
      <c r="O39" s="39">
        <v>106939.63212187501</v>
      </c>
      <c r="P39" s="39">
        <v>112286.61372796877</v>
      </c>
      <c r="Q39" s="39">
        <v>117900.94441436722</v>
      </c>
      <c r="R39" s="39">
        <v>123795.99163508558</v>
      </c>
      <c r="S39" s="40">
        <v>129985.79121683986</v>
      </c>
    </row>
    <row r="40" spans="1:19" ht="12">
      <c r="A40" s="34" t="s">
        <v>179</v>
      </c>
      <c r="B40" s="35" t="s">
        <v>47</v>
      </c>
      <c r="C40" s="39">
        <v>7433</v>
      </c>
      <c r="D40" s="39">
        <v>1</v>
      </c>
      <c r="E40" s="39">
        <v>10000</v>
      </c>
      <c r="F40" s="39">
        <v>5000</v>
      </c>
      <c r="G40" s="39">
        <v>7433</v>
      </c>
      <c r="H40" s="39">
        <v>76000</v>
      </c>
      <c r="I40" s="39">
        <v>79800</v>
      </c>
      <c r="J40" s="39">
        <v>83790</v>
      </c>
      <c r="K40" s="39">
        <v>87979.5</v>
      </c>
      <c r="L40" s="39">
        <v>92378.475</v>
      </c>
      <c r="M40" s="39">
        <v>96997.39875000001</v>
      </c>
      <c r="N40" s="39">
        <v>101847.2686875</v>
      </c>
      <c r="O40" s="39">
        <v>106939.63212187501</v>
      </c>
      <c r="P40" s="39">
        <v>112286.61372796877</v>
      </c>
      <c r="Q40" s="39">
        <v>117900.94441436722</v>
      </c>
      <c r="R40" s="39">
        <v>123795.99163508558</v>
      </c>
      <c r="S40" s="40">
        <v>129985.79121683986</v>
      </c>
    </row>
    <row r="41" spans="1:19" ht="12">
      <c r="A41" s="34" t="s">
        <v>180</v>
      </c>
      <c r="B41" s="35" t="s">
        <v>48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40">
        <v>0</v>
      </c>
    </row>
    <row r="42" spans="1:19" ht="48">
      <c r="A42" s="34" t="s">
        <v>181</v>
      </c>
      <c r="B42" s="35" t="s">
        <v>49</v>
      </c>
      <c r="C42" s="39">
        <v>0</v>
      </c>
      <c r="D42" s="39">
        <v>0</v>
      </c>
      <c r="E42" s="39">
        <v>0</v>
      </c>
      <c r="F42" s="39">
        <v>0</v>
      </c>
      <c r="G42" s="39">
        <v>88192</v>
      </c>
      <c r="H42" s="39">
        <v>92601.6</v>
      </c>
      <c r="I42" s="39">
        <v>97231.68000000001</v>
      </c>
      <c r="J42" s="39">
        <v>102093.26400000001</v>
      </c>
      <c r="K42" s="39">
        <v>47158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40">
        <v>0</v>
      </c>
    </row>
    <row r="43" spans="1:19" ht="24">
      <c r="A43" s="34" t="s">
        <v>182</v>
      </c>
      <c r="B43" s="35" t="s">
        <v>50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40">
        <v>0</v>
      </c>
    </row>
    <row r="44" spans="1:19" ht="12">
      <c r="A44" s="34" t="s">
        <v>183</v>
      </c>
      <c r="B44" s="35" t="s">
        <v>51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40">
        <v>0</v>
      </c>
    </row>
    <row r="45" spans="1:19" s="28" customFormat="1" ht="12">
      <c r="A45" s="44" t="s">
        <v>184</v>
      </c>
      <c r="B45" s="45" t="s">
        <v>52</v>
      </c>
      <c r="C45" s="53">
        <v>3960104.12</v>
      </c>
      <c r="D45" s="53"/>
      <c r="E45" s="53">
        <v>5428089</v>
      </c>
      <c r="F45" s="53">
        <v>5188667.15</v>
      </c>
      <c r="G45" s="53">
        <v>4070094.12</v>
      </c>
      <c r="H45" s="53">
        <v>4556681.8848</v>
      </c>
      <c r="I45" s="53">
        <v>4636358.720192</v>
      </c>
      <c r="J45" s="53">
        <v>4755325.50099968</v>
      </c>
      <c r="K45" s="53">
        <v>4996383.4218396675</v>
      </c>
      <c r="L45" s="53">
        <v>5236700.280265254</v>
      </c>
      <c r="M45" s="53">
        <v>5437156.353105466</v>
      </c>
      <c r="N45" s="53">
        <v>5645180.071940764</v>
      </c>
      <c r="O45" s="53">
        <v>5861051.612765029</v>
      </c>
      <c r="P45" s="53">
        <v>6085061.232119596</v>
      </c>
      <c r="Q45" s="53">
        <v>6317509.613990544</v>
      </c>
      <c r="R45" s="53">
        <v>6558708.227765639</v>
      </c>
      <c r="S45" s="54">
        <v>6808979.697552509</v>
      </c>
    </row>
    <row r="46" spans="1:19" s="28" customFormat="1" ht="12">
      <c r="A46" s="44" t="s">
        <v>185</v>
      </c>
      <c r="B46" s="45" t="s">
        <v>53</v>
      </c>
      <c r="C46" s="53">
        <v>1727264</v>
      </c>
      <c r="D46" s="53">
        <v>0.2575633266030756</v>
      </c>
      <c r="E46" s="53">
        <v>213587</v>
      </c>
      <c r="F46" s="53">
        <v>222130.48</v>
      </c>
      <c r="G46" s="53">
        <v>1727263.9792</v>
      </c>
      <c r="H46" s="53">
        <v>240256.618368</v>
      </c>
      <c r="I46" s="53">
        <v>249866.88310272</v>
      </c>
      <c r="J46" s="53">
        <v>259861.55842682882</v>
      </c>
      <c r="K46" s="53">
        <v>270256.02076390194</v>
      </c>
      <c r="L46" s="53">
        <v>281066.261594458</v>
      </c>
      <c r="M46" s="53">
        <v>292308.91205823637</v>
      </c>
      <c r="N46" s="53">
        <v>304001.2685405658</v>
      </c>
      <c r="O46" s="53">
        <v>316161.31928218843</v>
      </c>
      <c r="P46" s="53">
        <v>328807.77205347596</v>
      </c>
      <c r="Q46" s="53">
        <v>341960.082935615</v>
      </c>
      <c r="R46" s="53">
        <v>355638.4862530396</v>
      </c>
      <c r="S46" s="54">
        <v>369864.0257031612</v>
      </c>
    </row>
    <row r="47" spans="1:19" ht="24">
      <c r="A47" s="34" t="s">
        <v>186</v>
      </c>
      <c r="B47" s="35" t="s">
        <v>54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40">
        <v>0</v>
      </c>
    </row>
    <row r="48" spans="1:19" ht="12">
      <c r="A48" s="34" t="s">
        <v>187</v>
      </c>
      <c r="B48" s="35" t="s">
        <v>55</v>
      </c>
      <c r="C48" s="39">
        <v>1496248</v>
      </c>
      <c r="D48" s="39">
        <v>0.8662532189636326</v>
      </c>
      <c r="E48" s="39">
        <v>0</v>
      </c>
      <c r="F48" s="39">
        <v>0</v>
      </c>
      <c r="G48" s="39">
        <v>1496248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40">
        <v>0</v>
      </c>
    </row>
    <row r="49" spans="1:19" ht="24">
      <c r="A49" s="34" t="s">
        <v>188</v>
      </c>
      <c r="B49" s="35" t="s">
        <v>56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40">
        <v>0</v>
      </c>
    </row>
    <row r="50" spans="1:19" ht="12">
      <c r="A50" s="34" t="s">
        <v>189</v>
      </c>
      <c r="B50" s="35" t="s">
        <v>57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40">
        <v>0</v>
      </c>
    </row>
    <row r="51" spans="1:19" ht="12">
      <c r="A51" s="34" t="s">
        <v>190</v>
      </c>
      <c r="B51" s="35" t="s">
        <v>58</v>
      </c>
      <c r="C51" s="39">
        <v>13</v>
      </c>
      <c r="D51" s="39">
        <v>7.526353817366656E-06</v>
      </c>
      <c r="E51" s="39">
        <v>12</v>
      </c>
      <c r="F51" s="39">
        <v>12.48</v>
      </c>
      <c r="G51" s="39">
        <v>12.9792</v>
      </c>
      <c r="H51" s="39">
        <v>13.498368000000001</v>
      </c>
      <c r="I51" s="39">
        <v>14.03830272</v>
      </c>
      <c r="J51" s="39">
        <v>14.5998348288</v>
      </c>
      <c r="K51" s="39">
        <v>15.183828221952002</v>
      </c>
      <c r="L51" s="39">
        <v>15.791181350830083</v>
      </c>
      <c r="M51" s="39">
        <v>16.422828604863287</v>
      </c>
      <c r="N51" s="39">
        <v>17.07974174905782</v>
      </c>
      <c r="O51" s="39">
        <v>17.762931419020134</v>
      </c>
      <c r="P51" s="39">
        <v>18.47344867578094</v>
      </c>
      <c r="Q51" s="39">
        <v>19.21238662281218</v>
      </c>
      <c r="R51" s="39">
        <v>19.980882087724666</v>
      </c>
      <c r="S51" s="40">
        <v>20.780117371233654</v>
      </c>
    </row>
    <row r="52" spans="1:19" ht="12">
      <c r="A52" s="34" t="s">
        <v>191</v>
      </c>
      <c r="B52" s="35" t="s">
        <v>59</v>
      </c>
      <c r="C52" s="39">
        <v>231003</v>
      </c>
      <c r="D52" s="39">
        <v>0.13373925468254996</v>
      </c>
      <c r="E52" s="39">
        <v>213575</v>
      </c>
      <c r="F52" s="39">
        <v>222118</v>
      </c>
      <c r="G52" s="39">
        <v>231003</v>
      </c>
      <c r="H52" s="39">
        <v>240243.12</v>
      </c>
      <c r="I52" s="39">
        <v>249852.8448</v>
      </c>
      <c r="J52" s="39">
        <v>259846.958592</v>
      </c>
      <c r="K52" s="39">
        <v>270240.83693568</v>
      </c>
      <c r="L52" s="39">
        <v>281050.4704131072</v>
      </c>
      <c r="M52" s="39">
        <v>292292.4892296315</v>
      </c>
      <c r="N52" s="39">
        <v>303984.18879881676</v>
      </c>
      <c r="O52" s="39">
        <v>316143.5563507694</v>
      </c>
      <c r="P52" s="39">
        <v>328789.2986048002</v>
      </c>
      <c r="Q52" s="39">
        <v>341940.8705489922</v>
      </c>
      <c r="R52" s="39">
        <v>355618.5053709519</v>
      </c>
      <c r="S52" s="40">
        <v>369843.24558578996</v>
      </c>
    </row>
    <row r="53" spans="1:19" ht="24">
      <c r="A53" s="34" t="s">
        <v>192</v>
      </c>
      <c r="B53" s="35" t="s">
        <v>60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40">
        <v>0</v>
      </c>
    </row>
    <row r="54" spans="1:19" s="28" customFormat="1" ht="12">
      <c r="A54" s="44" t="s">
        <v>193</v>
      </c>
      <c r="B54" s="45" t="s">
        <v>61</v>
      </c>
      <c r="C54" s="53">
        <v>4146124.445</v>
      </c>
      <c r="D54" s="53">
        <v>0.7958127778568964</v>
      </c>
      <c r="E54" s="53">
        <v>5591617</v>
      </c>
      <c r="F54" s="53">
        <v>5375797.35</v>
      </c>
      <c r="G54" s="53">
        <v>5752362.445</v>
      </c>
      <c r="H54" s="53">
        <v>4636939.417250001</v>
      </c>
      <c r="I54" s="53">
        <v>4718225.888112501</v>
      </c>
      <c r="J54" s="53">
        <v>4838787.755518125</v>
      </c>
      <c r="K54" s="53">
        <v>5081420.143294033</v>
      </c>
      <c r="L54" s="53">
        <v>5323285.947958734</v>
      </c>
      <c r="M54" s="53">
        <v>5525261.076736646</v>
      </c>
      <c r="N54" s="53">
        <v>5734766.197014166</v>
      </c>
      <c r="O54" s="53">
        <v>5952077.356864875</v>
      </c>
      <c r="P54" s="53">
        <v>6177476.191823053</v>
      </c>
      <c r="Q54" s="53">
        <v>6411257.088413028</v>
      </c>
      <c r="R54" s="53">
        <v>6653723.920617106</v>
      </c>
      <c r="S54" s="54">
        <v>6905189.691679407</v>
      </c>
    </row>
    <row r="55" spans="1:19" ht="24">
      <c r="A55" s="34" t="s">
        <v>194</v>
      </c>
      <c r="B55" s="35" t="s">
        <v>62</v>
      </c>
      <c r="C55" s="39">
        <v>4146124.445</v>
      </c>
      <c r="D55" s="39">
        <v>1</v>
      </c>
      <c r="E55" s="39">
        <v>5591617</v>
      </c>
      <c r="F55" s="39">
        <v>5375797.35</v>
      </c>
      <c r="G55" s="39">
        <v>5752362.445</v>
      </c>
      <c r="H55" s="39">
        <v>4636939.417250001</v>
      </c>
      <c r="I55" s="39">
        <v>4718225.888112501</v>
      </c>
      <c r="J55" s="39">
        <v>4838787.755518125</v>
      </c>
      <c r="K55" s="39">
        <v>5081420.143294033</v>
      </c>
      <c r="L55" s="39">
        <v>5323285.947958734</v>
      </c>
      <c r="M55" s="39">
        <v>5525261.076736646</v>
      </c>
      <c r="N55" s="39">
        <v>5734766.197014166</v>
      </c>
      <c r="O55" s="39">
        <v>5952077.356864875</v>
      </c>
      <c r="P55" s="39">
        <v>6177476.191823053</v>
      </c>
      <c r="Q55" s="39">
        <v>6411257.088413028</v>
      </c>
      <c r="R55" s="39">
        <v>6653723.920617106</v>
      </c>
      <c r="S55" s="40">
        <v>6905189.691679407</v>
      </c>
    </row>
    <row r="56" spans="1:19" ht="24">
      <c r="A56" s="34" t="s">
        <v>195</v>
      </c>
      <c r="B56" s="35" t="s">
        <v>63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40">
        <v>0</v>
      </c>
    </row>
    <row r="57" spans="1:19" s="28" customFormat="1" ht="12">
      <c r="A57" s="44" t="s">
        <v>196</v>
      </c>
      <c r="B57" s="45" t="s">
        <v>64</v>
      </c>
      <c r="C57" s="53">
        <v>-2418860.445</v>
      </c>
      <c r="D57" s="53"/>
      <c r="E57" s="53">
        <v>-5378030</v>
      </c>
      <c r="F57" s="53">
        <v>-5153666.869999999</v>
      </c>
      <c r="G57" s="53">
        <v>-4025098.4658000004</v>
      </c>
      <c r="H57" s="53">
        <v>-4396682.798882001</v>
      </c>
      <c r="I57" s="53">
        <v>-4468359.005009782</v>
      </c>
      <c r="J57" s="53">
        <v>-4578926.197091296</v>
      </c>
      <c r="K57" s="53">
        <v>-4811164.122530131</v>
      </c>
      <c r="L57" s="53">
        <v>-5042219.686364276</v>
      </c>
      <c r="M57" s="53">
        <v>-5232952.16467841</v>
      </c>
      <c r="N57" s="53">
        <v>-5430764.9284736</v>
      </c>
      <c r="O57" s="53">
        <v>-5635916.037582687</v>
      </c>
      <c r="P57" s="53">
        <v>-5848668.419769578</v>
      </c>
      <c r="Q57" s="53">
        <v>-6069297.005477414</v>
      </c>
      <c r="R57" s="53">
        <v>-6298085.434364066</v>
      </c>
      <c r="S57" s="54">
        <v>-6535325.665976246</v>
      </c>
    </row>
    <row r="58" spans="1:19" s="28" customFormat="1" ht="12">
      <c r="A58" s="44" t="s">
        <v>197</v>
      </c>
      <c r="B58" s="45" t="s">
        <v>65</v>
      </c>
      <c r="C58" s="53">
        <v>1541243.6750000003</v>
      </c>
      <c r="D58" s="53"/>
      <c r="E58" s="53">
        <v>50059</v>
      </c>
      <c r="F58" s="53">
        <v>35000.28000000119</v>
      </c>
      <c r="G58" s="53">
        <v>44995.65419999976</v>
      </c>
      <c r="H58" s="53">
        <v>159999.08591799904</v>
      </c>
      <c r="I58" s="53">
        <v>167999.7151822187</v>
      </c>
      <c r="J58" s="53">
        <v>176399.30390838347</v>
      </c>
      <c r="K58" s="53">
        <v>185219.29930953681</v>
      </c>
      <c r="L58" s="53">
        <v>194480.59390097857</v>
      </c>
      <c r="M58" s="53">
        <v>204204.1884270562</v>
      </c>
      <c r="N58" s="53">
        <v>214415.14346716367</v>
      </c>
      <c r="O58" s="53">
        <v>225135.57518234197</v>
      </c>
      <c r="P58" s="53">
        <v>236392.81235001888</v>
      </c>
      <c r="Q58" s="53">
        <v>248212.60851313174</v>
      </c>
      <c r="R58" s="53">
        <v>260622.79340157285</v>
      </c>
      <c r="S58" s="54">
        <v>273654.0315762628</v>
      </c>
    </row>
    <row r="59" spans="1:19" s="28" customFormat="1" ht="12">
      <c r="A59" s="44" t="s">
        <v>198</v>
      </c>
      <c r="B59" s="45" t="s">
        <v>66</v>
      </c>
      <c r="C59" s="53">
        <v>-44996</v>
      </c>
      <c r="D59" s="53"/>
      <c r="E59" s="53">
        <v>-50059</v>
      </c>
      <c r="F59" s="53">
        <v>-35000</v>
      </c>
      <c r="G59" s="53">
        <v>-44996</v>
      </c>
      <c r="H59" s="53">
        <v>-160000</v>
      </c>
      <c r="I59" s="53">
        <v>-168000</v>
      </c>
      <c r="J59" s="53">
        <v>-176400</v>
      </c>
      <c r="K59" s="53">
        <v>-185220</v>
      </c>
      <c r="L59" s="53">
        <v>-194481</v>
      </c>
      <c r="M59" s="53">
        <v>-204205.05000000005</v>
      </c>
      <c r="N59" s="53">
        <v>-214415.30250000002</v>
      </c>
      <c r="O59" s="53">
        <v>-225136.06762500003</v>
      </c>
      <c r="P59" s="53">
        <v>-236392.87100625003</v>
      </c>
      <c r="Q59" s="53">
        <v>-248212.51455656256</v>
      </c>
      <c r="R59" s="53">
        <v>-260623.14028439068</v>
      </c>
      <c r="S59" s="54">
        <v>-273654.2972986102</v>
      </c>
    </row>
    <row r="60" spans="1:19" ht="12">
      <c r="A60" s="34" t="s">
        <v>199</v>
      </c>
      <c r="B60" s="35" t="s">
        <v>67</v>
      </c>
      <c r="C60" s="39">
        <v>-44996</v>
      </c>
      <c r="D60" s="39"/>
      <c r="E60" s="39">
        <v>-50059</v>
      </c>
      <c r="F60" s="39">
        <v>-35000</v>
      </c>
      <c r="G60" s="39">
        <v>-44996</v>
      </c>
      <c r="H60" s="39">
        <v>-160000</v>
      </c>
      <c r="I60" s="39">
        <v>-168000</v>
      </c>
      <c r="J60" s="39">
        <v>-176400</v>
      </c>
      <c r="K60" s="39">
        <v>-185220</v>
      </c>
      <c r="L60" s="39">
        <v>-194481</v>
      </c>
      <c r="M60" s="39">
        <v>-204205.05000000005</v>
      </c>
      <c r="N60" s="39">
        <v>-214415.30250000002</v>
      </c>
      <c r="O60" s="39">
        <v>-225136.06762500003</v>
      </c>
      <c r="P60" s="39">
        <v>-236392.87100625003</v>
      </c>
      <c r="Q60" s="39">
        <v>-248212.51455656256</v>
      </c>
      <c r="R60" s="39">
        <v>-260623.14028439068</v>
      </c>
      <c r="S60" s="40">
        <v>-273654.2972986102</v>
      </c>
    </row>
    <row r="61" spans="1:19" ht="12">
      <c r="A61" s="34" t="s">
        <v>200</v>
      </c>
      <c r="B61" s="35" t="s">
        <v>68</v>
      </c>
      <c r="C61" s="39">
        <v>-44996</v>
      </c>
      <c r="D61" s="39"/>
      <c r="E61" s="39">
        <v>-50059</v>
      </c>
      <c r="F61" s="39">
        <v>-35000</v>
      </c>
      <c r="G61" s="39">
        <v>-44996</v>
      </c>
      <c r="H61" s="39">
        <v>640000</v>
      </c>
      <c r="I61" s="39">
        <v>-168000</v>
      </c>
      <c r="J61" s="39">
        <v>-176400</v>
      </c>
      <c r="K61" s="39">
        <v>-185220</v>
      </c>
      <c r="L61" s="39">
        <v>-194481</v>
      </c>
      <c r="M61" s="39">
        <v>595794.95</v>
      </c>
      <c r="N61" s="39">
        <v>-214415.30250000002</v>
      </c>
      <c r="O61" s="39">
        <v>-225136.06762500003</v>
      </c>
      <c r="P61" s="39">
        <v>-236392.87100625003</v>
      </c>
      <c r="Q61" s="39">
        <v>-248212.51455656256</v>
      </c>
      <c r="R61" s="39">
        <v>-260623.14028439068</v>
      </c>
      <c r="S61" s="40">
        <v>-273654.2972986102</v>
      </c>
    </row>
    <row r="62" spans="1:19" ht="12">
      <c r="A62" s="34" t="s">
        <v>201</v>
      </c>
      <c r="B62" s="35" t="s">
        <v>69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800000</v>
      </c>
      <c r="I62" s="39">
        <v>0</v>
      </c>
      <c r="J62" s="39">
        <v>0</v>
      </c>
      <c r="K62" s="39">
        <v>0</v>
      </c>
      <c r="L62" s="39">
        <v>0</v>
      </c>
      <c r="M62" s="39">
        <v>800000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40">
        <v>0</v>
      </c>
    </row>
    <row r="63" spans="1:19" ht="12">
      <c r="A63" s="34" t="s">
        <v>202</v>
      </c>
      <c r="B63" s="35" t="s">
        <v>70</v>
      </c>
      <c r="C63" s="39">
        <v>44996</v>
      </c>
      <c r="D63" s="39">
        <v>0.008636593577318183</v>
      </c>
      <c r="E63" s="39">
        <v>50059</v>
      </c>
      <c r="F63" s="39">
        <v>35000</v>
      </c>
      <c r="G63" s="39">
        <v>44996</v>
      </c>
      <c r="H63" s="39">
        <v>160000</v>
      </c>
      <c r="I63" s="39">
        <v>168000</v>
      </c>
      <c r="J63" s="39">
        <v>176400</v>
      </c>
      <c r="K63" s="39">
        <v>185220</v>
      </c>
      <c r="L63" s="39">
        <v>194481</v>
      </c>
      <c r="M63" s="39">
        <v>204205.05000000002</v>
      </c>
      <c r="N63" s="39">
        <v>214415.30250000002</v>
      </c>
      <c r="O63" s="39">
        <v>225136.06762500003</v>
      </c>
      <c r="P63" s="39">
        <v>236392.87100625003</v>
      </c>
      <c r="Q63" s="39">
        <v>248212.51455656256</v>
      </c>
      <c r="R63" s="39">
        <v>260623.14028439068</v>
      </c>
      <c r="S63" s="40">
        <v>273654.2972986102</v>
      </c>
    </row>
    <row r="64" spans="1:19" ht="12">
      <c r="A64" s="34" t="s">
        <v>203</v>
      </c>
      <c r="B64" s="35" t="s">
        <v>71</v>
      </c>
      <c r="C64" s="39">
        <v>0</v>
      </c>
      <c r="D64" s="39"/>
      <c r="E64" s="39">
        <v>0</v>
      </c>
      <c r="F64" s="39">
        <v>0</v>
      </c>
      <c r="G64" s="39">
        <v>0</v>
      </c>
      <c r="H64" s="39">
        <v>-800000</v>
      </c>
      <c r="I64" s="39">
        <v>0</v>
      </c>
      <c r="J64" s="39">
        <v>0</v>
      </c>
      <c r="K64" s="39">
        <v>0</v>
      </c>
      <c r="L64" s="39">
        <v>0</v>
      </c>
      <c r="M64" s="39">
        <v>-800000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40">
        <v>0</v>
      </c>
    </row>
    <row r="65" spans="1:19" ht="12">
      <c r="A65" s="34" t="s">
        <v>204</v>
      </c>
      <c r="B65" s="35" t="s">
        <v>69</v>
      </c>
      <c r="C65" s="39">
        <v>0</v>
      </c>
      <c r="D65" s="39"/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40">
        <v>0</v>
      </c>
    </row>
    <row r="66" spans="1:19" ht="12">
      <c r="A66" s="34" t="s">
        <v>205</v>
      </c>
      <c r="B66" s="35" t="s">
        <v>70</v>
      </c>
      <c r="C66" s="39">
        <v>0</v>
      </c>
      <c r="D66" s="39"/>
      <c r="E66" s="39">
        <v>0</v>
      </c>
      <c r="F66" s="39">
        <v>0</v>
      </c>
      <c r="G66" s="39">
        <v>0</v>
      </c>
      <c r="H66" s="39">
        <v>800000</v>
      </c>
      <c r="I66" s="39">
        <v>0</v>
      </c>
      <c r="J66" s="39">
        <v>0</v>
      </c>
      <c r="K66" s="39">
        <v>0</v>
      </c>
      <c r="L66" s="39">
        <v>0</v>
      </c>
      <c r="M66" s="39">
        <v>800000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40">
        <v>0</v>
      </c>
    </row>
    <row r="67" spans="1:19" s="28" customFormat="1" ht="12">
      <c r="A67" s="44" t="s">
        <v>206</v>
      </c>
      <c r="B67" s="45" t="s">
        <v>72</v>
      </c>
      <c r="C67" s="53">
        <v>1548676.6749999998</v>
      </c>
      <c r="D67" s="53">
        <v>0</v>
      </c>
      <c r="E67" s="53">
        <v>60059</v>
      </c>
      <c r="F67" s="53">
        <v>40000.28000000119</v>
      </c>
      <c r="G67" s="53">
        <v>52428.65419999976</v>
      </c>
      <c r="H67" s="53">
        <v>235999.08591799904</v>
      </c>
      <c r="I67" s="53">
        <v>247799.7151822187</v>
      </c>
      <c r="J67" s="53">
        <v>260189.30390838347</v>
      </c>
      <c r="K67" s="53">
        <v>273198.79930953775</v>
      </c>
      <c r="L67" s="53">
        <v>286859.0689009782</v>
      </c>
      <c r="M67" s="53">
        <v>301201.5871770559</v>
      </c>
      <c r="N67" s="53">
        <v>316262.41215466335</v>
      </c>
      <c r="O67" s="53">
        <v>332075.2073042169</v>
      </c>
      <c r="P67" s="53">
        <v>348679.42607798707</v>
      </c>
      <c r="Q67" s="53">
        <v>366113.5529274987</v>
      </c>
      <c r="R67" s="53">
        <v>384418.785036657</v>
      </c>
      <c r="S67" s="54">
        <v>403639.82279310375</v>
      </c>
    </row>
    <row r="68" spans="1:19" s="28" customFormat="1" ht="12">
      <c r="A68" s="44" t="s">
        <v>207</v>
      </c>
      <c r="B68" s="45" t="s">
        <v>73</v>
      </c>
      <c r="C68" s="53">
        <v>208.35149670388805</v>
      </c>
      <c r="D68" s="53">
        <v>0</v>
      </c>
      <c r="E68" s="53">
        <v>6.0059</v>
      </c>
      <c r="F68" s="53">
        <v>8.000056000000239</v>
      </c>
      <c r="G68" s="53">
        <v>7.053498479752423</v>
      </c>
      <c r="H68" s="53">
        <v>3.1052511304999872</v>
      </c>
      <c r="I68" s="53">
        <v>3.105259588749608</v>
      </c>
      <c r="J68" s="53">
        <v>3.1052548503208435</v>
      </c>
      <c r="K68" s="53">
        <v>3.105255193647813</v>
      </c>
      <c r="L68" s="53">
        <v>3.1052587618596017</v>
      </c>
      <c r="M68" s="53">
        <v>3.105254275461236</v>
      </c>
      <c r="N68" s="53">
        <v>3.105261596411167</v>
      </c>
      <c r="O68" s="53">
        <v>3.105258553028904</v>
      </c>
      <c r="P68" s="53">
        <v>3.105262635515178</v>
      </c>
      <c r="Q68" s="53">
        <v>3.1052639548058165</v>
      </c>
      <c r="R68" s="53">
        <v>3.1052603558426295</v>
      </c>
      <c r="S68" s="54">
        <v>3.1052611136532557</v>
      </c>
    </row>
    <row r="69" spans="1:19" s="28" customFormat="1" ht="12">
      <c r="A69" s="44" t="s">
        <v>208</v>
      </c>
      <c r="B69" s="45" t="s">
        <v>76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4">
        <v>0</v>
      </c>
    </row>
    <row r="70" spans="1:19" s="28" customFormat="1" ht="12">
      <c r="A70" s="44" t="s">
        <v>209</v>
      </c>
      <c r="B70" s="45" t="s">
        <v>24</v>
      </c>
      <c r="C70" s="53">
        <v>6706172.12</v>
      </c>
      <c r="D70" s="53">
        <v>0</v>
      </c>
      <c r="E70" s="53">
        <v>6642691</v>
      </c>
      <c r="F70" s="53">
        <v>6291226.48</v>
      </c>
      <c r="G70" s="53">
        <v>6706172.0992</v>
      </c>
      <c r="H70" s="53">
        <v>6618634.503168</v>
      </c>
      <c r="I70" s="53">
        <v>5957129.60329472</v>
      </c>
      <c r="J70" s="53">
        <v>6137684.387426509</v>
      </c>
      <c r="K70" s="53">
        <v>6383191.76292357</v>
      </c>
      <c r="L70" s="53">
        <v>6638519.433440512</v>
      </c>
      <c r="M70" s="53">
        <v>7704060.210778134</v>
      </c>
      <c r="N70" s="53">
        <v>7180222.619209259</v>
      </c>
      <c r="O70" s="53">
        <v>7467431.52397763</v>
      </c>
      <c r="P70" s="53">
        <v>7766128.784936735</v>
      </c>
      <c r="Q70" s="53">
        <v>8076773.936334206</v>
      </c>
      <c r="R70" s="53">
        <v>8399844.893787574</v>
      </c>
      <c r="S70" s="54">
        <v>8735838.689539077</v>
      </c>
    </row>
    <row r="71" spans="1:19" s="28" customFormat="1" ht="12">
      <c r="A71" s="44" t="s">
        <v>210</v>
      </c>
      <c r="B71" s="45" t="s">
        <v>77</v>
      </c>
      <c r="C71" s="53">
        <v>5209924.445</v>
      </c>
      <c r="D71" s="53">
        <v>0</v>
      </c>
      <c r="E71" s="53">
        <v>6642691</v>
      </c>
      <c r="F71" s="53">
        <v>6291226.199999999</v>
      </c>
      <c r="G71" s="53">
        <v>6706172.445</v>
      </c>
      <c r="H71" s="53">
        <v>6618635.417250001</v>
      </c>
      <c r="I71" s="53">
        <v>5957129.888112501</v>
      </c>
      <c r="J71" s="53">
        <v>6137685.083518125</v>
      </c>
      <c r="K71" s="53">
        <v>6383192.463614034</v>
      </c>
      <c r="L71" s="53">
        <v>6638519.839539534</v>
      </c>
      <c r="M71" s="53">
        <v>7704061.072351078</v>
      </c>
      <c r="N71" s="53">
        <v>7180222.778242095</v>
      </c>
      <c r="O71" s="53">
        <v>7467432.016420288</v>
      </c>
      <c r="P71" s="53">
        <v>7766128.843592968</v>
      </c>
      <c r="Q71" s="53">
        <v>8076773.842377637</v>
      </c>
      <c r="R71" s="53">
        <v>8399845.240670392</v>
      </c>
      <c r="S71" s="54">
        <v>8735838.955261424</v>
      </c>
    </row>
    <row r="72" spans="1:19" s="28" customFormat="1" ht="12">
      <c r="A72" s="44" t="s">
        <v>211</v>
      </c>
      <c r="B72" s="45" t="s">
        <v>78</v>
      </c>
      <c r="C72" s="53">
        <v>1496247.6749999998</v>
      </c>
      <c r="D72" s="53">
        <v>0</v>
      </c>
      <c r="E72" s="53">
        <v>0</v>
      </c>
      <c r="F72" s="53">
        <v>0.2800000011920929</v>
      </c>
      <c r="G72" s="53">
        <v>-0.3458000002428889</v>
      </c>
      <c r="H72" s="53">
        <v>-0.9140820009633899</v>
      </c>
      <c r="I72" s="53">
        <v>-0.28481778129935265</v>
      </c>
      <c r="J72" s="53">
        <v>-0.6960916165262461</v>
      </c>
      <c r="K72" s="53">
        <v>-0.7006904631853104</v>
      </c>
      <c r="L72" s="53">
        <v>-0.4060990223661065</v>
      </c>
      <c r="M72" s="53">
        <v>-0.8615729436278343</v>
      </c>
      <c r="N72" s="53">
        <v>-0.15903283655643463</v>
      </c>
      <c r="O72" s="53">
        <v>-0.4924426581710577</v>
      </c>
      <c r="P72" s="53">
        <v>-0.05865623243153095</v>
      </c>
      <c r="Q72" s="53">
        <v>0.09395656920969486</v>
      </c>
      <c r="R72" s="53">
        <v>-0.3468828182667494</v>
      </c>
      <c r="S72" s="54">
        <v>-0.26572234742343426</v>
      </c>
    </row>
    <row r="73" spans="1:19" s="28" customFormat="1" ht="12">
      <c r="A73" s="44"/>
      <c r="B73" s="45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4"/>
    </row>
    <row r="74" spans="1:19" s="28" customFormat="1" ht="12">
      <c r="A74" s="44" t="s">
        <v>206</v>
      </c>
      <c r="B74" s="45" t="s">
        <v>72</v>
      </c>
      <c r="C74" s="53">
        <v>1548676.6749999998</v>
      </c>
      <c r="D74" s="53"/>
      <c r="E74" s="53">
        <v>60059</v>
      </c>
      <c r="F74" s="53">
        <v>40000.28000000119</v>
      </c>
      <c r="G74" s="53">
        <v>52428.65419999976</v>
      </c>
      <c r="H74" s="53">
        <v>235999.08591799904</v>
      </c>
      <c r="I74" s="53">
        <v>247799.7151822187</v>
      </c>
      <c r="J74" s="53">
        <v>260189.30390838347</v>
      </c>
      <c r="K74" s="53">
        <v>273198.79930953775</v>
      </c>
      <c r="L74" s="53">
        <v>286859.0689009782</v>
      </c>
      <c r="M74" s="53">
        <v>301201.5871770559</v>
      </c>
      <c r="N74" s="53">
        <v>316262.41215466335</v>
      </c>
      <c r="O74" s="53">
        <v>332075.2073042169</v>
      </c>
      <c r="P74" s="53">
        <v>348679.42607798707</v>
      </c>
      <c r="Q74" s="53">
        <v>366113.5529274987</v>
      </c>
      <c r="R74" s="53">
        <v>384418.785036657</v>
      </c>
      <c r="S74" s="54">
        <v>403639.82279310375</v>
      </c>
    </row>
    <row r="75" spans="1:19" s="28" customFormat="1" ht="12">
      <c r="A75" s="44" t="s">
        <v>207</v>
      </c>
      <c r="B75" s="45" t="s">
        <v>73</v>
      </c>
      <c r="C75" s="53">
        <v>208.35149670388805</v>
      </c>
      <c r="D75" s="53"/>
      <c r="E75" s="53">
        <v>6.0059</v>
      </c>
      <c r="F75" s="53">
        <v>8.000056000000239</v>
      </c>
      <c r="G75" s="53">
        <v>7.053498479752423</v>
      </c>
      <c r="H75" s="53">
        <v>3.1052511304999872</v>
      </c>
      <c r="I75" s="53">
        <v>3.105259588749608</v>
      </c>
      <c r="J75" s="53">
        <v>3.1052548503208435</v>
      </c>
      <c r="K75" s="53">
        <v>3.105255193647813</v>
      </c>
      <c r="L75" s="53">
        <v>3.1052587618596017</v>
      </c>
      <c r="M75" s="53">
        <v>3.105254275461236</v>
      </c>
      <c r="N75" s="53">
        <v>3.105261596411167</v>
      </c>
      <c r="O75" s="53">
        <v>3.105258553028904</v>
      </c>
      <c r="P75" s="53">
        <v>3.105262635515178</v>
      </c>
      <c r="Q75" s="53">
        <v>3.1052639548058165</v>
      </c>
      <c r="R75" s="53">
        <v>3.1052603558426295</v>
      </c>
      <c r="S75" s="54">
        <v>3.1052611136532557</v>
      </c>
    </row>
    <row r="76" spans="1:19" ht="60">
      <c r="A76" s="34"/>
      <c r="B76" s="35" t="s">
        <v>74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0"/>
    </row>
    <row r="77" spans="1:19" ht="12">
      <c r="A77" s="34"/>
      <c r="B77" s="35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</row>
    <row r="78" spans="1:19" ht="12">
      <c r="A78" s="34"/>
      <c r="B78" s="35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</row>
    <row r="79" spans="1:19" ht="24">
      <c r="A79" s="34"/>
      <c r="B79" s="35" t="s">
        <v>75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0"/>
    </row>
    <row r="80" spans="1:19" ht="12">
      <c r="A80" s="34"/>
      <c r="B80" s="35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0"/>
    </row>
    <row r="81" spans="1:19" ht="12">
      <c r="A81" s="34"/>
      <c r="B81" s="35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0"/>
    </row>
    <row r="82" spans="1:19" s="28" customFormat="1" ht="12">
      <c r="A82" s="44" t="s">
        <v>208</v>
      </c>
      <c r="B82" s="45" t="s">
        <v>76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4"/>
    </row>
    <row r="83" spans="1:19" s="28" customFormat="1" ht="12">
      <c r="A83" s="44" t="s">
        <v>209</v>
      </c>
      <c r="B83" s="45" t="s">
        <v>24</v>
      </c>
      <c r="C83" s="53">
        <v>6706172.12</v>
      </c>
      <c r="D83" s="53"/>
      <c r="E83" s="53">
        <v>6642691</v>
      </c>
      <c r="F83" s="53">
        <v>6291226.48</v>
      </c>
      <c r="G83" s="53">
        <v>6706172.0992</v>
      </c>
      <c r="H83" s="53">
        <v>6618634.503168</v>
      </c>
      <c r="I83" s="53">
        <v>5957129.60329472</v>
      </c>
      <c r="J83" s="53">
        <v>6137684.387426509</v>
      </c>
      <c r="K83" s="53">
        <v>6383191.76292357</v>
      </c>
      <c r="L83" s="53">
        <v>6638519.433440512</v>
      </c>
      <c r="M83" s="53">
        <v>7704060.210778134</v>
      </c>
      <c r="N83" s="53">
        <v>7180222.619209259</v>
      </c>
      <c r="O83" s="53">
        <v>7467431.52397763</v>
      </c>
      <c r="P83" s="53">
        <v>7766128.784936735</v>
      </c>
      <c r="Q83" s="53">
        <v>8076773.936334206</v>
      </c>
      <c r="R83" s="53">
        <v>8399844.893787574</v>
      </c>
      <c r="S83" s="54">
        <v>8735838.689539077</v>
      </c>
    </row>
    <row r="84" spans="1:19" s="28" customFormat="1" ht="12">
      <c r="A84" s="44" t="s">
        <v>210</v>
      </c>
      <c r="B84" s="45" t="s">
        <v>77</v>
      </c>
      <c r="C84" s="53">
        <v>5209924.445</v>
      </c>
      <c r="D84" s="53"/>
      <c r="E84" s="53">
        <v>6642691</v>
      </c>
      <c r="F84" s="53">
        <v>6291226.199999999</v>
      </c>
      <c r="G84" s="53">
        <v>6706172.445</v>
      </c>
      <c r="H84" s="53">
        <v>6618635.417250001</v>
      </c>
      <c r="I84" s="53">
        <v>5957129.888112501</v>
      </c>
      <c r="J84" s="53">
        <v>6137685.083518125</v>
      </c>
      <c r="K84" s="53">
        <v>6383192.463614034</v>
      </c>
      <c r="L84" s="53">
        <v>6638519.839539534</v>
      </c>
      <c r="M84" s="53">
        <v>7704061.072351078</v>
      </c>
      <c r="N84" s="53">
        <v>7180222.778242095</v>
      </c>
      <c r="O84" s="53">
        <v>7467432.016420288</v>
      </c>
      <c r="P84" s="53">
        <v>7766128.843592968</v>
      </c>
      <c r="Q84" s="53">
        <v>8076773.842377637</v>
      </c>
      <c r="R84" s="53">
        <v>8399845.240670392</v>
      </c>
      <c r="S84" s="54">
        <v>8735838.955261424</v>
      </c>
    </row>
    <row r="85" spans="1:19" s="28" customFormat="1" ht="12">
      <c r="A85" s="44" t="s">
        <v>211</v>
      </c>
      <c r="B85" s="45" t="s">
        <v>78</v>
      </c>
      <c r="C85" s="53">
        <v>1496247.6749999998</v>
      </c>
      <c r="D85" s="53"/>
      <c r="E85" s="53">
        <v>0</v>
      </c>
      <c r="F85" s="53">
        <v>0.2800000011920929</v>
      </c>
      <c r="G85" s="53">
        <v>-0.3458000002428889</v>
      </c>
      <c r="H85" s="53">
        <v>-0.9140820009633899</v>
      </c>
      <c r="I85" s="53">
        <v>-0.28481778129935265</v>
      </c>
      <c r="J85" s="53">
        <v>-0.6960916165262461</v>
      </c>
      <c r="K85" s="53">
        <v>-0.7006904631853104</v>
      </c>
      <c r="L85" s="53">
        <v>-0.4060990223661065</v>
      </c>
      <c r="M85" s="53">
        <v>-0.8615729436278343</v>
      </c>
      <c r="N85" s="53">
        <v>-0.15903283655643463</v>
      </c>
      <c r="O85" s="53">
        <v>-0.4924426581710577</v>
      </c>
      <c r="P85" s="53">
        <v>-0.05865623243153095</v>
      </c>
      <c r="Q85" s="53">
        <v>0.09395656920969486</v>
      </c>
      <c r="R85" s="53">
        <v>-0.3468828182667494</v>
      </c>
      <c r="S85" s="54">
        <v>-0.26572234742343426</v>
      </c>
    </row>
    <row r="86" spans="1:19" ht="12">
      <c r="A86" s="34"/>
      <c r="B86" s="35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0"/>
    </row>
    <row r="87" spans="1:19" ht="12">
      <c r="A87" s="34"/>
      <c r="B87" s="35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0"/>
    </row>
    <row r="88" spans="1:19" ht="24">
      <c r="A88" s="34"/>
      <c r="B88" s="35" t="s">
        <v>79</v>
      </c>
      <c r="C88" s="39">
        <v>0.31104745009835605</v>
      </c>
      <c r="D88" s="39"/>
      <c r="E88" s="39">
        <v>0.009341737200082625</v>
      </c>
      <c r="F88" s="39">
        <v>0.0065908135247821405</v>
      </c>
      <c r="G88" s="39">
        <v>0.010530150976154137</v>
      </c>
      <c r="H88" s="39">
        <v>0.04230604143205337</v>
      </c>
      <c r="I88" s="39">
        <v>0.04341831230328965</v>
      </c>
      <c r="J88" s="39">
        <v>0.04426627196462537</v>
      </c>
      <c r="K88" s="39">
        <v>0.04469191413633575</v>
      </c>
      <c r="L88" s="39">
        <v>0.045121695928698614</v>
      </c>
      <c r="M88" s="39">
        <v>0.04555549257204692</v>
      </c>
      <c r="N88" s="39">
        <v>0.04599363458884402</v>
      </c>
      <c r="O88" s="39">
        <v>0.046435835564733685</v>
      </c>
      <c r="P88" s="39">
        <v>0.04688239561987294</v>
      </c>
      <c r="Q88" s="39">
        <v>0.04733320799525544</v>
      </c>
      <c r="R88" s="39">
        <v>0.04778827960911029</v>
      </c>
      <c r="S88" s="40">
        <v>0.04824779407209313</v>
      </c>
    </row>
    <row r="89" spans="1:19" ht="24">
      <c r="A89" s="34"/>
      <c r="B89" s="35" t="s">
        <v>80</v>
      </c>
      <c r="C89" s="39">
        <v>0.20462398089001088</v>
      </c>
      <c r="D89" s="39"/>
      <c r="E89" s="39">
        <v>0.1557005455192512</v>
      </c>
      <c r="F89" s="39">
        <v>0.14506754383189852</v>
      </c>
      <c r="G89" s="39">
        <v>0.18253279194876967</v>
      </c>
      <c r="H89" s="39">
        <v>0.18315288442253508</v>
      </c>
      <c r="I89" s="39">
        <v>0.18763881259770943</v>
      </c>
      <c r="J89" s="39">
        <v>0.19097161664381657</v>
      </c>
      <c r="K89" s="39">
        <v>0.18265402540049083</v>
      </c>
      <c r="L89" s="39">
        <v>0.17628960234328553</v>
      </c>
      <c r="M89" s="39">
        <v>0.1776526206970074</v>
      </c>
      <c r="N89" s="39">
        <v>0.1790287449964382</v>
      </c>
      <c r="O89" s="39">
        <v>0.1804181012602866</v>
      </c>
      <c r="P89" s="39">
        <v>0.18182081671897973</v>
      </c>
      <c r="Q89" s="39">
        <v>0.18323701982631407</v>
      </c>
      <c r="R89" s="39">
        <v>0.18466684027121893</v>
      </c>
      <c r="S89" s="40">
        <v>0.1861104089896326</v>
      </c>
    </row>
    <row r="90" spans="1:19" ht="24">
      <c r="A90" s="34"/>
      <c r="B90" s="35" t="s">
        <v>81</v>
      </c>
      <c r="C90" s="39">
        <v>0.7953760191099891</v>
      </c>
      <c r="D90" s="39"/>
      <c r="E90" s="39">
        <v>0.8442994544807488</v>
      </c>
      <c r="F90" s="39">
        <v>0.8549324561681015</v>
      </c>
      <c r="G90" s="39">
        <v>0.8174672080512303</v>
      </c>
      <c r="H90" s="39">
        <v>0.8168471155774649</v>
      </c>
      <c r="I90" s="39">
        <v>0.8123611874022906</v>
      </c>
      <c r="J90" s="39">
        <v>0.8090283833561835</v>
      </c>
      <c r="K90" s="39">
        <v>0.8173459745995091</v>
      </c>
      <c r="L90" s="39">
        <v>0.8237103976567144</v>
      </c>
      <c r="M90" s="39">
        <v>0.8223473793029926</v>
      </c>
      <c r="N90" s="39">
        <v>0.8209712550035618</v>
      </c>
      <c r="O90" s="39">
        <v>0.8195818987397134</v>
      </c>
      <c r="P90" s="39">
        <v>0.8181791832810204</v>
      </c>
      <c r="Q90" s="39">
        <v>0.816762980173686</v>
      </c>
      <c r="R90" s="39">
        <v>0.8153331597287811</v>
      </c>
      <c r="S90" s="40">
        <v>0.8138895910103674</v>
      </c>
    </row>
    <row r="91" spans="1:19" ht="24">
      <c r="A91" s="34"/>
      <c r="B91" s="35" t="s">
        <v>82</v>
      </c>
      <c r="C91" s="39"/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40">
        <v>0</v>
      </c>
    </row>
    <row r="92" spans="1:19" ht="24">
      <c r="A92" s="34"/>
      <c r="B92" s="35" t="s">
        <v>83</v>
      </c>
      <c r="C92" s="39">
        <v>0</v>
      </c>
      <c r="D92" s="39"/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40">
        <v>0</v>
      </c>
    </row>
    <row r="93" spans="1:19" ht="24">
      <c r="A93" s="34"/>
      <c r="B93" s="35" t="s">
        <v>84</v>
      </c>
      <c r="C93" s="39">
        <v>0.3095545524949354</v>
      </c>
      <c r="D93" s="39"/>
      <c r="E93" s="39">
        <v>0.007786310502987664</v>
      </c>
      <c r="F93" s="39">
        <v>0.0057669676011058634</v>
      </c>
      <c r="G93" s="39">
        <v>0.009037253372733409</v>
      </c>
      <c r="H93" s="39">
        <v>0.028682009218838612</v>
      </c>
      <c r="I93" s="39">
        <v>0.02943612786351054</v>
      </c>
      <c r="J93" s="39">
        <v>0.030010993702987147</v>
      </c>
      <c r="K93" s="39">
        <v>0.030299565891412396</v>
      </c>
      <c r="L93" s="39">
        <v>0.030590959719881978</v>
      </c>
      <c r="M93" s="39">
        <v>0.030885037745837805</v>
      </c>
      <c r="N93" s="39">
        <v>0.03118211769699828</v>
      </c>
      <c r="O93" s="39">
        <v>0.03148190024123554</v>
      </c>
      <c r="P93" s="39">
        <v>0.031784672456725845</v>
      </c>
      <c r="Q93" s="39">
        <v>0.03209031441707804</v>
      </c>
      <c r="R93" s="39">
        <v>0.03239881974652749</v>
      </c>
      <c r="S93" s="40">
        <v>0.03271035863390825</v>
      </c>
    </row>
    <row r="94" spans="1:19" ht="12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</row>
    <row r="95" spans="1:19" ht="12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7"/>
    </row>
    <row r="96" spans="1:19" s="28" customFormat="1" ht="24">
      <c r="A96" s="44"/>
      <c r="B96" s="45" t="s">
        <v>212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6"/>
    </row>
    <row r="97" spans="1:19" s="28" customFormat="1" ht="12">
      <c r="A97" s="44"/>
      <c r="B97" s="45"/>
      <c r="C97" s="55"/>
      <c r="D97" s="55"/>
      <c r="E97" s="55" t="s">
        <v>213</v>
      </c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6"/>
    </row>
    <row r="98" spans="1:19" s="28" customFormat="1" ht="12">
      <c r="A98" s="44"/>
      <c r="B98" s="45" t="s">
        <v>85</v>
      </c>
      <c r="C98" s="55">
        <v>6</v>
      </c>
      <c r="D98" s="55"/>
      <c r="E98" s="55">
        <v>6</v>
      </c>
      <c r="F98" s="55">
        <v>6</v>
      </c>
      <c r="G98" s="55">
        <v>6</v>
      </c>
      <c r="H98" s="55">
        <v>6</v>
      </c>
      <c r="I98" s="55">
        <v>6</v>
      </c>
      <c r="J98" s="55">
        <v>6</v>
      </c>
      <c r="K98" s="55">
        <v>6</v>
      </c>
      <c r="L98" s="55">
        <v>6</v>
      </c>
      <c r="M98" s="55">
        <v>6</v>
      </c>
      <c r="N98" s="55">
        <v>6</v>
      </c>
      <c r="O98" s="55">
        <v>6</v>
      </c>
      <c r="P98" s="55">
        <v>6</v>
      </c>
      <c r="Q98" s="55">
        <v>6</v>
      </c>
      <c r="R98" s="55">
        <v>6</v>
      </c>
      <c r="S98" s="56">
        <v>6</v>
      </c>
    </row>
    <row r="99" spans="1:19" ht="12">
      <c r="A99" s="34"/>
      <c r="B99" s="35"/>
      <c r="C99" s="36"/>
      <c r="D99" s="36"/>
      <c r="E99" s="36">
        <v>2009</v>
      </c>
      <c r="F99" s="36">
        <v>2010</v>
      </c>
      <c r="G99" s="36">
        <v>2011</v>
      </c>
      <c r="H99" s="36">
        <v>2012</v>
      </c>
      <c r="I99" s="36">
        <v>2013</v>
      </c>
      <c r="J99" s="36">
        <v>2014</v>
      </c>
      <c r="K99" s="36">
        <v>2015</v>
      </c>
      <c r="L99" s="36">
        <v>2016</v>
      </c>
      <c r="M99" s="36">
        <v>2017</v>
      </c>
      <c r="N99" s="36">
        <v>2018</v>
      </c>
      <c r="O99" s="36">
        <v>2019</v>
      </c>
      <c r="P99" s="36">
        <v>2020</v>
      </c>
      <c r="Q99" s="36">
        <v>2021</v>
      </c>
      <c r="R99" s="36">
        <v>2022</v>
      </c>
      <c r="S99" s="37">
        <v>2023</v>
      </c>
    </row>
    <row r="100" spans="1:19" s="33" customFormat="1" ht="36">
      <c r="A100" s="41"/>
      <c r="B100" s="42" t="s">
        <v>86</v>
      </c>
      <c r="C100" s="42" t="s">
        <v>214</v>
      </c>
      <c r="D100" s="42"/>
      <c r="E100" s="42" t="s">
        <v>129</v>
      </c>
      <c r="F100" s="42" t="s">
        <v>130</v>
      </c>
      <c r="G100" s="42" t="s">
        <v>131</v>
      </c>
      <c r="H100" s="42" t="s">
        <v>132</v>
      </c>
      <c r="I100" s="42" t="s">
        <v>133</v>
      </c>
      <c r="J100" s="42" t="s">
        <v>134</v>
      </c>
      <c r="K100" s="42" t="s">
        <v>135</v>
      </c>
      <c r="L100" s="42" t="s">
        <v>136</v>
      </c>
      <c r="M100" s="42" t="s">
        <v>137</v>
      </c>
      <c r="N100" s="42" t="s">
        <v>138</v>
      </c>
      <c r="O100" s="42" t="s">
        <v>139</v>
      </c>
      <c r="P100" s="42" t="s">
        <v>140</v>
      </c>
      <c r="Q100" s="42" t="s">
        <v>141</v>
      </c>
      <c r="R100" s="42" t="s">
        <v>142</v>
      </c>
      <c r="S100" s="43" t="s">
        <v>143</v>
      </c>
    </row>
    <row r="101" spans="1:19" s="28" customFormat="1" ht="12">
      <c r="A101" s="44"/>
      <c r="B101" s="45" t="s">
        <v>87</v>
      </c>
      <c r="C101" s="53">
        <v>2736608</v>
      </c>
      <c r="D101" s="53"/>
      <c r="E101" s="53">
        <v>3524136</v>
      </c>
      <c r="F101" s="53">
        <v>3351539</v>
      </c>
      <c r="G101" s="53">
        <v>2901584</v>
      </c>
      <c r="H101" s="53">
        <v>3187378.6799999997</v>
      </c>
      <c r="I101" s="53">
        <v>3220623.5472000004</v>
      </c>
      <c r="J101" s="53">
        <v>3291718.089088</v>
      </c>
      <c r="K101" s="53">
        <v>3423386.8126515206</v>
      </c>
      <c r="L101" s="53">
        <v>3560322.285157582</v>
      </c>
      <c r="M101" s="53">
        <v>3702735.1765638846</v>
      </c>
      <c r="N101" s="53">
        <v>3850844.58362644</v>
      </c>
      <c r="O101" s="53">
        <v>4004878.366971498</v>
      </c>
      <c r="P101" s="53">
        <v>4165073.5016503576</v>
      </c>
      <c r="Q101" s="53">
        <v>4331676.441716373</v>
      </c>
      <c r="R101" s="53">
        <v>4504943.499385027</v>
      </c>
      <c r="S101" s="54">
        <v>4685141.239360428</v>
      </c>
    </row>
    <row r="102" spans="1:19" s="28" customFormat="1" ht="24">
      <c r="A102" s="44"/>
      <c r="B102" s="45" t="s">
        <v>88</v>
      </c>
      <c r="C102" s="53">
        <v>998429</v>
      </c>
      <c r="D102" s="53"/>
      <c r="E102" s="53">
        <v>924030</v>
      </c>
      <c r="F102" s="53">
        <v>846622.85</v>
      </c>
      <c r="G102" s="53">
        <v>800247</v>
      </c>
      <c r="H102" s="53">
        <v>839505.3</v>
      </c>
      <c r="I102" s="53">
        <v>879603.7650000001</v>
      </c>
      <c r="J102" s="53">
        <v>921632.08125</v>
      </c>
      <c r="K102" s="53">
        <v>965683.7384325003</v>
      </c>
      <c r="L102" s="53">
        <v>1011856.7805989253</v>
      </c>
      <c r="M102" s="53">
        <v>1060254.0290834636</v>
      </c>
      <c r="N102" s="53">
        <v>1110983.3163704122</v>
      </c>
      <c r="O102" s="53">
        <v>1164157.73145502</v>
      </c>
      <c r="P102" s="53">
        <v>1219895.8772645008</v>
      </c>
      <c r="Q102" s="53">
        <v>1278322.1407339256</v>
      </c>
      <c r="R102" s="53">
        <v>1339566.9761610692</v>
      </c>
      <c r="S102" s="54">
        <v>1403767.202495188</v>
      </c>
    </row>
    <row r="103" spans="1:19" s="28" customFormat="1" ht="12">
      <c r="A103" s="44"/>
      <c r="B103" s="45" t="s">
        <v>89</v>
      </c>
      <c r="C103" s="53">
        <v>0.36484180416047896</v>
      </c>
      <c r="D103" s="53"/>
      <c r="E103" s="53">
        <v>0.2622004372135468</v>
      </c>
      <c r="F103" s="53">
        <v>0.252607190308691</v>
      </c>
      <c r="G103" s="53">
        <v>0.27579659937468637</v>
      </c>
      <c r="H103" s="53">
        <v>0.2633842364786101</v>
      </c>
      <c r="I103" s="53">
        <v>0.2731159826999106</v>
      </c>
      <c r="J103" s="53">
        <v>0.27998511911004703</v>
      </c>
      <c r="K103" s="53">
        <v>0.2820843192080149</v>
      </c>
      <c r="L103" s="53">
        <v>0.28420370392230937</v>
      </c>
      <c r="M103" s="53">
        <v>0.2863434673357798</v>
      </c>
      <c r="N103" s="53">
        <v>0.2885038053974566</v>
      </c>
      <c r="O103" s="53">
        <v>0.2906849159404958</v>
      </c>
      <c r="P103" s="53">
        <v>0.29288699870029483</v>
      </c>
      <c r="Q103" s="53">
        <v>0.29511025533278434</v>
      </c>
      <c r="R103" s="53">
        <v>0.29735488943289395</v>
      </c>
      <c r="S103" s="54">
        <v>0.2996211065531969</v>
      </c>
    </row>
    <row r="104" spans="1:19" s="28" customFormat="1" ht="24">
      <c r="A104" s="44"/>
      <c r="B104" s="45" t="s">
        <v>90</v>
      </c>
      <c r="C104" s="53">
        <v>818968</v>
      </c>
      <c r="D104" s="53"/>
      <c r="E104" s="53">
        <v>760843</v>
      </c>
      <c r="F104" s="53">
        <v>671337.85</v>
      </c>
      <c r="G104" s="53">
        <v>620786</v>
      </c>
      <c r="H104" s="53">
        <v>651825.3</v>
      </c>
      <c r="I104" s="53">
        <v>684416.5650000002</v>
      </c>
      <c r="J104" s="53">
        <v>718637.3932500001</v>
      </c>
      <c r="K104" s="53">
        <v>754569.2629125002</v>
      </c>
      <c r="L104" s="53">
        <v>792297.7260581253</v>
      </c>
      <c r="M104" s="53">
        <v>831912.6123610315</v>
      </c>
      <c r="N104" s="53">
        <v>873508.242979083</v>
      </c>
      <c r="O104" s="53">
        <v>917183.6551280373</v>
      </c>
      <c r="P104" s="53">
        <v>963042.837884439</v>
      </c>
      <c r="Q104" s="53">
        <v>1011194.9797786612</v>
      </c>
      <c r="R104" s="53">
        <v>1061754.7287675943</v>
      </c>
      <c r="S104" s="54">
        <v>1114842.465205974</v>
      </c>
    </row>
    <row r="105" spans="1:19" s="28" customFormat="1" ht="12">
      <c r="A105" s="44"/>
      <c r="B105" s="45" t="s">
        <v>91</v>
      </c>
      <c r="C105" s="53">
        <v>0.2992639062664437</v>
      </c>
      <c r="D105" s="53"/>
      <c r="E105" s="53">
        <v>0.21589490303438913</v>
      </c>
      <c r="F105" s="53">
        <v>0.20030733642067122</v>
      </c>
      <c r="G105" s="53">
        <v>0.2139472784520455</v>
      </c>
      <c r="H105" s="53">
        <v>0.20450199535123956</v>
      </c>
      <c r="I105" s="53">
        <v>0.2125105759706159</v>
      </c>
      <c r="J105" s="53">
        <v>0.21831681018865898</v>
      </c>
      <c r="K105" s="53">
        <v>0.22041601028662683</v>
      </c>
      <c r="L105" s="53">
        <v>0.22253539500092132</v>
      </c>
      <c r="M105" s="53">
        <v>0.22467515841439173</v>
      </c>
      <c r="N105" s="53">
        <v>0.22683549647606857</v>
      </c>
      <c r="O105" s="53">
        <v>0.2290166070191077</v>
      </c>
      <c r="P105" s="53">
        <v>0.23121868977890678</v>
      </c>
      <c r="Q105" s="53">
        <v>0.23344194641139626</v>
      </c>
      <c r="R105" s="53">
        <v>0.2356865805115059</v>
      </c>
      <c r="S105" s="54">
        <v>0.23795279763180882</v>
      </c>
    </row>
    <row r="106" spans="1:19" s="28" customFormat="1" ht="12">
      <c r="A106" s="44"/>
      <c r="B106" s="45" t="s">
        <v>92</v>
      </c>
      <c r="C106" s="53">
        <v>0.8</v>
      </c>
      <c r="D106" s="53"/>
      <c r="E106" s="53">
        <v>0.8</v>
      </c>
      <c r="F106" s="53">
        <v>0.8</v>
      </c>
      <c r="G106" s="53">
        <v>0.8</v>
      </c>
      <c r="H106" s="53">
        <v>0.8</v>
      </c>
      <c r="I106" s="53">
        <v>0.8</v>
      </c>
      <c r="J106" s="53">
        <v>0.8</v>
      </c>
      <c r="K106" s="53">
        <v>0.8</v>
      </c>
      <c r="L106" s="53">
        <v>0.8</v>
      </c>
      <c r="M106" s="53">
        <v>0.8</v>
      </c>
      <c r="N106" s="53">
        <v>0.8</v>
      </c>
      <c r="O106" s="53">
        <v>0.8</v>
      </c>
      <c r="P106" s="53">
        <v>0.8</v>
      </c>
      <c r="Q106" s="53">
        <v>0.8</v>
      </c>
      <c r="R106" s="53">
        <v>0.8</v>
      </c>
      <c r="S106" s="54">
        <v>0.8</v>
      </c>
    </row>
    <row r="107" spans="1:19" ht="12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</row>
    <row r="108" spans="1:19" s="33" customFormat="1" ht="24">
      <c r="A108" s="41"/>
      <c r="B108" s="42" t="s">
        <v>93</v>
      </c>
      <c r="C108" s="42" t="s">
        <v>215</v>
      </c>
      <c r="D108" s="42"/>
      <c r="E108" s="42" t="s">
        <v>216</v>
      </c>
      <c r="F108" s="42" t="s">
        <v>217</v>
      </c>
      <c r="G108" s="42" t="s">
        <v>218</v>
      </c>
      <c r="H108" s="42" t="s">
        <v>219</v>
      </c>
      <c r="I108" s="42" t="s">
        <v>220</v>
      </c>
      <c r="J108" s="42" t="s">
        <v>221</v>
      </c>
      <c r="K108" s="42" t="s">
        <v>222</v>
      </c>
      <c r="L108" s="42" t="s">
        <v>223</v>
      </c>
      <c r="M108" s="42" t="s">
        <v>224</v>
      </c>
      <c r="N108" s="42" t="s">
        <v>225</v>
      </c>
      <c r="O108" s="42" t="s">
        <v>226</v>
      </c>
      <c r="P108" s="42" t="s">
        <v>227</v>
      </c>
      <c r="Q108" s="42" t="s">
        <v>228</v>
      </c>
      <c r="R108" s="42" t="s">
        <v>229</v>
      </c>
      <c r="S108" s="43" t="s">
        <v>230</v>
      </c>
    </row>
    <row r="109" spans="1:19" ht="12">
      <c r="A109" s="34"/>
      <c r="B109" s="35" t="s">
        <v>94</v>
      </c>
      <c r="C109" s="39">
        <v>2491824.3</v>
      </c>
      <c r="D109" s="39"/>
      <c r="E109" s="39">
        <v>2603956.3935000002</v>
      </c>
      <c r="F109" s="39">
        <v>2695094.8672724995</v>
      </c>
      <c r="G109" s="39">
        <v>2775947.7132906746</v>
      </c>
      <c r="H109" s="39">
        <v>2859226.1446893946</v>
      </c>
      <c r="I109" s="39">
        <v>2945002.929030077</v>
      </c>
      <c r="J109" s="39">
        <v>3033353.016900979</v>
      </c>
      <c r="K109" s="39">
        <v>3124353.6074080085</v>
      </c>
      <c r="L109" s="39">
        <v>3218084.2156302487</v>
      </c>
      <c r="M109" s="39">
        <v>3314626.742099156</v>
      </c>
      <c r="N109" s="39">
        <v>3414065.5443621306</v>
      </c>
      <c r="O109" s="39">
        <v>3516487.510692995</v>
      </c>
      <c r="P109" s="39">
        <v>3621982.1360137844</v>
      </c>
      <c r="Q109" s="39">
        <v>3730641.6000941982</v>
      </c>
      <c r="R109" s="39">
        <v>3842560.8480970236</v>
      </c>
      <c r="S109" s="40">
        <v>3957837.6735399347</v>
      </c>
    </row>
    <row r="110" spans="1:19" ht="12">
      <c r="A110" s="34"/>
      <c r="B110" s="35" t="s">
        <v>14</v>
      </c>
      <c r="C110" s="39">
        <v>903855.5925</v>
      </c>
      <c r="D110" s="39"/>
      <c r="E110" s="39">
        <v>944529.0941624999</v>
      </c>
      <c r="F110" s="39">
        <v>977587.6124581874</v>
      </c>
      <c r="G110" s="39">
        <v>1006915.240831933</v>
      </c>
      <c r="H110" s="39">
        <v>1037122.698056891</v>
      </c>
      <c r="I110" s="39">
        <v>1068236.3789985976</v>
      </c>
      <c r="J110" s="39">
        <v>1100283.4703685557</v>
      </c>
      <c r="K110" s="39">
        <v>1133291.9744796124</v>
      </c>
      <c r="L110" s="39">
        <v>1167290.7337140008</v>
      </c>
      <c r="M110" s="39">
        <v>1202309.455725421</v>
      </c>
      <c r="N110" s="39">
        <v>1238378.7393971835</v>
      </c>
      <c r="O110" s="39">
        <v>1275530.1015790992</v>
      </c>
      <c r="P110" s="39">
        <v>1313796.0046264722</v>
      </c>
      <c r="Q110" s="39">
        <v>1353209.8847652664</v>
      </c>
      <c r="R110" s="39">
        <v>1393806.1813082243</v>
      </c>
      <c r="S110" s="40">
        <v>1435620.3667474713</v>
      </c>
    </row>
    <row r="111" spans="1:19" ht="12">
      <c r="A111" s="34"/>
      <c r="B111" s="35" t="s">
        <v>95</v>
      </c>
      <c r="C111" s="39">
        <v>1587968.7074999998</v>
      </c>
      <c r="D111" s="39"/>
      <c r="E111" s="39">
        <v>1659427.2993375002</v>
      </c>
      <c r="F111" s="39">
        <v>1717507.254814312</v>
      </c>
      <c r="G111" s="39">
        <v>1769032.4724587416</v>
      </c>
      <c r="H111" s="39">
        <v>1822103.4466325035</v>
      </c>
      <c r="I111" s="39">
        <v>1876766.5500314794</v>
      </c>
      <c r="J111" s="39">
        <v>1933069.5465324232</v>
      </c>
      <c r="K111" s="39">
        <v>1991061.632928396</v>
      </c>
      <c r="L111" s="39">
        <v>2050793.4819162479</v>
      </c>
      <c r="M111" s="39">
        <v>2112317.2863737354</v>
      </c>
      <c r="N111" s="39">
        <v>2175686.804964947</v>
      </c>
      <c r="O111" s="39">
        <v>2240957.409113896</v>
      </c>
      <c r="P111" s="39">
        <v>2308186.131387312</v>
      </c>
      <c r="Q111" s="39">
        <v>2377431.715328932</v>
      </c>
      <c r="R111" s="39">
        <v>2448754.666788799</v>
      </c>
      <c r="S111" s="40">
        <v>2522217.306792463</v>
      </c>
    </row>
    <row r="112" spans="1:19" ht="12">
      <c r="A112" s="34"/>
      <c r="B112" s="35" t="s">
        <v>96</v>
      </c>
      <c r="C112" s="39">
        <v>23331</v>
      </c>
      <c r="D112" s="39"/>
      <c r="E112" s="39">
        <v>23331</v>
      </c>
      <c r="F112" s="39">
        <v>663331</v>
      </c>
      <c r="G112" s="39">
        <v>503331</v>
      </c>
      <c r="H112" s="39">
        <v>343331</v>
      </c>
      <c r="I112" s="39">
        <v>183331</v>
      </c>
      <c r="J112" s="39">
        <v>23331</v>
      </c>
      <c r="K112" s="39">
        <v>23331</v>
      </c>
      <c r="L112" s="39">
        <v>23331</v>
      </c>
      <c r="M112" s="39">
        <v>23331</v>
      </c>
      <c r="N112" s="39">
        <v>23331</v>
      </c>
      <c r="O112" s="39">
        <v>23331</v>
      </c>
      <c r="P112" s="39">
        <v>23331</v>
      </c>
      <c r="Q112" s="39">
        <v>23331</v>
      </c>
      <c r="R112" s="39">
        <v>23331</v>
      </c>
      <c r="S112" s="40">
        <v>23331</v>
      </c>
    </row>
    <row r="113" spans="1:19" ht="12">
      <c r="A113" s="34"/>
      <c r="B113" s="35" t="s">
        <v>97</v>
      </c>
      <c r="C113" s="39">
        <v>0</v>
      </c>
      <c r="D113" s="39"/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40">
        <v>0</v>
      </c>
    </row>
    <row r="114" spans="1:19" ht="12">
      <c r="A114" s="34"/>
      <c r="B114" s="35" t="s">
        <v>98</v>
      </c>
      <c r="C114" s="39">
        <v>23331</v>
      </c>
      <c r="D114" s="39"/>
      <c r="E114" s="39">
        <v>663331</v>
      </c>
      <c r="F114" s="39">
        <v>503331</v>
      </c>
      <c r="G114" s="39">
        <v>343331</v>
      </c>
      <c r="H114" s="39">
        <v>183331</v>
      </c>
      <c r="I114" s="39">
        <v>23331</v>
      </c>
      <c r="J114" s="39">
        <v>23331</v>
      </c>
      <c r="K114" s="39">
        <v>23331</v>
      </c>
      <c r="L114" s="39">
        <v>23331</v>
      </c>
      <c r="M114" s="39">
        <v>23331</v>
      </c>
      <c r="N114" s="39">
        <v>23331</v>
      </c>
      <c r="O114" s="39">
        <v>23331</v>
      </c>
      <c r="P114" s="39">
        <v>23331</v>
      </c>
      <c r="Q114" s="39">
        <v>23331</v>
      </c>
      <c r="R114" s="39">
        <v>23331</v>
      </c>
      <c r="S114" s="40">
        <v>23331</v>
      </c>
    </row>
    <row r="115" spans="1:19" ht="12">
      <c r="A115" s="34"/>
      <c r="B115" s="35" t="s">
        <v>99</v>
      </c>
      <c r="C115" s="39">
        <v>0</v>
      </c>
      <c r="D115" s="39"/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40">
        <v>0</v>
      </c>
    </row>
    <row r="116" spans="1:19" ht="24">
      <c r="A116" s="34"/>
      <c r="B116" s="35" t="s">
        <v>100</v>
      </c>
      <c r="C116" s="39">
        <v>0</v>
      </c>
      <c r="D116" s="39"/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40">
        <v>0</v>
      </c>
    </row>
    <row r="117" spans="1:19" ht="12">
      <c r="A117" s="34"/>
      <c r="B117" s="35" t="s">
        <v>101</v>
      </c>
      <c r="C117" s="39">
        <v>0</v>
      </c>
      <c r="D117" s="39"/>
      <c r="E117" s="39">
        <v>800000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40">
        <v>0</v>
      </c>
    </row>
    <row r="118" spans="1:19" ht="12">
      <c r="A118" s="34"/>
      <c r="B118" s="35" t="s">
        <v>102</v>
      </c>
      <c r="C118" s="39">
        <v>0</v>
      </c>
      <c r="D118" s="39"/>
      <c r="E118" s="39">
        <v>160000</v>
      </c>
      <c r="F118" s="39">
        <v>160000</v>
      </c>
      <c r="G118" s="39">
        <v>160000</v>
      </c>
      <c r="H118" s="39">
        <v>160000</v>
      </c>
      <c r="I118" s="39">
        <v>160000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40">
        <v>0</v>
      </c>
    </row>
    <row r="119" spans="1:19" ht="24">
      <c r="A119" s="34"/>
      <c r="B119" s="35" t="s">
        <v>103</v>
      </c>
      <c r="C119" s="39">
        <v>0</v>
      </c>
      <c r="D119" s="39"/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40">
        <v>0</v>
      </c>
    </row>
    <row r="120" spans="1:19" ht="12">
      <c r="A120" s="34"/>
      <c r="B120" s="35" t="s">
        <v>104</v>
      </c>
      <c r="C120" s="39">
        <v>0</v>
      </c>
      <c r="D120" s="39"/>
      <c r="E120" s="39">
        <v>69070</v>
      </c>
      <c r="F120" s="39">
        <v>54810</v>
      </c>
      <c r="G120" s="39">
        <v>39690</v>
      </c>
      <c r="H120" s="39">
        <v>24570</v>
      </c>
      <c r="I120" s="39">
        <v>9450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40">
        <v>0</v>
      </c>
    </row>
    <row r="121" spans="1:19" ht="12">
      <c r="A121" s="34"/>
      <c r="B121" s="35" t="s">
        <v>105</v>
      </c>
      <c r="C121" s="39">
        <v>23331</v>
      </c>
      <c r="D121" s="39"/>
      <c r="E121" s="39">
        <v>663331</v>
      </c>
      <c r="F121" s="39">
        <v>503331</v>
      </c>
      <c r="G121" s="39">
        <v>343331</v>
      </c>
      <c r="H121" s="39">
        <v>183331</v>
      </c>
      <c r="I121" s="39">
        <v>23331</v>
      </c>
      <c r="J121" s="39">
        <v>23331</v>
      </c>
      <c r="K121" s="39">
        <v>23331</v>
      </c>
      <c r="L121" s="39">
        <v>23331</v>
      </c>
      <c r="M121" s="39">
        <v>23331</v>
      </c>
      <c r="N121" s="39">
        <v>23331</v>
      </c>
      <c r="O121" s="39">
        <v>23331</v>
      </c>
      <c r="P121" s="39">
        <v>23331</v>
      </c>
      <c r="Q121" s="39">
        <v>23331</v>
      </c>
      <c r="R121" s="39">
        <v>23331</v>
      </c>
      <c r="S121" s="40">
        <v>23331</v>
      </c>
    </row>
    <row r="122" spans="1:19" ht="12">
      <c r="A122" s="34"/>
      <c r="B122" s="35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40"/>
    </row>
    <row r="123" spans="1:19" ht="12">
      <c r="A123" s="34"/>
      <c r="B123" s="35" t="s">
        <v>106</v>
      </c>
      <c r="C123" s="39">
        <v>0</v>
      </c>
      <c r="D123" s="39"/>
      <c r="E123" s="39">
        <v>0.041622793615348555</v>
      </c>
      <c r="F123" s="39">
        <v>0.031912528955183816</v>
      </c>
      <c r="G123" s="39">
        <v>0.02243599290454838</v>
      </c>
      <c r="H123" s="39">
        <v>0.013484415522844613</v>
      </c>
      <c r="I123" s="39">
        <v>0.005035255983138389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40">
        <v>0</v>
      </c>
    </row>
    <row r="124" spans="1:19" ht="12">
      <c r="A124" s="34"/>
      <c r="B124" s="35" t="s">
        <v>107</v>
      </c>
      <c r="C124" s="39">
        <v>0.009363019696051604</v>
      </c>
      <c r="D124" s="39"/>
      <c r="E124" s="39">
        <v>0.25473967292839766</v>
      </c>
      <c r="F124" s="39">
        <v>0.1867581754216255</v>
      </c>
      <c r="G124" s="39">
        <v>0.12368064367934627</v>
      </c>
      <c r="H124" s="39">
        <v>0.06411909751892526</v>
      </c>
      <c r="I124" s="39">
        <v>0.007922233207314316</v>
      </c>
      <c r="J124" s="39">
        <v>0.007691488550790599</v>
      </c>
      <c r="K124" s="39">
        <v>0.007467464612418056</v>
      </c>
      <c r="L124" s="39">
        <v>0.007249965643124327</v>
      </c>
      <c r="M124" s="39">
        <v>0.007038801595266336</v>
      </c>
      <c r="N124" s="39">
        <v>0.00683378795656926</v>
      </c>
      <c r="O124" s="39">
        <v>0.006634745588902193</v>
      </c>
      <c r="P124" s="39">
        <v>0.0064415005717497024</v>
      </c>
      <c r="Q124" s="39">
        <v>0.006253884050242429</v>
      </c>
      <c r="R124" s="39">
        <v>0.00607173208761401</v>
      </c>
      <c r="S124" s="40">
        <v>0.005894885521955349</v>
      </c>
    </row>
    <row r="125" spans="1:19" ht="12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7"/>
    </row>
    <row r="126" spans="1:19" s="28" customFormat="1" ht="24">
      <c r="A126" s="44"/>
      <c r="B126" s="45" t="s">
        <v>108</v>
      </c>
      <c r="C126" s="46" t="s">
        <v>231</v>
      </c>
      <c r="D126" s="46"/>
      <c r="E126" s="46" t="s">
        <v>231</v>
      </c>
      <c r="F126" s="46" t="s">
        <v>231</v>
      </c>
      <c r="G126" s="46" t="s">
        <v>231</v>
      </c>
      <c r="H126" s="46" t="s">
        <v>231</v>
      </c>
      <c r="I126" s="46" t="s">
        <v>231</v>
      </c>
      <c r="J126" s="46" t="s">
        <v>231</v>
      </c>
      <c r="K126" s="46" t="s">
        <v>231</v>
      </c>
      <c r="L126" s="46" t="s">
        <v>231</v>
      </c>
      <c r="M126" s="46" t="s">
        <v>231</v>
      </c>
      <c r="N126" s="46" t="s">
        <v>231</v>
      </c>
      <c r="O126" s="46" t="s">
        <v>231</v>
      </c>
      <c r="P126" s="46" t="s">
        <v>231</v>
      </c>
      <c r="Q126" s="46" t="s">
        <v>231</v>
      </c>
      <c r="R126" s="46" t="s">
        <v>231</v>
      </c>
      <c r="S126" s="47" t="s">
        <v>231</v>
      </c>
    </row>
    <row r="127" spans="1:19" s="28" customFormat="1" ht="24">
      <c r="A127" s="44"/>
      <c r="B127" s="45" t="s">
        <v>109</v>
      </c>
      <c r="C127" s="46" t="s">
        <v>231</v>
      </c>
      <c r="D127" s="46"/>
      <c r="E127" s="46" t="s">
        <v>231</v>
      </c>
      <c r="F127" s="46" t="s">
        <v>231</v>
      </c>
      <c r="G127" s="46" t="s">
        <v>231</v>
      </c>
      <c r="H127" s="46" t="s">
        <v>231</v>
      </c>
      <c r="I127" s="46" t="s">
        <v>231</v>
      </c>
      <c r="J127" s="46" t="s">
        <v>231</v>
      </c>
      <c r="K127" s="46" t="s">
        <v>231</v>
      </c>
      <c r="L127" s="46" t="s">
        <v>231</v>
      </c>
      <c r="M127" s="46" t="s">
        <v>231</v>
      </c>
      <c r="N127" s="46" t="s">
        <v>231</v>
      </c>
      <c r="O127" s="46" t="s">
        <v>231</v>
      </c>
      <c r="P127" s="46" t="s">
        <v>231</v>
      </c>
      <c r="Q127" s="46" t="s">
        <v>231</v>
      </c>
      <c r="R127" s="46" t="s">
        <v>231</v>
      </c>
      <c r="S127" s="47" t="s">
        <v>231</v>
      </c>
    </row>
    <row r="128" spans="1:19" s="28" customFormat="1" ht="12">
      <c r="A128" s="44"/>
      <c r="B128" s="45" t="s">
        <v>110</v>
      </c>
      <c r="C128" s="46" t="s">
        <v>231</v>
      </c>
      <c r="D128" s="46"/>
      <c r="E128" s="46" t="s">
        <v>231</v>
      </c>
      <c r="F128" s="46" t="s">
        <v>231</v>
      </c>
      <c r="G128" s="46" t="s">
        <v>231</v>
      </c>
      <c r="H128" s="46" t="s">
        <v>231</v>
      </c>
      <c r="I128" s="46" t="s">
        <v>231</v>
      </c>
      <c r="J128" s="46" t="s">
        <v>231</v>
      </c>
      <c r="K128" s="46" t="s">
        <v>231</v>
      </c>
      <c r="L128" s="46" t="s">
        <v>231</v>
      </c>
      <c r="M128" s="46" t="s">
        <v>231</v>
      </c>
      <c r="N128" s="46" t="s">
        <v>231</v>
      </c>
      <c r="O128" s="46" t="s">
        <v>231</v>
      </c>
      <c r="P128" s="46" t="s">
        <v>231</v>
      </c>
      <c r="Q128" s="46" t="s">
        <v>231</v>
      </c>
      <c r="R128" s="46" t="s">
        <v>231</v>
      </c>
      <c r="S128" s="47" t="s">
        <v>231</v>
      </c>
    </row>
    <row r="129" spans="1:19" ht="12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</row>
    <row r="130" spans="1:19" ht="12">
      <c r="A130" s="34"/>
      <c r="B130" s="45" t="s">
        <v>111</v>
      </c>
      <c r="C130" s="39">
        <v>208.35149670388805</v>
      </c>
      <c r="D130" s="39"/>
      <c r="E130" s="39">
        <v>6.0059</v>
      </c>
      <c r="F130" s="39">
        <v>8.000056000000239</v>
      </c>
      <c r="G130" s="39">
        <v>7.053498479752423</v>
      </c>
      <c r="H130" s="39">
        <v>3.1052511304999872</v>
      </c>
      <c r="I130" s="39">
        <v>3.105259588749608</v>
      </c>
      <c r="J130" s="39">
        <v>3.1052548503208435</v>
      </c>
      <c r="K130" s="39">
        <v>3.105255193647813</v>
      </c>
      <c r="L130" s="39">
        <v>3.1052587618596017</v>
      </c>
      <c r="M130" s="39">
        <v>3.105254275461236</v>
      </c>
      <c r="N130" s="39">
        <v>3.105261596411167</v>
      </c>
      <c r="O130" s="39">
        <v>3.105258553028904</v>
      </c>
      <c r="P130" s="39">
        <v>3.105262635515178</v>
      </c>
      <c r="Q130" s="39">
        <v>3.1052639548058165</v>
      </c>
      <c r="R130" s="39">
        <v>3.1052603558426295</v>
      </c>
      <c r="S130" s="40">
        <v>3.1052611136532557</v>
      </c>
    </row>
    <row r="131" spans="1:19" ht="12">
      <c r="A131" s="34"/>
      <c r="B131" s="45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0"/>
    </row>
    <row r="132" spans="1:19" ht="24">
      <c r="A132" s="34"/>
      <c r="B132" s="45" t="s">
        <v>112</v>
      </c>
      <c r="C132" s="39">
        <v>29.53855070666997</v>
      </c>
      <c r="D132" s="39"/>
      <c r="E132" s="39">
        <v>1</v>
      </c>
      <c r="F132" s="39">
        <v>1.0000070000000298</v>
      </c>
      <c r="G132" s="39">
        <v>0.9999934044135833</v>
      </c>
      <c r="H132" s="39">
        <v>0.9999961267711823</v>
      </c>
      <c r="I132" s="39">
        <v>0.9999988506142805</v>
      </c>
      <c r="J132" s="39">
        <v>0.9999973246795937</v>
      </c>
      <c r="K132" s="39">
        <v>0.9999974352425159</v>
      </c>
      <c r="L132" s="39">
        <v>0.9999985843276685</v>
      </c>
      <c r="M132" s="39">
        <v>0.9999971395553133</v>
      </c>
      <c r="N132" s="39">
        <v>0.9999994971493589</v>
      </c>
      <c r="O132" s="39">
        <v>0.9999985170771047</v>
      </c>
      <c r="P132" s="39">
        <v>0.9999998317760743</v>
      </c>
      <c r="Q132" s="39">
        <v>1.0000002566323816</v>
      </c>
      <c r="R132" s="39">
        <v>0.9999990976442366</v>
      </c>
      <c r="S132" s="40">
        <v>0.9999993416849469</v>
      </c>
    </row>
    <row r="133" spans="1:19" ht="12">
      <c r="A133" s="34"/>
      <c r="B133" s="4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7"/>
    </row>
    <row r="134" spans="1:19" ht="24">
      <c r="A134" s="34"/>
      <c r="B134" s="45" t="s">
        <v>113</v>
      </c>
      <c r="C134" s="46" t="s">
        <v>232</v>
      </c>
      <c r="D134" s="46"/>
      <c r="E134" s="46" t="s">
        <v>232</v>
      </c>
      <c r="F134" s="46" t="s">
        <v>232</v>
      </c>
      <c r="G134" s="46" t="s">
        <v>232</v>
      </c>
      <c r="H134" s="46" t="s">
        <v>232</v>
      </c>
      <c r="I134" s="46" t="s">
        <v>232</v>
      </c>
      <c r="J134" s="46" t="s">
        <v>232</v>
      </c>
      <c r="K134" s="46" t="s">
        <v>232</v>
      </c>
      <c r="L134" s="46" t="s">
        <v>232</v>
      </c>
      <c r="M134" s="46" t="s">
        <v>232</v>
      </c>
      <c r="N134" s="46" t="s">
        <v>232</v>
      </c>
      <c r="O134" s="46" t="s">
        <v>232</v>
      </c>
      <c r="P134" s="46" t="s">
        <v>232</v>
      </c>
      <c r="Q134" s="46" t="s">
        <v>232</v>
      </c>
      <c r="R134" s="46" t="s">
        <v>232</v>
      </c>
      <c r="S134" s="47" t="s">
        <v>232</v>
      </c>
    </row>
    <row r="135" spans="1:19" ht="12">
      <c r="A135" s="34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7"/>
    </row>
    <row r="136" spans="1:19" ht="24.75" thickBot="1">
      <c r="A136" s="48"/>
      <c r="B136" s="49" t="s">
        <v>233</v>
      </c>
      <c r="C136" s="50" t="s">
        <v>232</v>
      </c>
      <c r="D136" s="50"/>
      <c r="E136" s="50" t="s">
        <v>232</v>
      </c>
      <c r="F136" s="50" t="s">
        <v>232</v>
      </c>
      <c r="G136" s="50" t="s">
        <v>232</v>
      </c>
      <c r="H136" s="50" t="s">
        <v>232</v>
      </c>
      <c r="I136" s="50" t="s">
        <v>232</v>
      </c>
      <c r="J136" s="50" t="s">
        <v>232</v>
      </c>
      <c r="K136" s="50" t="s">
        <v>232</v>
      </c>
      <c r="L136" s="50" t="s">
        <v>232</v>
      </c>
      <c r="M136" s="50" t="s">
        <v>232</v>
      </c>
      <c r="N136" s="50" t="s">
        <v>232</v>
      </c>
      <c r="O136" s="50" t="s">
        <v>232</v>
      </c>
      <c r="P136" s="50" t="s">
        <v>232</v>
      </c>
      <c r="Q136" s="50" t="s">
        <v>232</v>
      </c>
      <c r="R136" s="50" t="s">
        <v>232</v>
      </c>
      <c r="S136" s="51" t="s">
        <v>232</v>
      </c>
    </row>
    <row r="137" ht="14.25">
      <c r="A137" s="17" t="s">
        <v>20</v>
      </c>
    </row>
    <row r="145" ht="12">
      <c r="B145" s="155"/>
    </row>
    <row r="146" ht="12">
      <c r="B146" s="25" t="s">
        <v>336</v>
      </c>
    </row>
    <row r="147" ht="12">
      <c r="B147" t="s">
        <v>337</v>
      </c>
    </row>
  </sheetData>
  <sheetProtection/>
  <printOptions/>
  <pageMargins left="1.21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1" sqref="C21"/>
    </sheetView>
  </sheetViews>
  <sheetFormatPr defaultColWidth="12" defaultRowHeight="10.5"/>
  <cols>
    <col min="1" max="1" width="42.66015625" style="0" customWidth="1"/>
    <col min="2" max="2" width="17.33203125" style="0" customWidth="1"/>
    <col min="3" max="3" width="27.83203125" style="0" customWidth="1"/>
    <col min="4" max="4" width="32" style="0" customWidth="1"/>
  </cols>
  <sheetData>
    <row r="1" spans="1:4" ht="15">
      <c r="A1" s="157" t="s">
        <v>234</v>
      </c>
      <c r="B1" s="157"/>
      <c r="C1" s="157"/>
      <c r="D1" s="157"/>
    </row>
    <row r="2" spans="1:4" ht="15">
      <c r="A2" s="2"/>
      <c r="B2" s="2"/>
      <c r="C2" s="2"/>
      <c r="D2" s="2"/>
    </row>
    <row r="3" spans="1:4" ht="15">
      <c r="A3" s="157" t="s">
        <v>235</v>
      </c>
      <c r="B3" s="157"/>
      <c r="C3" s="157"/>
      <c r="D3" s="157"/>
    </row>
    <row r="4" spans="1:4" ht="14.25">
      <c r="A4" s="3"/>
      <c r="B4" s="3"/>
      <c r="C4" s="3"/>
      <c r="D4" s="3"/>
    </row>
    <row r="5" spans="1:4" ht="15" thickBot="1">
      <c r="A5" s="3"/>
      <c r="B5" s="3"/>
      <c r="C5" s="3"/>
      <c r="D5" s="3"/>
    </row>
    <row r="6" spans="1:4" s="1" customFormat="1" ht="60">
      <c r="A6" s="4" t="s">
        <v>236</v>
      </c>
      <c r="B6" s="5" t="s">
        <v>237</v>
      </c>
      <c r="C6" s="5" t="s">
        <v>238</v>
      </c>
      <c r="D6" s="5" t="s">
        <v>239</v>
      </c>
    </row>
    <row r="7" spans="1:4" ht="14.25">
      <c r="A7" s="57"/>
      <c r="B7" s="8"/>
      <c r="C7" s="8"/>
      <c r="D7" s="8"/>
    </row>
    <row r="8" spans="1:4" ht="15">
      <c r="A8" s="59">
        <v>2009</v>
      </c>
      <c r="B8" s="58">
        <v>0.05</v>
      </c>
      <c r="C8" s="58">
        <v>0.04</v>
      </c>
      <c r="D8" s="58">
        <v>0.04</v>
      </c>
    </row>
    <row r="9" spans="1:4" ht="15">
      <c r="A9" s="59">
        <v>2010</v>
      </c>
      <c r="B9" s="58">
        <v>0.05</v>
      </c>
      <c r="C9" s="58">
        <v>0.035</v>
      </c>
      <c r="D9" s="58">
        <v>0.04</v>
      </c>
    </row>
    <row r="10" spans="1:4" ht="15">
      <c r="A10" s="59">
        <v>2011</v>
      </c>
      <c r="B10" s="58">
        <v>0.05</v>
      </c>
      <c r="C10" s="58">
        <v>0.03</v>
      </c>
      <c r="D10" s="58">
        <v>0.04</v>
      </c>
    </row>
    <row r="11" spans="1:4" ht="15">
      <c r="A11" s="59">
        <v>2012</v>
      </c>
      <c r="B11" s="58">
        <v>0.06</v>
      </c>
      <c r="C11" s="58">
        <v>0.0464</v>
      </c>
      <c r="D11" s="58">
        <v>0.04</v>
      </c>
    </row>
    <row r="12" ht="14.25">
      <c r="A12" s="17" t="s">
        <v>20</v>
      </c>
    </row>
    <row r="20" ht="10.5">
      <c r="A20" s="155"/>
    </row>
    <row r="21" ht="10.5">
      <c r="A21" s="25" t="s">
        <v>336</v>
      </c>
    </row>
    <row r="22" ht="10.5">
      <c r="A22" t="s">
        <v>337</v>
      </c>
    </row>
  </sheetData>
  <sheetProtection/>
  <mergeCells count="2">
    <mergeCell ref="A1:D1"/>
    <mergeCell ref="A3:D3"/>
  </mergeCells>
  <printOptions/>
  <pageMargins left="1.299212598425197" right="0.7086614173228347" top="1.9291338582677167" bottom="0.7480314960629921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5" sqref="C25"/>
    </sheetView>
  </sheetViews>
  <sheetFormatPr defaultColWidth="12" defaultRowHeight="10.5"/>
  <cols>
    <col min="1" max="1" width="49" style="0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19.83203125" style="0" customWidth="1"/>
  </cols>
  <sheetData>
    <row r="1" spans="1:6" ht="15">
      <c r="A1" s="157" t="s">
        <v>248</v>
      </c>
      <c r="B1" s="157"/>
      <c r="C1" s="157"/>
      <c r="D1" s="157"/>
      <c r="E1" s="157"/>
      <c r="F1" s="157"/>
    </row>
    <row r="2" spans="1:6" ht="15">
      <c r="A2" s="2"/>
      <c r="B2" s="2"/>
      <c r="C2" s="2"/>
      <c r="D2" s="2"/>
      <c r="E2" s="2"/>
      <c r="F2" s="2"/>
    </row>
    <row r="3" spans="1:6" ht="15">
      <c r="A3" s="157" t="s">
        <v>240</v>
      </c>
      <c r="B3" s="157"/>
      <c r="C3" s="157"/>
      <c r="D3" s="157"/>
      <c r="E3" s="157"/>
      <c r="F3" s="157"/>
    </row>
    <row r="4" spans="1:6" ht="14.25">
      <c r="A4" s="3"/>
      <c r="B4" s="3"/>
      <c r="C4" s="3"/>
      <c r="D4" s="3"/>
      <c r="E4" s="3"/>
      <c r="F4" s="3"/>
    </row>
    <row r="5" spans="1:6" ht="15" thickBot="1">
      <c r="A5" s="3"/>
      <c r="B5" s="3"/>
      <c r="C5" s="3"/>
      <c r="D5" s="3"/>
      <c r="E5" s="3"/>
      <c r="F5" s="3"/>
    </row>
    <row r="6" spans="1:6" s="1" customFormat="1" ht="15">
      <c r="A6" s="4" t="s">
        <v>2</v>
      </c>
      <c r="B6" s="5">
        <v>2012</v>
      </c>
      <c r="C6" s="5">
        <v>2013</v>
      </c>
      <c r="D6" s="5">
        <v>2014</v>
      </c>
      <c r="E6" s="5">
        <v>2015</v>
      </c>
      <c r="F6" s="5" t="s">
        <v>247</v>
      </c>
    </row>
    <row r="7" spans="1:6" ht="14.25">
      <c r="A7" s="7"/>
      <c r="B7" s="8"/>
      <c r="C7" s="8"/>
      <c r="D7" s="8"/>
      <c r="E7" s="8"/>
      <c r="F7" s="8"/>
    </row>
    <row r="8" spans="1:6" s="25" customFormat="1" ht="15.75">
      <c r="A8" s="64" t="s">
        <v>241</v>
      </c>
      <c r="B8" s="19"/>
      <c r="C8" s="19"/>
      <c r="D8" s="19"/>
      <c r="E8" s="19"/>
      <c r="F8" s="19"/>
    </row>
    <row r="9" spans="1:6" ht="14.25">
      <c r="A9" s="7" t="s">
        <v>242</v>
      </c>
      <c r="B9" s="11">
        <v>319111.52</v>
      </c>
      <c r="C9" s="11">
        <v>331875.9808</v>
      </c>
      <c r="D9" s="11">
        <v>345151.02003200003</v>
      </c>
      <c r="E9" s="11">
        <v>358957.06083328003</v>
      </c>
      <c r="F9" s="63">
        <f>SUM(B9:E9)</f>
        <v>1355095.58166528</v>
      </c>
    </row>
    <row r="10" spans="1:6" ht="14.25">
      <c r="A10" s="7" t="s">
        <v>243</v>
      </c>
      <c r="B10" s="11">
        <v>1891866.4048000001</v>
      </c>
      <c r="C10" s="11">
        <v>1967541.0609920002</v>
      </c>
      <c r="D10" s="11">
        <v>2046242.70343168</v>
      </c>
      <c r="E10" s="11">
        <v>2128092.4115689476</v>
      </c>
      <c r="F10" s="63">
        <f>SUM(B10:E10)</f>
        <v>8033742.580792628</v>
      </c>
    </row>
    <row r="11" spans="1:6" ht="14.25">
      <c r="A11" s="7" t="s">
        <v>244</v>
      </c>
      <c r="B11" s="11">
        <v>474296.55000000005</v>
      </c>
      <c r="C11" s="11">
        <v>498011.37750000006</v>
      </c>
      <c r="D11" s="11">
        <v>522911.94637500006</v>
      </c>
      <c r="E11" s="11">
        <v>549057.54369375</v>
      </c>
      <c r="F11" s="63">
        <f>SUM(B11:E11)</f>
        <v>2044277.4175687502</v>
      </c>
    </row>
    <row r="12" spans="1:6" ht="14.25">
      <c r="A12" s="7" t="s">
        <v>245</v>
      </c>
      <c r="B12" s="11">
        <v>782704</v>
      </c>
      <c r="C12" s="11">
        <v>814012.16</v>
      </c>
      <c r="D12" s="11">
        <v>846572.6464000001</v>
      </c>
      <c r="E12" s="11">
        <v>880435.5522560001</v>
      </c>
      <c r="F12" s="63">
        <f>SUM(B12:E12)</f>
        <v>3323724.3586560003</v>
      </c>
    </row>
    <row r="13" spans="1:6" ht="14.25">
      <c r="A13" s="7" t="s">
        <v>246</v>
      </c>
      <c r="B13" s="11">
        <v>42485.04</v>
      </c>
      <c r="C13" s="11">
        <v>44184.441600000006</v>
      </c>
      <c r="D13" s="11">
        <v>45951.819264000005</v>
      </c>
      <c r="E13" s="11">
        <v>47789.892034560005</v>
      </c>
      <c r="F13" s="63">
        <f>SUM(B13:E13)</f>
        <v>180411.19289856</v>
      </c>
    </row>
    <row r="14" spans="1:6" s="25" customFormat="1" ht="15.75" thickBot="1">
      <c r="A14" s="60" t="s">
        <v>247</v>
      </c>
      <c r="B14" s="61">
        <f>SUM(B8:B13)</f>
        <v>3510463.5148</v>
      </c>
      <c r="C14" s="61">
        <f>SUM(C8:C13)</f>
        <v>3655625.0208920003</v>
      </c>
      <c r="D14" s="61">
        <f>SUM(D8:D13)</f>
        <v>3806830.1355026797</v>
      </c>
      <c r="E14" s="61">
        <f>SUM(E8:E13)</f>
        <v>3964332.460386538</v>
      </c>
      <c r="F14" s="61">
        <f>SUM(F8:F13)</f>
        <v>14937251.131581219</v>
      </c>
    </row>
    <row r="15" ht="14.25">
      <c r="A15" s="17" t="s">
        <v>20</v>
      </c>
    </row>
    <row r="22" ht="10.5">
      <c r="A22" s="155"/>
    </row>
    <row r="23" ht="10.5">
      <c r="A23" s="25" t="s">
        <v>336</v>
      </c>
    </row>
    <row r="24" ht="10.5">
      <c r="A24" t="s">
        <v>337</v>
      </c>
    </row>
  </sheetData>
  <sheetProtection/>
  <mergeCells count="2">
    <mergeCell ref="A1:F1"/>
    <mergeCell ref="A3:F3"/>
  </mergeCells>
  <printOptions/>
  <pageMargins left="1.220472440944882" right="0.7086614173228347" top="1.9291338582677167" bottom="0.7480314960629921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12" defaultRowHeight="10.5"/>
  <cols>
    <col min="1" max="1" width="42.66015625" style="0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20.83203125" style="0" customWidth="1"/>
  </cols>
  <sheetData>
    <row r="1" spans="1:5" ht="15">
      <c r="A1" s="157" t="s">
        <v>249</v>
      </c>
      <c r="B1" s="157"/>
      <c r="C1" s="157"/>
      <c r="D1" s="157"/>
      <c r="E1" s="157"/>
    </row>
    <row r="2" spans="1:5" ht="15">
      <c r="A2" s="2"/>
      <c r="B2" s="2"/>
      <c r="C2" s="2"/>
      <c r="D2" s="2"/>
      <c r="E2" s="2"/>
    </row>
    <row r="3" spans="1:5" ht="15">
      <c r="A3" s="157" t="s">
        <v>250</v>
      </c>
      <c r="B3" s="157"/>
      <c r="C3" s="157"/>
      <c r="D3" s="157"/>
      <c r="E3" s="157"/>
    </row>
    <row r="4" spans="1:5" ht="14.25">
      <c r="A4" s="3"/>
      <c r="B4" s="3"/>
      <c r="C4" s="3"/>
      <c r="D4" s="3"/>
      <c r="E4" s="3"/>
    </row>
    <row r="5" spans="1:5" ht="15" thickBot="1">
      <c r="A5" s="3"/>
      <c r="B5" s="3"/>
      <c r="C5" s="3"/>
      <c r="D5" s="3"/>
      <c r="E5" s="3"/>
    </row>
    <row r="6" spans="1:6" s="1" customFormat="1" ht="15">
      <c r="A6" s="4" t="s">
        <v>2</v>
      </c>
      <c r="B6" s="5">
        <v>2012</v>
      </c>
      <c r="C6" s="5">
        <v>2013</v>
      </c>
      <c r="D6" s="5">
        <v>2014</v>
      </c>
      <c r="E6" s="5">
        <v>2015</v>
      </c>
      <c r="F6" s="6" t="s">
        <v>247</v>
      </c>
    </row>
    <row r="7" spans="1:6" ht="14.25">
      <c r="A7" s="7"/>
      <c r="B7" s="8"/>
      <c r="C7" s="8"/>
      <c r="D7" s="8"/>
      <c r="E7" s="8"/>
      <c r="F7" s="27"/>
    </row>
    <row r="8" spans="1:6" ht="15">
      <c r="A8" s="7" t="s">
        <v>6</v>
      </c>
      <c r="B8" s="11">
        <v>5578377.884800001</v>
      </c>
      <c r="C8" s="11">
        <v>5707262.720192001</v>
      </c>
      <c r="D8" s="11">
        <v>5877822.82899968</v>
      </c>
      <c r="E8" s="11">
        <v>6112935.742159668</v>
      </c>
      <c r="F8" s="66">
        <f>SUM(B8:E8)</f>
        <v>23276399.17615135</v>
      </c>
    </row>
    <row r="9" spans="1:6" ht="15">
      <c r="A9" s="7" t="s">
        <v>7</v>
      </c>
      <c r="B9" s="11">
        <v>578402.12</v>
      </c>
      <c r="C9" s="11">
        <v>601538.2048000001</v>
      </c>
      <c r="D9" s="11">
        <v>625599.732992</v>
      </c>
      <c r="E9" s="11">
        <v>650623.7223116801</v>
      </c>
      <c r="F9" s="66">
        <f>SUM(B9:E9)</f>
        <v>2456163.78010368</v>
      </c>
    </row>
    <row r="10" spans="1:6" ht="15.75" thickBot="1">
      <c r="A10" s="10" t="s">
        <v>8</v>
      </c>
      <c r="B10" s="12">
        <v>4999975.764800001</v>
      </c>
      <c r="C10" s="12">
        <v>5105724.515392001</v>
      </c>
      <c r="D10" s="12">
        <v>5252223.09600768</v>
      </c>
      <c r="E10" s="12">
        <v>5462312.019847988</v>
      </c>
      <c r="F10" s="67">
        <f>SUM(B10:E10)</f>
        <v>20820235.39604767</v>
      </c>
    </row>
    <row r="11" ht="14.25">
      <c r="A11" s="17" t="s">
        <v>20</v>
      </c>
    </row>
    <row r="20" ht="10.5">
      <c r="A20" s="155"/>
    </row>
    <row r="21" ht="10.5">
      <c r="A21" s="25" t="s">
        <v>336</v>
      </c>
    </row>
    <row r="22" ht="10.5">
      <c r="A22" t="s">
        <v>337</v>
      </c>
    </row>
  </sheetData>
  <sheetProtection/>
  <mergeCells count="2">
    <mergeCell ref="A1:E1"/>
    <mergeCell ref="A3:E3"/>
  </mergeCells>
  <printOptions/>
  <pageMargins left="1.141732283464567" right="0.7086614173228347" top="1.9291338582677167" bottom="0.7480314960629921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0" sqref="A20:A22"/>
    </sheetView>
  </sheetViews>
  <sheetFormatPr defaultColWidth="12" defaultRowHeight="10.5"/>
  <cols>
    <col min="1" max="1" width="42.66015625" style="24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20.83203125" style="0" customWidth="1"/>
    <col min="7" max="7" width="17.16015625" style="0" customWidth="1"/>
  </cols>
  <sheetData>
    <row r="1" spans="1:5" ht="15">
      <c r="A1" s="157" t="s">
        <v>251</v>
      </c>
      <c r="B1" s="157"/>
      <c r="C1" s="157"/>
      <c r="D1" s="157"/>
      <c r="E1" s="157"/>
    </row>
    <row r="2" spans="1:5" ht="15">
      <c r="A2" s="68"/>
      <c r="B2" s="2"/>
      <c r="C2" s="2"/>
      <c r="D2" s="2"/>
      <c r="E2" s="2"/>
    </row>
    <row r="3" spans="1:5" ht="15">
      <c r="A3" s="157" t="s">
        <v>252</v>
      </c>
      <c r="B3" s="157"/>
      <c r="C3" s="157"/>
      <c r="D3" s="157"/>
      <c r="E3" s="157"/>
    </row>
    <row r="4" spans="1:5" ht="14.25">
      <c r="A4" s="69"/>
      <c r="B4" s="3"/>
      <c r="C4" s="3"/>
      <c r="D4" s="3"/>
      <c r="E4" s="3"/>
    </row>
    <row r="5" spans="1:5" ht="15" thickBot="1">
      <c r="A5" s="69"/>
      <c r="B5" s="3"/>
      <c r="C5" s="3"/>
      <c r="D5" s="3"/>
      <c r="E5" s="3"/>
    </row>
    <row r="6" spans="1:7" s="73" customFormat="1" ht="15">
      <c r="A6" s="4" t="s">
        <v>2</v>
      </c>
      <c r="B6" s="5">
        <v>2012</v>
      </c>
      <c r="C6" s="5">
        <v>2013</v>
      </c>
      <c r="D6" s="5">
        <v>2014</v>
      </c>
      <c r="E6" s="5">
        <v>2015</v>
      </c>
      <c r="F6" s="5" t="s">
        <v>247</v>
      </c>
      <c r="G6" s="6" t="s">
        <v>257</v>
      </c>
    </row>
    <row r="7" spans="1:7" s="65" customFormat="1" ht="14.25">
      <c r="A7" s="70"/>
      <c r="B7" s="8"/>
      <c r="C7" s="8"/>
      <c r="D7" s="8"/>
      <c r="E7" s="8"/>
      <c r="F7" s="26"/>
      <c r="G7" s="27"/>
    </row>
    <row r="8" spans="1:7" s="65" customFormat="1" ht="15">
      <c r="A8" s="70" t="s">
        <v>253</v>
      </c>
      <c r="B8" s="23">
        <f>578402.12+9591</f>
        <v>587993.12</v>
      </c>
      <c r="C8" s="23">
        <v>611513</v>
      </c>
      <c r="D8" s="23">
        <v>635973</v>
      </c>
      <c r="E8" s="23">
        <v>661412</v>
      </c>
      <c r="F8" s="74">
        <f>SUM(B8:E8)</f>
        <v>2496891.12</v>
      </c>
      <c r="G8" s="21">
        <f>F8/F12*100%</f>
        <v>0.10461074715747014</v>
      </c>
    </row>
    <row r="9" spans="1:7" s="65" customFormat="1" ht="29.25">
      <c r="A9" s="70" t="s">
        <v>254</v>
      </c>
      <c r="B9" s="23">
        <v>4502742.3248000005</v>
      </c>
      <c r="C9" s="23">
        <v>4682851.737792</v>
      </c>
      <c r="D9" s="23">
        <v>4870165.80730368</v>
      </c>
      <c r="E9" s="23">
        <v>5064972.439595828</v>
      </c>
      <c r="F9" s="74">
        <f>SUM(B9:E9)</f>
        <v>19120732.309491508</v>
      </c>
      <c r="G9" s="21">
        <f>F9/F12*100%</f>
        <v>0.8010898341029328</v>
      </c>
    </row>
    <row r="10" spans="1:7" s="65" customFormat="1" ht="15">
      <c r="A10" s="70" t="s">
        <v>255</v>
      </c>
      <c r="B10" s="72">
        <v>112191.04000000001</v>
      </c>
      <c r="C10" s="72">
        <v>116678.68160000001</v>
      </c>
      <c r="D10" s="72">
        <v>121345.82886400001</v>
      </c>
      <c r="E10" s="72">
        <v>126199.66201856002</v>
      </c>
      <c r="F10" s="74">
        <f>SUM(B10:E10)</f>
        <v>476415.2124825601</v>
      </c>
      <c r="G10" s="21">
        <f>F10/F12*100%</f>
        <v>0.019960081933803143</v>
      </c>
    </row>
    <row r="11" spans="1:7" s="65" customFormat="1" ht="29.25">
      <c r="A11" s="70" t="s">
        <v>270</v>
      </c>
      <c r="B11" s="72">
        <v>1496248</v>
      </c>
      <c r="C11" s="72">
        <v>278113</v>
      </c>
      <c r="D11" s="72"/>
      <c r="E11" s="72"/>
      <c r="F11" s="74">
        <f>SUM(B11:E11)</f>
        <v>1774361</v>
      </c>
      <c r="G11" s="21">
        <f>F11/F12*100%</f>
        <v>0.07433933680579387</v>
      </c>
    </row>
    <row r="12" spans="1:7" s="65" customFormat="1" ht="15.75" thickBot="1">
      <c r="A12" s="71" t="s">
        <v>256</v>
      </c>
      <c r="B12" s="61">
        <f>SUM(B8:B11)</f>
        <v>6699174.484800001</v>
      </c>
      <c r="C12" s="61">
        <f>SUM(C8:C11)</f>
        <v>5689156.419392</v>
      </c>
      <c r="D12" s="61">
        <f>SUM(D8:D11)</f>
        <v>5627484.63616768</v>
      </c>
      <c r="E12" s="61">
        <f>SUM(E8:E11)</f>
        <v>5852584.101614388</v>
      </c>
      <c r="F12" s="75">
        <f>SUM(B12:E12)</f>
        <v>23868399.64197407</v>
      </c>
      <c r="G12" s="62">
        <f>SUM(G8:G11)</f>
        <v>0.9999999999999999</v>
      </c>
    </row>
    <row r="13" spans="1:2" ht="14.25">
      <c r="A13" s="76" t="s">
        <v>20</v>
      </c>
      <c r="B13" s="77"/>
    </row>
    <row r="17" spans="2:5" ht="10.5">
      <c r="B17" s="84"/>
      <c r="C17" s="83"/>
      <c r="D17" s="83"/>
      <c r="E17" s="83"/>
    </row>
    <row r="20" ht="10.5">
      <c r="A20" s="155"/>
    </row>
    <row r="21" ht="10.5">
      <c r="A21" s="25" t="s">
        <v>336</v>
      </c>
    </row>
    <row r="22" ht="10.5">
      <c r="A22" t="s">
        <v>337</v>
      </c>
    </row>
  </sheetData>
  <sheetProtection/>
  <mergeCells count="2">
    <mergeCell ref="A1:E1"/>
    <mergeCell ref="A3:E3"/>
  </mergeCells>
  <printOptions/>
  <pageMargins left="0.9055118110236221" right="0.7086614173228347" top="1.9291338582677167" bottom="0.7480314960629921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:A22"/>
    </sheetView>
  </sheetViews>
  <sheetFormatPr defaultColWidth="12" defaultRowHeight="10.5"/>
  <cols>
    <col min="1" max="1" width="46.5" style="0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20.83203125" style="0" customWidth="1"/>
  </cols>
  <sheetData>
    <row r="1" spans="1:5" ht="15">
      <c r="A1" s="157" t="s">
        <v>258</v>
      </c>
      <c r="B1" s="157"/>
      <c r="C1" s="157"/>
      <c r="D1" s="157"/>
      <c r="E1" s="157"/>
    </row>
    <row r="2" spans="1:5" ht="15">
      <c r="A2" s="2"/>
      <c r="B2" s="2"/>
      <c r="C2" s="2"/>
      <c r="D2" s="2"/>
      <c r="E2" s="2"/>
    </row>
    <row r="3" spans="1:5" ht="15">
      <c r="A3" s="157" t="s">
        <v>259</v>
      </c>
      <c r="B3" s="157"/>
      <c r="C3" s="157"/>
      <c r="D3" s="157"/>
      <c r="E3" s="157"/>
    </row>
    <row r="4" spans="1:5" ht="14.25">
      <c r="A4" s="3"/>
      <c r="B4" s="3"/>
      <c r="C4" s="3"/>
      <c r="D4" s="3"/>
      <c r="E4" s="3"/>
    </row>
    <row r="5" spans="1:5" ht="15" thickBot="1">
      <c r="A5" s="3"/>
      <c r="B5" s="3"/>
      <c r="C5" s="3"/>
      <c r="D5" s="3"/>
      <c r="E5" s="3"/>
    </row>
    <row r="6" spans="1:6" s="1" customFormat="1" ht="15">
      <c r="A6" s="4" t="s">
        <v>2</v>
      </c>
      <c r="B6" s="5">
        <v>2012</v>
      </c>
      <c r="C6" s="5">
        <v>2013</v>
      </c>
      <c r="D6" s="5">
        <v>2014</v>
      </c>
      <c r="E6" s="5">
        <v>2015</v>
      </c>
      <c r="F6" s="6" t="s">
        <v>247</v>
      </c>
    </row>
    <row r="7" spans="1:6" s="1" customFormat="1" ht="15">
      <c r="A7" s="78"/>
      <c r="B7" s="79"/>
      <c r="C7" s="79"/>
      <c r="D7" s="79"/>
      <c r="E7" s="79"/>
      <c r="F7" s="80"/>
    </row>
    <row r="8" spans="1:6" ht="15">
      <c r="A8" s="7" t="s">
        <v>36</v>
      </c>
      <c r="B8" s="11">
        <v>665414.3999999999</v>
      </c>
      <c r="C8" s="11">
        <v>698685.1200000001</v>
      </c>
      <c r="D8" s="11">
        <v>733619.3760000002</v>
      </c>
      <c r="E8" s="11">
        <v>770300.3448000002</v>
      </c>
      <c r="F8" s="66">
        <f>SUM(B8:E8)</f>
        <v>2868019.2408000003</v>
      </c>
    </row>
    <row r="9" spans="1:6" ht="15">
      <c r="A9" s="7" t="s">
        <v>18</v>
      </c>
      <c r="B9" s="11">
        <v>236000</v>
      </c>
      <c r="C9" s="11">
        <v>247800</v>
      </c>
      <c r="D9" s="11">
        <v>260190</v>
      </c>
      <c r="E9" s="11">
        <v>273199.5</v>
      </c>
      <c r="F9" s="66">
        <f>SUM(B9:E9)</f>
        <v>1017189.5</v>
      </c>
    </row>
    <row r="10" spans="1:6" ht="15">
      <c r="A10" s="7" t="s">
        <v>19</v>
      </c>
      <c r="B10" s="11">
        <v>4729541.0172500005</v>
      </c>
      <c r="C10" s="11">
        <v>4815457.568112501</v>
      </c>
      <c r="D10" s="11">
        <v>4940881.019518126</v>
      </c>
      <c r="E10" s="11">
        <v>5128578.143294033</v>
      </c>
      <c r="F10" s="66">
        <f>SUM(B10:E10)</f>
        <v>19614457.74817466</v>
      </c>
    </row>
    <row r="11" spans="1:6" ht="29.25">
      <c r="A11" s="70" t="s">
        <v>270</v>
      </c>
      <c r="B11" s="72">
        <v>1496248</v>
      </c>
      <c r="C11" s="72">
        <v>278113</v>
      </c>
      <c r="D11" s="11">
        <v>0</v>
      </c>
      <c r="E11" s="11">
        <v>0</v>
      </c>
      <c r="F11" s="66">
        <f>SUM(B11:E11)</f>
        <v>1774361</v>
      </c>
    </row>
    <row r="12" spans="1:6" s="25" customFormat="1" ht="15.75" thickBot="1">
      <c r="A12" s="60" t="s">
        <v>13</v>
      </c>
      <c r="B12" s="61">
        <f>SUM(B8:B11)</f>
        <v>7127203.41725</v>
      </c>
      <c r="C12" s="61">
        <f>SUM(C8:C11)</f>
        <v>6040055.688112501</v>
      </c>
      <c r="D12" s="61">
        <f>SUM(D8:D11)</f>
        <v>5934690.395518126</v>
      </c>
      <c r="E12" s="61">
        <f>SUM(E8:E11)</f>
        <v>6172077.988094033</v>
      </c>
      <c r="F12" s="67">
        <f>SUM(F8:F11)</f>
        <v>25274027.48897466</v>
      </c>
    </row>
    <row r="13" ht="14.25">
      <c r="A13" s="81" t="s">
        <v>20</v>
      </c>
    </row>
    <row r="20" ht="10.5">
      <c r="A20" s="155"/>
    </row>
    <row r="21" ht="10.5">
      <c r="A21" s="25" t="s">
        <v>336</v>
      </c>
    </row>
    <row r="22" ht="10.5">
      <c r="A22" t="s">
        <v>337</v>
      </c>
    </row>
  </sheetData>
  <sheetProtection/>
  <mergeCells count="2">
    <mergeCell ref="A1:E1"/>
    <mergeCell ref="A3:E3"/>
  </mergeCells>
  <printOptions/>
  <pageMargins left="1.1811023622047245" right="0.7086614173228347" top="1.9291338582677167" bottom="0.7480314960629921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2" sqref="A22:A24"/>
    </sheetView>
  </sheetViews>
  <sheetFormatPr defaultColWidth="12" defaultRowHeight="10.5"/>
  <cols>
    <col min="1" max="1" width="47.33203125" style="0" customWidth="1"/>
    <col min="2" max="2" width="17.33203125" style="0" customWidth="1"/>
    <col min="3" max="3" width="16.5" style="0" customWidth="1"/>
    <col min="4" max="4" width="16.33203125" style="0" customWidth="1"/>
    <col min="5" max="5" width="15.83203125" style="0" customWidth="1"/>
    <col min="6" max="6" width="20.83203125" style="0" customWidth="1"/>
  </cols>
  <sheetData>
    <row r="1" spans="1:5" ht="15">
      <c r="A1" s="157" t="s">
        <v>260</v>
      </c>
      <c r="B1" s="157"/>
      <c r="C1" s="157"/>
      <c r="D1" s="157"/>
      <c r="E1" s="157"/>
    </row>
    <row r="2" spans="1:5" ht="15">
      <c r="A2" s="2"/>
      <c r="B2" s="2"/>
      <c r="C2" s="2"/>
      <c r="D2" s="2"/>
      <c r="E2" s="2"/>
    </row>
    <row r="3" spans="1:6" ht="15">
      <c r="A3" s="157" t="s">
        <v>266</v>
      </c>
      <c r="B3" s="157"/>
      <c r="C3" s="157"/>
      <c r="D3" s="157"/>
      <c r="E3" s="157"/>
      <c r="F3" s="157"/>
    </row>
    <row r="4" spans="1:5" ht="14.25">
      <c r="A4" s="3"/>
      <c r="B4" s="3"/>
      <c r="C4" s="3"/>
      <c r="D4" s="3"/>
      <c r="E4" s="3"/>
    </row>
    <row r="5" spans="1:5" ht="15" thickBot="1">
      <c r="A5" s="3"/>
      <c r="B5" s="3"/>
      <c r="C5" s="3"/>
      <c r="D5" s="3"/>
      <c r="E5" s="3"/>
    </row>
    <row r="6" spans="1:6" s="1" customFormat="1" ht="15">
      <c r="A6" s="4" t="s">
        <v>2</v>
      </c>
      <c r="B6" s="5">
        <v>2012</v>
      </c>
      <c r="C6" s="5">
        <v>2013</v>
      </c>
      <c r="D6" s="5">
        <v>2014</v>
      </c>
      <c r="E6" s="5">
        <v>2015</v>
      </c>
      <c r="F6" s="6" t="s">
        <v>247</v>
      </c>
    </row>
    <row r="7" spans="1:6" s="1" customFormat="1" ht="15">
      <c r="A7" s="78"/>
      <c r="B7" s="79"/>
      <c r="C7" s="79"/>
      <c r="D7" s="79"/>
      <c r="E7" s="79"/>
      <c r="F7" s="80"/>
    </row>
    <row r="8" spans="1:6" s="25" customFormat="1" ht="15">
      <c r="A8" s="18" t="s">
        <v>261</v>
      </c>
      <c r="B8" s="86">
        <v>6618634.503168001</v>
      </c>
      <c r="C8" s="86">
        <v>5957129.603294721</v>
      </c>
      <c r="D8" s="86">
        <v>6137684.387426509</v>
      </c>
      <c r="E8" s="86">
        <v>6383191.76292357</v>
      </c>
      <c r="F8" s="87">
        <f>SUM(B8:E8)</f>
        <v>25096640.256812796</v>
      </c>
    </row>
    <row r="9" spans="1:6" ht="15">
      <c r="A9" s="7" t="s">
        <v>262</v>
      </c>
      <c r="B9" s="72">
        <v>665414.3999999999</v>
      </c>
      <c r="C9" s="72">
        <v>698685.1200000001</v>
      </c>
      <c r="D9" s="72">
        <v>733619.3760000002</v>
      </c>
      <c r="E9" s="72">
        <v>770300.3448000002</v>
      </c>
      <c r="F9" s="87">
        <f>SUM(B9:E9)</f>
        <v>2868019.2408000003</v>
      </c>
    </row>
    <row r="10" spans="1:6" ht="15">
      <c r="A10" s="7" t="s">
        <v>263</v>
      </c>
      <c r="B10" s="72">
        <v>236000</v>
      </c>
      <c r="C10" s="72">
        <v>247800</v>
      </c>
      <c r="D10" s="72">
        <v>260190</v>
      </c>
      <c r="E10" s="72">
        <v>273199.5</v>
      </c>
      <c r="F10" s="87">
        <f>SUM(B10:E10)</f>
        <v>1017189.5</v>
      </c>
    </row>
    <row r="11" spans="1:6" ht="15">
      <c r="A11" s="7" t="s">
        <v>264</v>
      </c>
      <c r="B11" s="72">
        <f>4729541.01725-1496248</f>
        <v>3233293.0172499996</v>
      </c>
      <c r="C11" s="72">
        <v>4815457.568112501</v>
      </c>
      <c r="D11" s="72">
        <v>4940881.019518126</v>
      </c>
      <c r="E11" s="72">
        <v>5128578.143294033</v>
      </c>
      <c r="F11" s="87">
        <f>SUM(B11:E11)</f>
        <v>18118209.74817466</v>
      </c>
    </row>
    <row r="12" spans="1:6" ht="29.25">
      <c r="A12" s="70" t="s">
        <v>270</v>
      </c>
      <c r="B12" s="72">
        <v>1496248</v>
      </c>
      <c r="C12" s="72">
        <v>278113</v>
      </c>
      <c r="D12" s="72">
        <v>0</v>
      </c>
      <c r="E12" s="72">
        <v>0</v>
      </c>
      <c r="F12" s="87">
        <f>SUM(B12:E12)</f>
        <v>1774361</v>
      </c>
    </row>
    <row r="13" spans="1:6" s="25" customFormat="1" ht="15">
      <c r="A13" s="18" t="s">
        <v>13</v>
      </c>
      <c r="B13" s="86">
        <v>6618635</v>
      </c>
      <c r="C13" s="86">
        <v>5957129.888112501</v>
      </c>
      <c r="D13" s="86">
        <v>6137684</v>
      </c>
      <c r="E13" s="86">
        <v>6383192</v>
      </c>
      <c r="F13" s="86">
        <v>25096640</v>
      </c>
    </row>
    <row r="14" spans="1:6" s="25" customFormat="1" ht="15.75" thickBot="1">
      <c r="A14" s="82" t="s">
        <v>265</v>
      </c>
      <c r="B14" s="61">
        <f>B8-B13</f>
        <v>-0.49683199916034937</v>
      </c>
      <c r="C14" s="61">
        <f>C8-C13</f>
        <v>-0.28481778036803007</v>
      </c>
      <c r="D14" s="61">
        <f>D8-D13</f>
        <v>0.38742650859057903</v>
      </c>
      <c r="E14" s="61">
        <f>E8-E13</f>
        <v>-0.2370764296501875</v>
      </c>
      <c r="F14" s="61">
        <f>F8-F13</f>
        <v>0.25681279599666595</v>
      </c>
    </row>
    <row r="15" ht="14.25">
      <c r="A15" s="81" t="s">
        <v>20</v>
      </c>
    </row>
    <row r="18" ht="10.5">
      <c r="C18" s="85"/>
    </row>
    <row r="22" ht="10.5">
      <c r="A22" s="155"/>
    </row>
    <row r="23" ht="10.5">
      <c r="A23" s="25" t="s">
        <v>336</v>
      </c>
    </row>
    <row r="24" ht="10.5">
      <c r="A24" t="s">
        <v>337</v>
      </c>
    </row>
  </sheetData>
  <sheetProtection/>
  <mergeCells count="2">
    <mergeCell ref="A1:E1"/>
    <mergeCell ref="A3:F3"/>
  </mergeCells>
  <printOptions/>
  <pageMargins left="1.299212598425197" right="0.7086614173228347" top="1.9291338582677167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Mayra Leguizamon</cp:lastModifiedBy>
  <cp:lastPrinted>2012-05-26T19:07:45Z</cp:lastPrinted>
  <dcterms:created xsi:type="dcterms:W3CDTF">2012-04-21T16:20:48Z</dcterms:created>
  <dcterms:modified xsi:type="dcterms:W3CDTF">2013-11-08T19:50:44Z</dcterms:modified>
  <cp:category/>
  <cp:version/>
  <cp:contentType/>
  <cp:contentStatus/>
</cp:coreProperties>
</file>