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2015" windowHeight="3765" tabRatio="745" activeTab="0"/>
  </bookViews>
  <sheets>
    <sheet name="EDUCACIÓN" sheetId="1" r:id="rId1"/>
    <sheet name="SALUD" sheetId="2" r:id="rId2"/>
    <sheet name="AGUA POT Y SAN BASICO" sheetId="3" r:id="rId3"/>
    <sheet name="DEPORTE Y AP. DEL T. LIB." sheetId="4" r:id="rId4"/>
    <sheet name="CULTURA" sheetId="5" r:id="rId5"/>
    <sheet name="OTROS SERV. PUB. DIF. A.A.A." sheetId="6" r:id="rId6"/>
    <sheet name="VIVIENDA" sheetId="7" r:id="rId7"/>
    <sheet name="AGRO " sheetId="8" r:id="rId8"/>
    <sheet name="TRANSPORTE" sheetId="9" r:id="rId9"/>
    <sheet name="AMBIENTAL" sheetId="10" r:id="rId10"/>
    <sheet name="PREV Y ATENC. DE DESASTRES" sheetId="11" r:id="rId11"/>
    <sheet name="PROMOCION DEL DESARROLLO" sheetId="12" r:id="rId12"/>
    <sheet name="POBLACION VULNERABLE" sheetId="13" r:id="rId13"/>
    <sheet name="EQUIP. MUNICIPAL" sheetId="14" r:id="rId14"/>
    <sheet name="FORT. INSTIT." sheetId="15" r:id="rId15"/>
    <sheet name="JUSTICIA" sheetId="16" r:id="rId16"/>
    <sheet name="PROYECCIONES" sheetId="17" r:id="rId17"/>
  </sheets>
  <externalReferences>
    <externalReference r:id="rId20"/>
  </externalReferences>
  <definedNames>
    <definedName name="_Toc322418100" localSheetId="13">'EQUIP. MUNICIPAL'!$C$1</definedName>
    <definedName name="_xlnm.Print_Area" localSheetId="15">'JUSTICIA'!$A$1:$H$5</definedName>
    <definedName name="_xlnm.Print_Titles" localSheetId="7">'AGRO '!$4:$5</definedName>
    <definedName name="_xlnm.Print_Titles" localSheetId="2">'AGUA POT Y SAN BASICO'!$4:$5</definedName>
    <definedName name="_xlnm.Print_Titles" localSheetId="4">'CULTURA'!$5:$5</definedName>
    <definedName name="_xlnm.Print_Titles" localSheetId="14">'FORT. INSTIT.'!$4:$5</definedName>
    <definedName name="_xlnm.Print_Titles" localSheetId="15">'JUSTICIA'!$4:$5</definedName>
  </definedNames>
  <calcPr fullCalcOnLoad="1"/>
</workbook>
</file>

<file path=xl/comments17.xml><?xml version="1.0" encoding="utf-8"?>
<comments xmlns="http://schemas.openxmlformats.org/spreadsheetml/2006/main">
  <authors>
    <author>Mi PC</author>
  </authors>
  <commentList>
    <comment ref="B31" authorId="0">
      <text>
        <r>
          <rPr>
            <sz val="8"/>
            <rFont val="Tahoma"/>
            <family val="2"/>
          </rPr>
          <t xml:space="preserve">Fuentes que no se proyectan: 2.2.2, 2.3 y 2.4 
</t>
        </r>
      </text>
    </comment>
  </commentList>
</comments>
</file>

<file path=xl/sharedStrings.xml><?xml version="1.0" encoding="utf-8"?>
<sst xmlns="http://schemas.openxmlformats.org/spreadsheetml/2006/main" count="1277" uniqueCount="638">
  <si>
    <t>PROGRAMA</t>
  </si>
  <si>
    <t>CRÉDITO</t>
  </si>
  <si>
    <t>SUBPROGRAMA</t>
  </si>
  <si>
    <t>GESTIÓN DEL RIESGO</t>
  </si>
  <si>
    <t>ALIMENTACIÓN ESCOLAR</t>
  </si>
  <si>
    <t>OTROS SERVICIOS PÚBLICOS DIFERENTES A ACEDUCTO Y ALCANTARILLADO</t>
  </si>
  <si>
    <t>Continuidad cobertura régimen subsidiado</t>
  </si>
  <si>
    <t>Ampliación cobertura régimen subsidiado</t>
  </si>
  <si>
    <t>GAS NATURAL</t>
  </si>
  <si>
    <t>GAS NATURAL PARA EL MUNICIPIO</t>
  </si>
  <si>
    <t>PROYECTO</t>
  </si>
  <si>
    <t>MEDIO AMBIENTE Y RECURSOS NATURALES</t>
  </si>
  <si>
    <t>Fortalecimiento institucional al Comité Local para la Atención y Prevención de Desastres (CLOPAD)</t>
  </si>
  <si>
    <t>PATRIMONIO CULTURAL</t>
  </si>
  <si>
    <t>Gestión para la formulación e implementación de planes y proyectos para la protección y conservación de los recursos naturales.</t>
  </si>
  <si>
    <t>Fortalecimiento y seguimietno al fondo cuenta municipal de convivencia y seguridad Ciudadana (FONSET).</t>
  </si>
  <si>
    <t>ACCESO A LA JUSTICIA Y APOYO INSTITUCIONAL</t>
  </si>
  <si>
    <t>PROTECCIÓN DE LA VIDA, LIBERTAD, INTEGRIDAD Y SEGURIDAD PERSONAL</t>
  </si>
  <si>
    <t>Fortalecimiento al consejo municipal de política económica, social, DDHH DIH (Articulación nación-territorio).</t>
  </si>
  <si>
    <t>FORTALECIMIENTO INSTITUCIONAL (DIVISIÓN POLÍTICO ADMINISTRATIVO)</t>
  </si>
  <si>
    <t>INFORMACIÓN CON CALIDAD Y OPTIMIZACIÓN EN LOS PROCEDIMIENTOS ADMINISTRATIVOS</t>
  </si>
  <si>
    <t>Actualización del archivo municipal</t>
  </si>
  <si>
    <t>INFRAESTRUCTURA VIAL Y TRANSPORTE</t>
  </si>
  <si>
    <t>MEJORAMIENTO DE ESCENARIOS DEPORTIVOS URBANOS Y RURALES</t>
  </si>
  <si>
    <t>FORMACIÓN DEPORTIVA Y APROVECHAMIENTO DEL TIEMPO LIBRE</t>
  </si>
  <si>
    <t>PRODUCCIÓN Y COMERCIALIZACIÓN AGROPECUARIA</t>
  </si>
  <si>
    <t>Apoyo y fortalecimiento a programas de oportunidades rurales y alianzas productivas</t>
  </si>
  <si>
    <t>Apoyo logístico al programa presidencial "Familias en Acción"</t>
  </si>
  <si>
    <t xml:space="preserve">Apoyo y provisión de la canasta educativa - kit escolares </t>
  </si>
  <si>
    <t xml:space="preserve">LEGALIZACION DE PREDIOS </t>
  </si>
  <si>
    <t>Apoyo y fortalecimiento a las personas con alguna clase de discapacidad</t>
  </si>
  <si>
    <t xml:space="preserve">Apoyo y gestión para la disminución de la violencia intrafamiliar  </t>
  </si>
  <si>
    <t>Actualización, reparación, mantenimiento y compra de harware y software para las diferentes dependencias de la alcaldía</t>
  </si>
  <si>
    <t>FORTALECIMIENTO A LAS INSTITUCIONES</t>
  </si>
  <si>
    <t>Apoyo institucional a hogares infantiles y comunitarios</t>
  </si>
  <si>
    <t>DIMENSION</t>
  </si>
  <si>
    <t>LA VICTORIA MEJORA SU GESTION DEL RIESGO</t>
  </si>
  <si>
    <t>INDICADOR</t>
  </si>
  <si>
    <t>CONOSIMIENTO DEL RIESGO</t>
  </si>
  <si>
    <t>META</t>
  </si>
  <si>
    <t>S.G.P.</t>
  </si>
  <si>
    <t>REG.</t>
  </si>
  <si>
    <t>I.C.L.D.</t>
  </si>
  <si>
    <t>COFINAN</t>
  </si>
  <si>
    <t>TOTAL</t>
  </si>
  <si>
    <t xml:space="preserve">  CUATRENIO</t>
  </si>
  <si>
    <t>AMBINETE NATURAL</t>
  </si>
  <si>
    <t>COMPONE</t>
  </si>
  <si>
    <t>AMBIENTE NATURAL</t>
  </si>
  <si>
    <t>CULTURA  Y EDUCAICON AMBIENTAL</t>
  </si>
  <si>
    <t>CONSERVACION Y PROTECCION DE LA ZONA DE RESERVA FORESTAL E HIDRICA DEL MUNICIPIO</t>
  </si>
  <si>
    <t>AMBIENTE CONSTRUIDO</t>
  </si>
  <si>
    <t>LA VICTORIA MEJORA SU CONECTIVIDAD VIAL</t>
  </si>
  <si>
    <t>Construcción de obras de arte en vías terciarias</t>
  </si>
  <si>
    <t xml:space="preserve">INFRAESTRUCTURAS PÚBLICAS EQUIPAMIENTOS SOCIALES E INSTITUCIONALES </t>
  </si>
  <si>
    <t xml:space="preserve">MEJOR INFRAESTRUCTURA PÚBLICA PARA LA VICTORIA  </t>
  </si>
  <si>
    <t>SOCIO - CULTURAL</t>
  </si>
  <si>
    <t>Implementación del plan maestro de acueducto del municipio.</t>
  </si>
  <si>
    <t>Mantenimiento del sistema de acueducto municipal.</t>
  </si>
  <si>
    <t xml:space="preserve">Mantenimiento de acueductos veredales </t>
  </si>
  <si>
    <t>Gestión para la implementación del plan de saneamiento y manejo de vertimientos.</t>
  </si>
  <si>
    <t>Mantenimiento del alcantarillado sanitario y pluvial del área urbana.</t>
  </si>
  <si>
    <t>Construcción de unidades básicas sanitarias</t>
  </si>
  <si>
    <t>Implementación del plan de gestión integral de residuos sólidos</t>
  </si>
  <si>
    <t>Optimización de los procesos de potabilización del agua en el casco urbano del municipio.</t>
  </si>
  <si>
    <t>Dotación del laboratorio de calidad para la planta de tratamiento de agua potable del municipio</t>
  </si>
  <si>
    <t xml:space="preserve">Construcción del sistema de tratamiento de aguas residuales en el casco urbano. </t>
  </si>
  <si>
    <t>Subsidios – Fondo de Solidaridad y Retribución del Ingreso</t>
  </si>
  <si>
    <t>MEJOR LA COBERTURA, CALIDAD Y CONTINUIDAD DE LOS SERVICIOS DE PÚBLICOS, PARA LOS VICTORIANOS</t>
  </si>
  <si>
    <t>MEJORAR LA COBERTURA Y CONTINUIDAD DE ENERGÍA PARA LOS VICTORIANOS</t>
  </si>
  <si>
    <t>PROMOCIÓN DE VIVIENDA DE INTERÉS SOCIAL</t>
  </si>
  <si>
    <t>UNA VIVIENDA DIGNA PARA EL VICTORIANO.</t>
  </si>
  <si>
    <t>PROMOCIÓN DE PROGRAMAS Y PROYECTOS DE VIVIENDA DE INTERÉS SOCIAL.</t>
  </si>
  <si>
    <t>PRESTACIÓN Y GARANTÍA DE SERVICIOS EDUCACIÓN Y APROPIACIÓN DE LA CIENCIA, LA TECNOLOGÍA Y LA INNOVACIÓN</t>
  </si>
  <si>
    <t>LA VICTORIA MEJORA SU CALIDAD EDUCATIVA</t>
  </si>
  <si>
    <t>DEPORTE FORMATIVO Y MEJOR TIEMPO LIBRE DE LOS VICTORIANOS</t>
  </si>
  <si>
    <t>PRESTACIÓN Y GARANTÍA DE SERVICIOS DE DEPORTE Y APROVECHA MIENTO DEL TIEMPO LIBRE</t>
  </si>
  <si>
    <t>PRESTACIÓN Y GARANTÍA DE SERVICIOS DE CULTURA</t>
  </si>
  <si>
    <t>EL VICTORIANO CONOCE SU LEGADO CULTURAL</t>
  </si>
  <si>
    <t>fortalecer los programas del pst de acuerdo al modelo de esquema departamental de atención primaria en salud</t>
  </si>
  <si>
    <t>acciones de promoción de la salud, prevención del riesgo y atención de la población con alguna clase de discapacidad</t>
  </si>
  <si>
    <t>PRESTACIÓN Y GARANTÍA DE SERVICIOS DE SALUD</t>
  </si>
  <si>
    <t>Apoyo y fortalecimiento a la atención de enfermedades prevalentes de la infancia aiepi</t>
  </si>
  <si>
    <t>Apoyo y fortalencimiento al programa ampliado de inmunización PAI</t>
  </si>
  <si>
    <t>Gestión y apoyo para el sostenimiento del proceso servicio amigable para la atención en salud sexual y reproductiva</t>
  </si>
  <si>
    <t>Gestión y apoyo para reducir controlar y combatir las its vih sida</t>
  </si>
  <si>
    <t>Apoyo y fortalecimiento al programa habito de higiene oral</t>
  </si>
  <si>
    <t>Implementación de apoyo psicosocial con estrategias primarias en salud mental</t>
  </si>
  <si>
    <t xml:space="preserve">Apoyo para la prevensión y control de enfermedades cronicas no transmisibles, mediante jornadas educativas. </t>
  </si>
  <si>
    <t>Gestión y apoyo para la construcción de parque biosaludable, para la promoción de la actividad física en ambitos cotidianos.</t>
  </si>
  <si>
    <t>Gestión y apoyo para la busqueda e identificación y disminución de tuberculosis y lepra</t>
  </si>
  <si>
    <t>Gestión y apoyo para la disminución de enfermedades transmitidas por vectores (etv.)</t>
  </si>
  <si>
    <t>Fortalecimiento de la red de urgencias hospitalarias</t>
  </si>
  <si>
    <t>Gestión de recursos para el equipamiento, la dotación y reposición de equipos biomédicos de la ESE</t>
  </si>
  <si>
    <t>Gestiones recursos para la construcción de la planta física de la ESE Nuestra Señora de las Victorias</t>
  </si>
  <si>
    <t>LA VICTORIA ASEGURA SU POBLACION</t>
  </si>
  <si>
    <t xml:space="preserve">MEJOR SALUD PARA LOS VICTORIANOS </t>
  </si>
  <si>
    <t>IMPLEMENTACIÓN Y CUMPLIMIENTO DEL PLAN DE SALUD PUBLICA EN EL MUNICIPIO</t>
  </si>
  <si>
    <t>MEJOR INFRAESTRUCTURA PARA LA SALUD DE LOS VICTORIANOS</t>
  </si>
  <si>
    <t>EL VICTORIANO GESTOR DE SU COMUNIDAD</t>
  </si>
  <si>
    <t>Apoyo logístico al programa presidencial "Red Unidos"</t>
  </si>
  <si>
    <t>ECONOMICA</t>
  </si>
  <si>
    <t>DDESARROLLO RURAL Y ASISTENCIA TÉCNICA</t>
  </si>
  <si>
    <t>Apoyo para el mejoramiento de ganado vacuno</t>
  </si>
  <si>
    <t xml:space="preserve">PROMOCIÓN Y FOMENTO AL DESARROLLO ECONÓMICO </t>
  </si>
  <si>
    <t>Gestión y apoyo en capacitación a pequeños empresarios en formación empresarial y emprendimiento</t>
  </si>
  <si>
    <t>ATENCIÓN Y RECONOCIMIENTO DE DERECHOS DE LA POBLACIÓN EN CONDICIÓN DE DISCAPACIDAD</t>
  </si>
  <si>
    <t>Apoyo al emprendimiento de la mujer.</t>
  </si>
  <si>
    <t>ATENCIÓN Y RECONOCIMIENTO DE DERECHOS DE LA MUJER</t>
  </si>
  <si>
    <t>ATENCIÓN Y RECONOCIMIENTO DE DERECHOS DEL ADULTO MAYOR</t>
  </si>
  <si>
    <t>EL VICTORIANO FORMA EMPRESA COMPETITIVA</t>
  </si>
  <si>
    <t xml:space="preserve">EL VICTORIANO PRODUCTOR  COMPETITIVO Y PRODUCTIVO </t>
  </si>
  <si>
    <t>DESARROLLO ECONOMICO DEL PRODUCTOR</t>
  </si>
  <si>
    <t>Apoyar técnica y financieramente el establecimiento de proyectos con especies menores (piscicultura, aves, cerdos)</t>
  </si>
  <si>
    <t xml:space="preserve">Apoyar técnica y financieramente el establecimiento de proyectos para el cultivo de cacao </t>
  </si>
  <si>
    <t>Apoyar técnica y financieramente el establecimiento de proyectos cultivo de la caña panelera</t>
  </si>
  <si>
    <t>EL TURISMO DESARROLLA LA ECONOMIA</t>
  </si>
  <si>
    <t xml:space="preserve">Elaboración e implementación del plan de turismo victoriano </t>
  </si>
  <si>
    <t>GARANTÍA DE SERVICIOS DE JUSTICIA, ORDEN PÚBLICO, SEGURIDAD, CONVIVENCIA, Y PROTECCIÓN DEL CIUDADANO.</t>
  </si>
  <si>
    <t>Dos jornadas de promulgación y capacitación comunitaria para el reconocimiento, garantía, restitución  y ejercicio de los derechos humanos implementado en el municipio</t>
  </si>
  <si>
    <t>Capacitación interinstitucional integral en DDHH y DIH.</t>
  </si>
  <si>
    <t>LA VICTORIA JUSTA Y SEGURA</t>
  </si>
  <si>
    <t>Pago super intendencia de Salid 0.02%</t>
  </si>
  <si>
    <t>Juegos campesinos</t>
  </si>
  <si>
    <t>Fomento, apoyo y difusión de eventos y expresiones artísticas y culturales</t>
  </si>
  <si>
    <t>Pago de instructores y bibliotecólogos contratados para la ejecución de programas y proyectos artísticos y culturales</t>
  </si>
  <si>
    <t>Pago de instructores contratados para las bandas musicales</t>
  </si>
  <si>
    <t>Seguridad social del creador y gestor cultural</t>
  </si>
  <si>
    <t xml:space="preserve">Gestionar la conectividad de la biblioteca pública </t>
  </si>
  <si>
    <t xml:space="preserve">Gestión y apoyo para la actualización de colecciones  </t>
  </si>
  <si>
    <t>Fondo de pensiones</t>
  </si>
  <si>
    <t>Gestión para la adquisición y mantenimiento del banco de maquinaria</t>
  </si>
  <si>
    <t>Mantenimiento y mejoramiento de vías rurales</t>
  </si>
  <si>
    <t>PRESTACIÓN DE SERVICIOS DE AGUA POTABLE Y SANEAMIENTO BÁSICO</t>
  </si>
  <si>
    <t>PLAN DE INVERSIONES</t>
  </si>
  <si>
    <t xml:space="preserve">"Por la Victorai de Corzon" </t>
  </si>
  <si>
    <t>2012 - 2015</t>
  </si>
  <si>
    <t xml:space="preserve">"Por la Victorai de Corazon" </t>
  </si>
  <si>
    <t>Apoyo y gestión para el transporte de productos agropecuarios del municipio.</t>
  </si>
  <si>
    <t>Giras  de capacitación a productores en procesos en formación empresarial.</t>
  </si>
  <si>
    <t>Construcción de sendero ecoturístico.</t>
  </si>
  <si>
    <t>ESTAMPILLA</t>
  </si>
  <si>
    <t>Construcción de corrales para los semovientes municipales</t>
  </si>
  <si>
    <t>SISTEMA GENERAL DE PARTICIPACIONES</t>
  </si>
  <si>
    <t>SGP. SECTOR EDUCACION</t>
  </si>
  <si>
    <t>Calidad No certificados</t>
  </si>
  <si>
    <t>Calidad (Gratuidad)</t>
  </si>
  <si>
    <t>SGP - SECTOR SALUD</t>
  </si>
  <si>
    <t>Régimen Subsidiado</t>
  </si>
  <si>
    <t>Salud Pública</t>
  </si>
  <si>
    <t>SGP- PROPOSITO GENERAL TOTAL</t>
  </si>
  <si>
    <t>PG - Deporte</t>
  </si>
  <si>
    <t>PG - Cultura</t>
  </si>
  <si>
    <t>PG - Libre Inversión</t>
  </si>
  <si>
    <t>SPG - ALIMENTACION ESCOLAR</t>
  </si>
  <si>
    <t>PROYECCION FUENTES Y USOS PMD 2012-2015</t>
  </si>
  <si>
    <t>Millones de pesos</t>
  </si>
  <si>
    <t>FUENTES</t>
  </si>
  <si>
    <t>2012</t>
  </si>
  <si>
    <t>2013</t>
  </si>
  <si>
    <t>2014</t>
  </si>
  <si>
    <t>2015</t>
  </si>
  <si>
    <t>INGRESOS TOTALES</t>
  </si>
  <si>
    <t>INGRESOS CORRIENTES LIBRE DESTINACION</t>
  </si>
  <si>
    <t>INGRESOS TRIBUTARIOS</t>
  </si>
  <si>
    <t>INGRESOS NO TRIBUTARIOS</t>
  </si>
  <si>
    <t>TRANSFERENCIAS LIBRE - SGP</t>
  </si>
  <si>
    <t>INGRESOS DE CAPITAL</t>
  </si>
  <si>
    <t>SISTEMA GENERAL DE REGALIAS</t>
  </si>
  <si>
    <t>SGR - ASIGNACIONES DIRECTAS</t>
  </si>
  <si>
    <t>SGR - FONDO COMPENSACION PROY. LOCALES</t>
  </si>
  <si>
    <t>TRANSFERENCIAS NACIONALES</t>
  </si>
  <si>
    <t>SGP - AGUA POTABLE Y S/TO BASICO</t>
  </si>
  <si>
    <t>FOSYGA - ETESA</t>
  </si>
  <si>
    <t>OTRAS TRANSFERENCIAS NACIONALES</t>
  </si>
  <si>
    <t>COFINANCIACION</t>
  </si>
  <si>
    <t>OTROS - RECURSOS DE DESTINACION ESPECIFICA</t>
  </si>
  <si>
    <t xml:space="preserve">Fondo de seguridad </t>
  </si>
  <si>
    <t>Estampilla de adulto mayor</t>
  </si>
  <si>
    <t>Estampilla pro-cultura</t>
  </si>
  <si>
    <t>GASTOS TOTALES</t>
  </si>
  <si>
    <t>1. FUNCIONAMIENTO</t>
  </si>
  <si>
    <t>2. INTERESES DE LA DEUDA</t>
  </si>
  <si>
    <t>3. AMORTIZACIONES</t>
  </si>
  <si>
    <t>4. INVERSION PPI</t>
  </si>
  <si>
    <t>FUENTES: AGREGADAS</t>
  </si>
  <si>
    <t>ICLD</t>
  </si>
  <si>
    <t>SGP FORZOSA INVERSION</t>
  </si>
  <si>
    <t>OTRAS TRANSF. INV.</t>
  </si>
  <si>
    <t xml:space="preserve">CREDITO </t>
  </si>
  <si>
    <t>SGR - DIRECTAS</t>
  </si>
  <si>
    <t>SGR - FCR</t>
  </si>
  <si>
    <t xml:space="preserve">OTROS INGRESOS </t>
  </si>
  <si>
    <t>FUENTES EXTERNAS GESTION</t>
  </si>
  <si>
    <t xml:space="preserve">TOTAL </t>
  </si>
  <si>
    <t>DIF</t>
  </si>
  <si>
    <t>EDUCACION</t>
  </si>
  <si>
    <t>SGP</t>
  </si>
  <si>
    <t>REGALIAS</t>
  </si>
  <si>
    <t>SALUD</t>
  </si>
  <si>
    <t>ICLD* 20</t>
  </si>
  <si>
    <t>CULTURA</t>
  </si>
  <si>
    <t>ICLD* 10</t>
  </si>
  <si>
    <t>Inicial</t>
  </si>
  <si>
    <t>Compromiso</t>
  </si>
  <si>
    <t>Saldo</t>
  </si>
  <si>
    <t>DESARROLLO COMUNITARIO</t>
  </si>
  <si>
    <t>JUSTICIA</t>
  </si>
  <si>
    <t>DESEMBOLSOS  DE CREDITO</t>
  </si>
  <si>
    <t>INVERSION ICLD</t>
  </si>
  <si>
    <t>6. OTROS SERVCIOS PUBLICOS</t>
  </si>
  <si>
    <t>7. VIVIENDA</t>
  </si>
  <si>
    <t>8. AGROPECUARIO</t>
  </si>
  <si>
    <t>9. TRANSPORTE</t>
  </si>
  <si>
    <t>10. AMBIENTAL</t>
  </si>
  <si>
    <t>11. PREVENCIÓN Y ATENCIÓN DE DESASTRES</t>
  </si>
  <si>
    <t>POBLACIONAL</t>
  </si>
  <si>
    <t>GARANTÍA DE SERVICIOS DE BIENESTAR Y PROTECCIÓN LA POBLACIÓN VULNERABLE: PRIMERA INFANCIA, NIÑEZ, ADOLESCENCIA, JUVENTUD, ADULTO MAYOR, DISCAPACIDAD Y EQUIDAD DE GÉNERO.</t>
  </si>
  <si>
    <t>ATENCIÓN Y RECONOCIMIENTO DE DERECHOS DE PRIMERA INFANCIA, ADOLESCENCIA Y JUVENTUD</t>
  </si>
  <si>
    <t>FOSYGA</t>
  </si>
  <si>
    <t>AGROPECUARIO</t>
  </si>
  <si>
    <t>CONSTRUCCIÓN DE DEPENDENCIAS DE LA ADMINISTRACIÓN</t>
  </si>
  <si>
    <t>Contruccion de la politica publica de infancia, adolecencia y juventud.</t>
  </si>
  <si>
    <t>Atencion integral a la primera infancia</t>
  </si>
  <si>
    <t>Atencion integral a la infancia</t>
  </si>
  <si>
    <t>Atencion integral a la adolescencia</t>
  </si>
  <si>
    <t>Atencion integral a la juventud</t>
  </si>
  <si>
    <t>Garantizar en un 100% el cumplimiento de las funciones y obligaciones para la garantía y el restablecimiento de los derechos de los
niños, las niñas, los y las adolescentes y su contexto familiar y prevenir su
vulneración</t>
  </si>
  <si>
    <t>Porcentaje del cumplimiento de las funciones y obligaciones para la garantía y el restablecimiento de los derechos de los
niños, las niñas, los y las adolescentes y su contexto familiar y prevenir su
vulneración</t>
  </si>
  <si>
    <t xml:space="preserve">OFERTA Y APOYO INSTITUCIONAL A LA POBLACION VULNERABLE  </t>
  </si>
  <si>
    <t xml:space="preserve">Fortalecimiento y apoyo a los programas sociales del I.C.B.F. </t>
  </si>
  <si>
    <t>Construir una política publica de infancia,  adolescencia y juventud en el municipio</t>
  </si>
  <si>
    <t>ICLD* 50</t>
  </si>
  <si>
    <t>12. PROMOCIÓN DEL DESARROLLO - ECONOMICO</t>
  </si>
  <si>
    <t>Una política de infancia, adolescencia y juventud aprobada</t>
  </si>
  <si>
    <t>SUBTOTAL</t>
  </si>
  <si>
    <t>Disminución de la violencia intrafamiliar</t>
  </si>
  <si>
    <t>8 jornadas de capacitación en el período</t>
  </si>
  <si>
    <t>La realizar  una al año de feria expo-mujer con el fin de comercializar los productos elaborados y establecer alianzas comerciales</t>
  </si>
  <si>
    <t>Número de ferias expo mujer del municipio e la victoria</t>
  </si>
  <si>
    <t>Apoyar las acciones interinstitucionales con igualdad de oportunidades para la mujer victoriana</t>
  </si>
  <si>
    <t>Numero de acciones realizadas</t>
  </si>
  <si>
    <t>Capacitación y socialización  para minimizar la violencia de género.</t>
  </si>
  <si>
    <t>Terminación de la casa del adulto mayor - centro vida</t>
  </si>
  <si>
    <t>Casa terminada</t>
  </si>
  <si>
    <t>Dotar centros vida la población mayor  pertenecientes al municipio</t>
  </si>
  <si>
    <t>Centro vida dotado</t>
  </si>
  <si>
    <t>Construir un programa de nutrición y bienestar para la atención al adulto mayor</t>
  </si>
  <si>
    <t>Programa de atención al adulto mayor operando</t>
  </si>
  <si>
    <t>Atención integral a los programas de nutrición y bienestar del adulto mayor</t>
  </si>
  <si>
    <r>
      <t>Terminación de la casa del adulto mayor, Centro vida, "</t>
    </r>
    <r>
      <rPr>
        <b/>
        <sz val="10"/>
        <rFont val="Arial Narrow"/>
        <family val="2"/>
      </rPr>
      <t>JUSTO EMIDIO DELGADO</t>
    </r>
    <r>
      <rPr>
        <sz val="10"/>
        <rFont val="Arial Narrow"/>
        <family val="2"/>
      </rPr>
      <t>".</t>
    </r>
  </si>
  <si>
    <r>
      <t>Dotación de la casa del adulto mayor, Centro vida, "</t>
    </r>
    <r>
      <rPr>
        <b/>
        <sz val="10"/>
        <rFont val="Arial Narrow"/>
        <family val="2"/>
      </rPr>
      <t>JUSTO EMIDIO DELGADO</t>
    </r>
    <r>
      <rPr>
        <sz val="10"/>
        <rFont val="Arial Narrow"/>
        <family val="2"/>
      </rPr>
      <t>".</t>
    </r>
  </si>
  <si>
    <t>Construir una política publica discapacidad</t>
  </si>
  <si>
    <t>una política de discapacidad</t>
  </si>
  <si>
    <t>Construcción de la política pública de discapacidad.</t>
  </si>
  <si>
    <t>Suministrar ayudas técnicas a personas en condición de discapacidad entre los diferentes atareos pertenecientes al municipio de la victoria vinculando al grupo familiar en su cuidado y protección</t>
  </si>
  <si>
    <t>Numero de entregas de ayudas técnicas a personas en situación de discapacidad</t>
  </si>
  <si>
    <t>Capacitar 2 cuidadores de población en situación de discapacidad en apoyo terapéutico integral</t>
  </si>
  <si>
    <t>Numero de  cuidadores de personas en condición de discapacidad</t>
  </si>
  <si>
    <t>Personal capacitado para la atención del discapacitado</t>
  </si>
  <si>
    <t xml:space="preserve">Suministrar bonos alimentarios para personas en condición de discapacidad </t>
  </si>
  <si>
    <t>Numero de personas en condición de discapacidad beneficiados en entrega de bonos</t>
  </si>
  <si>
    <t>Mejor nutrición para la población discapacitada</t>
  </si>
  <si>
    <t>Apoyar las acciones interinstitucionales con igualdad de oportunidades para la población victoriana</t>
  </si>
  <si>
    <t>El 100% de los programas sociales y del I.C.B.F funcionando en el municipio</t>
  </si>
  <si>
    <t>Porcentaje de programas de I.C.B.F. implementados en el municipio</t>
  </si>
  <si>
    <t>%</t>
  </si>
  <si>
    <t>CUATRENIO</t>
  </si>
  <si>
    <t xml:space="preserve">Formulación del Plan Municipal de Gestión del Riesgo </t>
  </si>
  <si>
    <t>El PMGR formulado</t>
  </si>
  <si>
    <t>Estudio para la identificación de zonas de riesgo el Municipio - PMGR</t>
  </si>
  <si>
    <t>Formulación y aplicación del Plan Local de Emergencias y Contingencias</t>
  </si>
  <si>
    <t>Formulación, actualización y aplicación de plan local de emergencias y contingencias  – PLEC´S.</t>
  </si>
  <si>
    <t>PREVENCIÓN Y ATENCIÓN DE EMERGENCIAS</t>
  </si>
  <si>
    <t>Apoyo institucional al CLOPAD</t>
  </si>
  <si>
    <t>2 eventos de capacitación y simulacros</t>
  </si>
  <si>
    <t>Reducir la ocurrencia de emergencias y desastres en zonas identificadas en el municipio</t>
  </si>
  <si>
    <t>Numero de emergencias atendidas en zonas identificadas</t>
  </si>
  <si>
    <t>Formulación, ejecución y gestión de proyectos de prevención de emergencias y/o desastres.</t>
  </si>
  <si>
    <t xml:space="preserve">Atender prioritariamente las de zonas identificadas y afectadas por desastres </t>
  </si>
  <si>
    <t>Formulación, ejecución y gestión de proyectos para la reubicación y recuperación de zonas  y bienes afectados por emergencias y/o desastres.</t>
  </si>
  <si>
    <t xml:space="preserve">Atender  a población afectada por emergencias y desastres </t>
  </si>
  <si>
    <t>Numero de eventos atendidos por vigencia</t>
  </si>
  <si>
    <t>Apoyo y atención humanitaria a la población afectada por emergencias o desastres.</t>
  </si>
  <si>
    <t>Porcentaje de zonas recuperadas por desastres</t>
  </si>
  <si>
    <t>Realizar dos jornadas de capacitaciones en cultura y educación ambiental en el año</t>
  </si>
  <si>
    <t>Numero de jornadas de capacitación ambientales</t>
  </si>
  <si>
    <t>Aplicación de procesos de educación ambiental para fomentar la cultura de protección de los recursos naturales.</t>
  </si>
  <si>
    <t>Apoyo, formulación e  implementación de proyectos ambientales</t>
  </si>
  <si>
    <t>Apoyo a la implementación y formulación de proyectos ambientales escolares (PRAES) y proyectos comunitarios de educación ambiental (PROCEDAS).</t>
  </si>
  <si>
    <t>Dos planes formulados e implementados</t>
  </si>
  <si>
    <t>LA VICTORIA MEJORA EL MEDIO AMBIENTE</t>
  </si>
  <si>
    <t>Formular el inventario de flora y fauna del Municipio</t>
  </si>
  <si>
    <t>Inventario de flora y fauna formulado</t>
  </si>
  <si>
    <t>Estudio e identificación de áreas de interés ecológico y de aptitud forestal.</t>
  </si>
  <si>
    <t>Implementar en un 50% el Sistema de Gestión Ambiental Municipal - SIGAM</t>
  </si>
  <si>
    <t>Porcentaje de implementación del SIGAM</t>
  </si>
  <si>
    <t>Educación ambiental e implementación del sistema de gestión ambiental municipal</t>
  </si>
  <si>
    <t>Formular un proyecto para la protección y conservación de los recursos naturales</t>
  </si>
  <si>
    <t>Proyecto para la protección y conservación de los recursos naturales formulado</t>
  </si>
  <si>
    <t>Comprar y reforestar cuatro predios en el cuatrienio para la conservación del recurso hídrico del municipio.</t>
  </si>
  <si>
    <t>Numero de predios comprados y reforestados en el cuatrienio</t>
  </si>
  <si>
    <t xml:space="preserve">Adquisición y protección de áreas estratégicas localizados en las fuentes abastecedoras de los acueductos municipales y verdales </t>
  </si>
  <si>
    <t xml:space="preserve">Reforestación y mantenimiento de áreas que presenten ecosistemas para la conservación del recurso hídrico. </t>
  </si>
  <si>
    <t>COF.</t>
  </si>
  <si>
    <t xml:space="preserve">Construcción de obras de movilidad y pavimentación vial urbana y de los centros poblados </t>
  </si>
  <si>
    <t>Mantenimiento y recuperación caminos y puentes peatonales veredales</t>
  </si>
  <si>
    <t>Realizar procesos de mantenimiento a los 31 KM de red vial terciaria del municipio</t>
  </si>
  <si>
    <t>Numero de obras de arete construidas por año</t>
  </si>
  <si>
    <t>Construir cuatro obras de arte por año en la red vial terciaria del municipio</t>
  </si>
  <si>
    <t xml:space="preserve">Construir 50 mts de pavimento por año </t>
  </si>
  <si>
    <t>Numero de mts construidos por año</t>
  </si>
  <si>
    <t xml:space="preserve">Maquinas con procesos de mantenimiento </t>
  </si>
  <si>
    <t>MANTENIMIENTO Y MEJORAMIENTO DE LA RED VIAL DEL MUNICIPIO</t>
  </si>
  <si>
    <t>Numero de kilómetros con procesos de mantenimiento</t>
  </si>
  <si>
    <t>Realizar procesos de mantenimiento a los a los caminos veredales municipales</t>
  </si>
  <si>
    <t>Numero de caminos atendidos con proceso de mantenimiento</t>
  </si>
  <si>
    <t xml:space="preserve">CONSTRUCCIÓN DE OBRAS DE INFRAESTRUCTURA VIAL </t>
  </si>
  <si>
    <t>Construir de 2 km de red vial interveredal del municipio en el cuatrienio</t>
  </si>
  <si>
    <t>Numero de km construidos de vías terciarias</t>
  </si>
  <si>
    <t>Construcción de vías rurales</t>
  </si>
  <si>
    <t>REPOSICIÓN Y MANTENIMIENTO MAQUINARIA</t>
  </si>
  <si>
    <t>Realizar el mantenimiento y la reposición de la maquinaria del municipio empleada en el mantenimiento y construcción de la red vial</t>
  </si>
  <si>
    <t xml:space="preserve">MEJORAMIENTO Y MANTENIMIENTO DE DEPENDENCIAS DE LA ADMINISTRACIÓN Y BIENES DE USO PÚBLICO DEL MUNICIPIO </t>
  </si>
  <si>
    <t>Numero de instalaciones con estudios realizados</t>
  </si>
  <si>
    <t>Numero de bodegas construidas</t>
  </si>
  <si>
    <t>Cementerio reubicado</t>
  </si>
  <si>
    <t>Compra de un vehículo para la administración municipal</t>
  </si>
  <si>
    <t>Numero de vehículos adquiridos</t>
  </si>
  <si>
    <t>Compra de vehículo para la administración municipal</t>
  </si>
  <si>
    <t>Construcción de la segunda etapa del Auditorio Municipal</t>
  </si>
  <si>
    <t>Construcción de la segunda etapa del auditoria</t>
  </si>
  <si>
    <t>Construcción de cuatro corrales en el cuatrienio</t>
  </si>
  <si>
    <t>Numero de corrales construidos por año</t>
  </si>
  <si>
    <t>Gestionar los recursos para la construcción y dotación de una bodega para los equipos y maquinaria del municipio</t>
  </si>
  <si>
    <t>Construcción y dotación de una bodega para los equipos y maquinaria del municipio</t>
  </si>
  <si>
    <t>Gestionar los recursos para la construcción y reubicación del cementerio municipal</t>
  </si>
  <si>
    <t>Construcción y reubicación del cementerio</t>
  </si>
  <si>
    <t xml:space="preserve">Realizar los estudios estructurales, de suelos y topográficos a las edificaciones e instalaciones municipales </t>
  </si>
  <si>
    <t xml:space="preserve">Diagnostico estructural, de suelos y topográficos a edificaciones e instalaciones municipales </t>
  </si>
  <si>
    <t>Realizar un programa de mantenimiento a los bienes y edificaciones de uso publico del Municipio</t>
  </si>
  <si>
    <t>Numero de bienes de uso publico municipales con mantenimiento</t>
  </si>
  <si>
    <t>Mejoramiento y mantenimiento de los bienes de uso publico: plaza de mercado, matadero, cementerio, parque, piscina, andenes, vías  y escaleras peatonales.</t>
  </si>
  <si>
    <t>Numero de edificaciones municipales con mantenimiento</t>
  </si>
  <si>
    <t>Mejoramiento y mantenimiento de las edificaciones de uso publico: palacio municipal, ESE Nuestra señora de las Victorias, edificio SENA, auditorio municipal</t>
  </si>
  <si>
    <t>14. EQUIPAMIENTO MUNICIPAL</t>
  </si>
  <si>
    <t>AUMENTAR LA COBERTURA Y CONTINUIDAD DEL SERVICIO DE ACUEDUCTO</t>
  </si>
  <si>
    <t xml:space="preserve">Disminuir la población sin servicio de acueducto urbano  </t>
  </si>
  <si>
    <t>Implementación del plan maestro de acueducto</t>
  </si>
  <si>
    <t>Mantenimiento de la infraestructura del acueducto</t>
  </si>
  <si>
    <t>Ahorro y uso eficiente del agua</t>
  </si>
  <si>
    <t>Implementación del  programa de macro y micromedicion</t>
  </si>
  <si>
    <t>Disminuir la población sin servicio de acueducto rural</t>
  </si>
  <si>
    <t>Adecuación de los acueductos</t>
  </si>
  <si>
    <t>Aumentar la calidad del agua para consumo humano</t>
  </si>
  <si>
    <t>Mantenimiento del IRCA inferior al 5%</t>
  </si>
  <si>
    <t>AUMENTAR LA COBERTURA Y CONTINUIDAD DEL SERVICIO DE ALCANTARILLADO </t>
  </si>
  <si>
    <t>Disminuir la población sin servicio de alcantarillado urbano</t>
  </si>
  <si>
    <t>Implementación del PSMV</t>
  </si>
  <si>
    <t>Mantenimiento de la infraestructura de alcantarillado</t>
  </si>
  <si>
    <t>Disminuir la población sin servicio de alcantarillado rural</t>
  </si>
  <si>
    <t>Implementación de sistemas sanitarios individuales</t>
  </si>
  <si>
    <t>Aumentar la cantidad de aguas residuales tratadas</t>
  </si>
  <si>
    <t>Construcción de la PTAR</t>
  </si>
  <si>
    <t>AUMENTAR LA COBERTURA Y CONTINUIDAD DEL SERVICIO DE ASEO </t>
  </si>
  <si>
    <t>Disminuir la población sin servicio de aseo urbano</t>
  </si>
  <si>
    <t>Implementación del PGIRS</t>
  </si>
  <si>
    <t>Aumentar la disposición adecuada de los residuos sólidos generados</t>
  </si>
  <si>
    <t>Promover la separación de los residuos solidos y orgánicos en la fuente</t>
  </si>
  <si>
    <t>Garantizar el subsidio de los servicios de A.A.A. a los usuarios estratos 1-2</t>
  </si>
  <si>
    <t>Numero usuarios con subsidio</t>
  </si>
  <si>
    <t>Mantenimiento de los acueductos veredales</t>
  </si>
  <si>
    <t>ASEGURAMIENTO DE LA PRESTACION DEL SERVICIO</t>
  </si>
  <si>
    <t>Diseño e implantación de esquemas organizacionales para la administración y operación de los servcios de A.A.A.</t>
  </si>
  <si>
    <t>Realizar un  estudio para la organización y operación de la prestacion de servicios publicos de A.A.A.</t>
  </si>
  <si>
    <t>Estudio realizado</t>
  </si>
  <si>
    <t>Monitoreo de calidad de agua</t>
  </si>
  <si>
    <t>Recoleccion, tratamiento y disposición final de residuos solidos</t>
  </si>
  <si>
    <t>Numero de toneladas de residuos solidos dispuetos  adecuadamente</t>
  </si>
  <si>
    <t>Numero de capacitaciones realizadas en manejo y reciclaje de residuos solidos</t>
  </si>
  <si>
    <t>Realizar la optimizacion de la celda sanitaria</t>
  </si>
  <si>
    <t>Celda sanitaria con proceso de mantenimiento y rehabilitacion</t>
  </si>
  <si>
    <t xml:space="preserve">Optimizar el manejo integral de residuos sólidos y puesta en marcha de la celda de residuos orgánicos </t>
  </si>
  <si>
    <t>Gestiónar recursos para la cofinanciación de la potabilización y ampliación de los sistemas de acueductos veredales</t>
  </si>
  <si>
    <t>Inclusión del municipio en la cobertura de gas domiciliario</t>
  </si>
  <si>
    <t>ACCESO A SERVICIO DE ENERGÍA ELÉCTRICA</t>
  </si>
  <si>
    <t>Realizar el diseñar de las redes de gas natural domiciliario para la zona urbana del municipio</t>
  </si>
  <si>
    <t>Realizar el mantenimiento al 100% de las redes de alumbrado publico urbano - rural</t>
  </si>
  <si>
    <t>Mantenimiento y expansión del alumbrado publico</t>
  </si>
  <si>
    <t>Porcentaje de redes de alumbrado publico con mantenimiento</t>
  </si>
  <si>
    <t>Gestionar los recursos para la construcción y legalización de las acometidas internas domiciliarias de la red eléctrica.</t>
  </si>
  <si>
    <t>Incrementar en un 20% los usuarios con acometidas internas legalizadas</t>
  </si>
  <si>
    <t xml:space="preserve">Incrementar la cobertura en un 10% en el servicios de energía eléctrica </t>
  </si>
  <si>
    <t>Porcentaje de nuevos usuarios con servicios de energía</t>
  </si>
  <si>
    <t>Ampliación redes eléctricas rurales</t>
  </si>
  <si>
    <t>Porcentaje de nuevos usuarios con de energía legalizada</t>
  </si>
  <si>
    <t>Adelantar gestiones para la inclusión del municipio en el proyecto de extensión de la red de gas domiciliario</t>
  </si>
  <si>
    <t>Construcción y mejoramiento vivienda rural</t>
  </si>
  <si>
    <t>Numero de  viviendas mejoradas</t>
  </si>
  <si>
    <t>Numero de viviendas construidas en el área urbana</t>
  </si>
  <si>
    <t>Construcción urbanización cabecera municipal</t>
  </si>
  <si>
    <t>Numero de predios con escrituras legalizadas</t>
  </si>
  <si>
    <t>Cofinanciaron para la titulación de predios</t>
  </si>
  <si>
    <t>Mejorar 20 viviendas rurales con la construcción de unidades sanitarias</t>
  </si>
  <si>
    <t>Gestionar los recursos para construcción de 40 vivienda de interés social en la cabecera municipal</t>
  </si>
  <si>
    <t xml:space="preserve">Gestionar los recursos para construcción y/o mejoramiento  de 20 viviendas en el área rural del municipio </t>
  </si>
  <si>
    <t>Numero de viviendas rurales construidas y/o mejoradas en el área rural</t>
  </si>
  <si>
    <t>Realizar la titulación a 50  predios</t>
  </si>
  <si>
    <t>Mantenimiento y cerramiento de la infraestructura y los campos deportivos de las instituciones educativas del municipio</t>
  </si>
  <si>
    <t>Construcción, ampliación y adecuación de infraestructura educativa del municipio</t>
  </si>
  <si>
    <t>Matricula oficial niños niveles 1 y 2 del sisben</t>
  </si>
  <si>
    <t>Dotación de infraestructura educativa: mobiliario, equipos didácticos, herramientas para talleres y ambientes especializados para la educación</t>
  </si>
  <si>
    <t>Apoyo transporte escolar rural del municipio</t>
  </si>
  <si>
    <t>MEJOR RECURSO FÍSICO PARA EDUCAR AL VICTORIANO</t>
  </si>
  <si>
    <t>GRATUIDAD EDUCTIVA PARA EL VICTORIANO</t>
  </si>
  <si>
    <t xml:space="preserve">Disminuir la tasa de analfabetismo </t>
  </si>
  <si>
    <t>Porcentaje de disminución de la tasa de analfabetismo</t>
  </si>
  <si>
    <t>Apoyo y gestión a convenios departamentales para programas de alfabetización a jóvenes y adultos</t>
  </si>
  <si>
    <t>Aumentar en un 10% la población con accesos a educación técnica, tecnológica y profesional</t>
  </si>
  <si>
    <t>Porcentaje de población con accesos a educación técnica, tecnológica y profesional</t>
  </si>
  <si>
    <t>Fortalecimiento y apoyo de convenios con la universidad publica, privada y el SENA</t>
  </si>
  <si>
    <t>Apoyo y gestión para la implementación de convenios CERES regional</t>
  </si>
  <si>
    <t>Fondo municipal para el apoyo de la Educación Superior convenio ICTEX</t>
  </si>
  <si>
    <t>EL VICTORIANO MEJORA SU NIVEL EDUCATIVO</t>
  </si>
  <si>
    <t>Porcentaje de niños y niñas en  edad escolar con apoyo educativos</t>
  </si>
  <si>
    <t>Porcentaje de hogares infantiles con apoyados</t>
  </si>
  <si>
    <t>Aumentar en un 30% los estudiantes con acceso a las TIC's en la institución educativa</t>
  </si>
  <si>
    <t>Compra de alimentos e insumos para la preparación</t>
  </si>
  <si>
    <t>PRESTACIÓN Y GARANTÍA DE SERVICIOS EDUCACIÓN</t>
  </si>
  <si>
    <t>CONTINUIDAD Y CALIDAD DEL SERVICIOS DE  ALIMENTACION ESCOLAR</t>
  </si>
  <si>
    <t>MEJOR CONECTIVIDAD</t>
  </si>
  <si>
    <t>SGP - Calidad</t>
  </si>
  <si>
    <t>SGP - Gratuidad</t>
  </si>
  <si>
    <t>SGP - Alimentacion Escolar</t>
  </si>
  <si>
    <t>TOTAL CALIDAD</t>
  </si>
  <si>
    <t>TOTAL ALIMENTACION ESCOLAR</t>
  </si>
  <si>
    <t>TOTAL EDUCACION</t>
  </si>
  <si>
    <t>REGALIAS Y COMPENSACIONES MINERAS</t>
  </si>
  <si>
    <t>COF - Alimentacion Escolar</t>
  </si>
  <si>
    <t>Garantizar  que el 100% de la población en edad escolar cuente con los recursos físicos y de acceso a los servicios de educación</t>
  </si>
  <si>
    <t>Metros cuadrados de construcción en la infraestructura educativa</t>
  </si>
  <si>
    <t>Metros cuadrados de mantenimiento de las instituciones educativas</t>
  </si>
  <si>
    <t>Numero de instituciones educativas dotadas</t>
  </si>
  <si>
    <t>Dotación de material y medios pedagógicos para el aprendizaje: audiovisuales, software educativo, textos y material de laboratorio y deportivo para la educación</t>
  </si>
  <si>
    <t>Garantizar  que el 100% de la población en edad escolar asista a las instituciones educativas</t>
  </si>
  <si>
    <t>Porcentaje de instituciones educativas con transferencias</t>
  </si>
  <si>
    <t>Porcentaje de niños y niñas en edad escolar del área rural con servicios de transporte escolar</t>
  </si>
  <si>
    <t>Porcentaje de instituciones educativas con pago de servicios públicos</t>
  </si>
  <si>
    <t>Porcentaje de estudiantes con accesos a las tecnologías de la información y la comunicación</t>
  </si>
  <si>
    <t>Construcción, dotación y conectividad a internet para el desarrollo de las TIC's en las instituciones educativas</t>
  </si>
  <si>
    <t>Garantizar  que el 100% de la población en edad escolar se encuentre vinculado a los programas de alimentación escolar</t>
  </si>
  <si>
    <t>Porcentaje de niños y niñas en edad escolar vinculados a los programas de alimentación escolar</t>
  </si>
  <si>
    <t>Contratación para la provisión integral del servicios de alimentación escolar</t>
  </si>
  <si>
    <t>Construcción, mantenimiento y dotación de restaurantes escolares</t>
  </si>
  <si>
    <t>Contratación de personal para la preparación de alimentos</t>
  </si>
  <si>
    <t xml:space="preserve">Gestionar los recursos para la construcción de la villa olímpica </t>
  </si>
  <si>
    <t>Adquisición de juegos para el parque infantil</t>
  </si>
  <si>
    <t>Apoyo y gestión para la participación de los juegos interescolares y comunitarios</t>
  </si>
  <si>
    <t>numero de juegos al año</t>
  </si>
  <si>
    <t>apoyo a juegos interescolares</t>
  </si>
  <si>
    <t xml:space="preserve">Numero de escenarios deportivos mejorados </t>
  </si>
  <si>
    <t>Numero de parques infantiles construidos</t>
  </si>
  <si>
    <t>Un proyecto diseñado</t>
  </si>
  <si>
    <t>Pago de instructores contratados para la práctica del deporte y la recreación</t>
  </si>
  <si>
    <t>Iluminación de escenarios deportivos del área urbana y rural</t>
  </si>
  <si>
    <t xml:space="preserve">DEPORTE INCLUYENTE  Y PARTICIPATIVO </t>
  </si>
  <si>
    <t>Un evento de juegos interescolares y comunitarios al año</t>
  </si>
  <si>
    <t>Un evento de juegos campesinos al año</t>
  </si>
  <si>
    <t>Mejoramiento y mantenimiento de los diferentes escenarios deportivos municipales</t>
  </si>
  <si>
    <t>Numero de participaciones de las disciplinas deportivas en competencias intermunicipales</t>
  </si>
  <si>
    <t>Garantizar que el 100% de los escenarios deportivos se encuentren en buenas condiciones</t>
  </si>
  <si>
    <t>Numero de escenarios deportivos con iluminación</t>
  </si>
  <si>
    <t xml:space="preserve">Adquisición de un parque infantil </t>
  </si>
  <si>
    <t>Diseñar el proyectos de la villa olímpica del Municipio</t>
  </si>
  <si>
    <t>Contratar un instructor para la practica de deportes</t>
  </si>
  <si>
    <t>Numero de instructores contratados para la práctica del deporte</t>
  </si>
  <si>
    <t>Garantizar que el 100% de los escenarios deportivos se encuentres dotados</t>
  </si>
  <si>
    <t>Porcentaje de escenarios deportivos dotados</t>
  </si>
  <si>
    <t>Dotación de escenarios deportivos e implementos para la práctica del deporte y las escuelas de formación deportiva</t>
  </si>
  <si>
    <t>Garantizar que los deportistas cuenten con los recursos para participar en las  diferentes competencias  intermunicipales</t>
  </si>
  <si>
    <t>Diseñar un programa de formación deportiva y recreacional para el adulto mayor</t>
  </si>
  <si>
    <t>Programa de formación diseñado</t>
  </si>
  <si>
    <t>Diseño y gestión de un programa de formación deportiva y recreacional para los niños, jóvenes, adolescentes y el adulto mayor</t>
  </si>
  <si>
    <t>ESTANP</t>
  </si>
  <si>
    <t>DESARROLLO ARTISTICO Y CULTURAL</t>
  </si>
  <si>
    <t>Gestionar la realización del encuentro de la colonia Victoriana</t>
  </si>
  <si>
    <t>Apoyo y/o realización del festival de cultura.</t>
  </si>
  <si>
    <t>Apoyo y/o realización de la celebración  de los cincuenta años del municipio</t>
  </si>
  <si>
    <t>Numero de giras realizadas por año</t>
  </si>
  <si>
    <t>Dotación por año realizada</t>
  </si>
  <si>
    <t>Un de instructores de danzas contratados por año</t>
  </si>
  <si>
    <t>Iincrementar la cobertura de las actividades en arte, música y patrimonio cultural del municipio</t>
  </si>
  <si>
    <t>Apoyo y realización de 4 eventos artísticos y culturales al año</t>
  </si>
  <si>
    <t>Contar con las dotación de las escuela de formación musical</t>
  </si>
  <si>
    <t>Dotación y mantenimiento de instrumentos, vestuarios y demás elementos necesarios para las escuelas de formación artística y cultural</t>
  </si>
  <si>
    <t>Contratar dos instructores para el la escuela de formación artística y cultural</t>
  </si>
  <si>
    <t>Un de instructores de música contratados por año</t>
  </si>
  <si>
    <t>Realizar una gira de las escuelas de formación artística</t>
  </si>
  <si>
    <t>Giras de los grupos de las escuelas de formación artística</t>
  </si>
  <si>
    <t xml:space="preserve">Garantizar el funcionamiento de la de la casa de la cultura </t>
  </si>
  <si>
    <t>Realizar una dotación a la casa de la cultura</t>
  </si>
  <si>
    <t>Adecuación, dotación y funcionamiento casa de la cultura</t>
  </si>
  <si>
    <t>Realizar el diseño, formalización y/o implementación del sistema de cultura municipal</t>
  </si>
  <si>
    <t>El sistema de cultura municipal implementado</t>
  </si>
  <si>
    <t>Diseño, formalización y/o implementación del sistema de cultura municipal</t>
  </si>
  <si>
    <t xml:space="preserve">Realizar una ves al año un festival de cultura victoriano </t>
  </si>
  <si>
    <t>Festival de cultura celebrado</t>
  </si>
  <si>
    <t>Realizar un evento en el cuatrienio de la colonia victoriana</t>
  </si>
  <si>
    <t xml:space="preserve">Evento realizado </t>
  </si>
  <si>
    <t xml:space="preserve">Porcentaje de recaudo </t>
  </si>
  <si>
    <t xml:space="preserve">Realizar una ves al año la celebración del día del campesino </t>
  </si>
  <si>
    <t>Día del campesino celebrado</t>
  </si>
  <si>
    <t>Apoyo y/o realización a la celebración día del campesino</t>
  </si>
  <si>
    <t>Realizar la celebración de los cincuenta años del Municipio</t>
  </si>
  <si>
    <t>Celebración de los cincuenta años del municipio</t>
  </si>
  <si>
    <t>Recaudar el 100% de los recursos de Seguridad social del creador y gestor cultural</t>
  </si>
  <si>
    <t>Recaudar el 100% de los recursos de Fondo de pensiones</t>
  </si>
  <si>
    <t>LECTURA Y ESCRITURA</t>
  </si>
  <si>
    <t>Fomentar y promocionar la lectura de los victorianos a través de eventos en área rural y urbana.</t>
  </si>
  <si>
    <t xml:space="preserve">Numero de eventos de promoción de lectura desarrollados por año </t>
  </si>
  <si>
    <t xml:space="preserve">Apoyo y gestión de promoción cultural y lectora a la primera infancia, infancia, adolescencia y juventud   </t>
  </si>
  <si>
    <t>Dotación y actualización de la biblioteca municipal</t>
  </si>
  <si>
    <t xml:space="preserve">Contratar un bibliotecologo </t>
  </si>
  <si>
    <t>Pago de bibliotecólogos contratados para la ejecución de proyectos de lectura.</t>
  </si>
  <si>
    <t xml:space="preserve">Acceso a internet de la biblioteca pública </t>
  </si>
  <si>
    <t>REGIMEN SUBSIDIADO</t>
  </si>
  <si>
    <t>Mantener el 100% de la cobertura en el régimen subsidiado</t>
  </si>
  <si>
    <t>Afiliación al régimen subsidiado en un 100%</t>
  </si>
  <si>
    <t>interventoría al régimen subsidiado</t>
  </si>
  <si>
    <t xml:space="preserve">100% de vinculación al sistema de salud y garantía de a todas las familias en pobreza extrema (Programas de salud pública). </t>
  </si>
  <si>
    <t>Porcentaje de familias vinculadas  al sistema de salud y garantía de vinculación de todas las familias en pobreza extrema</t>
  </si>
  <si>
    <t>Realizar 100% la interventoría del régimen subsidiado</t>
  </si>
  <si>
    <t>Cumplimiento total de las acciones del régimen subsidiado</t>
  </si>
  <si>
    <t>Contratacion red de salud ejecucion plan de salud publica</t>
  </si>
  <si>
    <t>MEJORAMIENTO Y DOTACION DE LA E.S.E.</t>
  </si>
  <si>
    <t>Realizar el procesos de mejoramiento de la infraestructura de la E.S.E</t>
  </si>
  <si>
    <t>Metros cuadrados de mejoramiento</t>
  </si>
  <si>
    <t>Capacitar a los productores en procesos de comercialización</t>
  </si>
  <si>
    <t>Numero de productores capacitados</t>
  </si>
  <si>
    <t>Apoyo y gestión para capacitación de productores en comercialización.</t>
  </si>
  <si>
    <t>Conforma 2 alianza productivas</t>
  </si>
  <si>
    <t xml:space="preserve">Alianza productiva implementada </t>
  </si>
  <si>
    <t>Incentivo la comercialización de productos agropecuarios de los Victorianos</t>
  </si>
  <si>
    <t>Elaboración e implementación del plan de turismo victoriano</t>
  </si>
  <si>
    <t xml:space="preserve">Capacitar a los productores en la conformación de empresas </t>
  </si>
  <si>
    <t>Numero de empresas  conformadas</t>
  </si>
  <si>
    <t>Un plan elaborado</t>
  </si>
  <si>
    <t>Sendero construido</t>
  </si>
  <si>
    <t>Construcción un sendero ecoturístico al monumento</t>
  </si>
  <si>
    <t>100% meci implementado en el cuatrienio</t>
  </si>
  <si>
    <t>4 eventos de rendición de cuentas</t>
  </si>
  <si>
    <t>Apoyo a la logistica de rendiciòn de cuentas e informes permanentes.</t>
  </si>
  <si>
    <t>4 capacitaciones</t>
  </si>
  <si>
    <t>Estudio y diseño de la reestructuración o reforma administrativa del municipio</t>
  </si>
  <si>
    <t>Fortalecimiento al consejo territorial de planeación</t>
  </si>
  <si>
    <t>Apoyo y fortalecimiento al banco de programas y proyectos</t>
  </si>
  <si>
    <t>Construccion del Plan de Desarrollo</t>
  </si>
  <si>
    <t>El plan de desarrollo formulado</t>
  </si>
  <si>
    <t>Formulación y evaluación del plan de desarrollo 2012 - 2015</t>
  </si>
  <si>
    <t>Conformacion del concejo de planacion territorial</t>
  </si>
  <si>
    <t>El CPT conformado</t>
  </si>
  <si>
    <t>Actaualizar el Esquema de Ordenamiento Territorial</t>
  </si>
  <si>
    <t>El EOT actualizado al 100%</t>
  </si>
  <si>
    <t>Actualización, ajustes y difusión al Esquema de Ordenamiento Territorial</t>
  </si>
  <si>
    <t>Implementacion del Modelo Estandar de Constrol Interno</t>
  </si>
  <si>
    <t>Implementación del MECI en todos sus componentes</t>
  </si>
  <si>
    <t>Un banco de programas y proyectos implementado y funcionando</t>
  </si>
  <si>
    <t>Implementación de la nueva estructura administrativa</t>
  </si>
  <si>
    <t>Nueva estructura administrativa implentada</t>
  </si>
  <si>
    <t>Archivo municipal depurado y conservado</t>
  </si>
  <si>
    <t>Un archivo municiapal depurado e implementado</t>
  </si>
  <si>
    <t>FORTALECIMIENTO DE LA GESTIÓN MUNICIPAL.</t>
  </si>
  <si>
    <t xml:space="preserve">Apoyar técnica y financieramente el establecimiento de proyectos para el cultivo de café </t>
  </si>
  <si>
    <t>Apoyar técnica y financieramente el establecimiento de proyectos  de cultivos transitorios de lulo, maíz, plátano y yuca</t>
  </si>
  <si>
    <t>Programa de mejoramiento de trapiches comunitarios.</t>
  </si>
  <si>
    <t>Construcción de la planta despulpadora del municipio.</t>
  </si>
  <si>
    <t>Crear el consejo de desarrollo rural</t>
  </si>
  <si>
    <t>Un consejo de desarrollo rural constituido</t>
  </si>
  <si>
    <t>Constitución del consejo municipal de desarrollo rural</t>
  </si>
  <si>
    <t>100% de los productores con asistencia técnica</t>
  </si>
  <si>
    <t>Porcentaje de productores con asistencia técnica</t>
  </si>
  <si>
    <t>Contratación con entidades que prestan servicios de asistencia técnica agropecuaria</t>
  </si>
  <si>
    <t>Mejorar la genética y nutricionalmente los bovinos del municipio</t>
  </si>
  <si>
    <t>Numero de bovinos atendidos</t>
  </si>
  <si>
    <t>Establecer 5 proyectos con especies menores</t>
  </si>
  <si>
    <t>Numero de proyectos establecidos con especies menores</t>
  </si>
  <si>
    <t>Establecer 15 hectáreas de cultivos de café tecnificados</t>
  </si>
  <si>
    <t xml:space="preserve">Numero de hectáreas establecidas con  cultivo del café </t>
  </si>
  <si>
    <t>Establecer 5 hectáreas cultivos de cacao tecnificados</t>
  </si>
  <si>
    <t xml:space="preserve">Numero de hectáreas establecidas con  cultivo del cacao </t>
  </si>
  <si>
    <t>Establecer 10 hectáreas cultivo de la caña panelera</t>
  </si>
  <si>
    <t>Numero de hectáreas establecidas con cultivo de caña panelera</t>
  </si>
  <si>
    <t>Establecer 16 hectáreas  de cultivos transitorios</t>
  </si>
  <si>
    <t>Construir un vivero</t>
  </si>
  <si>
    <t>Vivero construido</t>
  </si>
  <si>
    <t>Un programa de sanidad pecuaria y agrícola</t>
  </si>
  <si>
    <t xml:space="preserve">Programa de sanidad </t>
  </si>
  <si>
    <t>programa de manejo y control fitosanitario (plagas y enfermedades y de sanidad animal)</t>
  </si>
  <si>
    <t>mejorar el 100% de los trapiches comunitarios</t>
  </si>
  <si>
    <t>trapiches comunitarios mejorados</t>
  </si>
  <si>
    <t>Construir una planta despulpadora</t>
  </si>
  <si>
    <t>Una planta implementada</t>
  </si>
  <si>
    <r>
      <t xml:space="preserve">EL PLEC´S, formulado, </t>
    </r>
    <r>
      <rPr>
        <sz val="10"/>
        <color indexed="8"/>
        <rFont val="Arial Narrow"/>
        <family val="2"/>
      </rPr>
      <t xml:space="preserve">actualizado y aplicado </t>
    </r>
  </si>
  <si>
    <t>Comisario de familias con herramientas</t>
  </si>
  <si>
    <t xml:space="preserve">Implementación del Plan Integral Único </t>
  </si>
  <si>
    <t>Gestionar recursos para la reubicación de la estación de policía del municipio</t>
  </si>
  <si>
    <t>MUNICIPIO DE LA VICTORIA</t>
  </si>
  <si>
    <t>DEPORTE</t>
  </si>
  <si>
    <t>OTROS SERVCIOS PUBLICOS</t>
  </si>
  <si>
    <t>13. POBLACION VULNERABLE</t>
  </si>
  <si>
    <t>El banco programas y  proyectos implementado</t>
  </si>
  <si>
    <t xml:space="preserve">Adquisición software  necesarios par la administración municipal </t>
  </si>
  <si>
    <t>Rendición de cuentas</t>
  </si>
  <si>
    <t>Capacitaciones realizadas</t>
  </si>
  <si>
    <t xml:space="preserve">Software adquirido y harware </t>
  </si>
  <si>
    <t>Fortalecimiento, capacitación y asistencia técnica orientados al desarrollo eficiente de las competencias de ley, a los funcionarios de la alcaldìa municipal en  talento humano, proyectos de inversiòn, actualizaciòn de normas, instrumentos de desarrollo sostenible.</t>
  </si>
  <si>
    <t>POLÍTICO-ADMINISTRATIVA</t>
  </si>
  <si>
    <t xml:space="preserve">LA ADMINISTRACIÓN PÚBLICA EFICIENTE PARA EL VICTORIANO </t>
  </si>
  <si>
    <t>15. FORTALECIMIENTO INSTITUCIONAL</t>
  </si>
  <si>
    <t>16. JUSTICIA</t>
  </si>
  <si>
    <t>Estrategia Formulada</t>
  </si>
  <si>
    <t>Creación del Consejo Municipal de Paz  y apoyo para la  Implementación de la estrategia laboratorio de paz</t>
  </si>
  <si>
    <t>Fortalecimiento al Fondo Cuenta</t>
  </si>
  <si>
    <t>1 Fondo Cuenta</t>
  </si>
  <si>
    <t>Atender el 100% de los casos de violencia intrafamiliar en la comisaría de familia</t>
  </si>
  <si>
    <t>Porcentaje de casos atendidos en la comisaria de familia</t>
  </si>
  <si>
    <t>Instancia territorial en ddhh y dih (dec. 4100/2011)</t>
  </si>
  <si>
    <t>Plan integral único de desplazados PIU.</t>
  </si>
  <si>
    <t>Construcion de la estrategia "laboratorio de paz" de occidente de boyaca</t>
  </si>
  <si>
    <t>Concejo municipal de política social fortalecido</t>
  </si>
  <si>
    <t>Numero de jornadas de capacitación en derechos humanos</t>
  </si>
  <si>
    <t>Apoyar técnica y financieramente el establecimiento de un vivero municipal para la porucción de especies forestales, cítricos, frutales, oranamentales  y otras</t>
  </si>
  <si>
    <t>Fomento, desarrollo y practica del deporte, la recreación y el aprovechamiento del tiempo libre y de juegos deportivos interveredales e intermunicipales</t>
  </si>
  <si>
    <t>Pago de servicios públicos de instituciones educativas y seguros estudiantiles</t>
  </si>
  <si>
    <t>Construcción unidades sanitarias para el área rural y urbana</t>
  </si>
  <si>
    <t>Implementación del Helipuerto</t>
  </si>
  <si>
    <t>Elipuerto implementado</t>
  </si>
  <si>
    <t>Implementación y puesta en funcionamiento del Helipuerto del municipio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</si>
</sst>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\ _€_-;\-* #,##0.0\ _€_-;_-* &quot;-&quot;??\ _€_-;_-@_-"/>
    <numFmt numFmtId="187" formatCode="_-* #,##0\ _€_-;\-* #,##0\ _€_-;_-* &quot;-&quot;??\ _€_-;_-@_-"/>
    <numFmt numFmtId="188" formatCode="0.0%"/>
    <numFmt numFmtId="189" formatCode="#,##0.00_);\-#,##0.00"/>
    <numFmt numFmtId="190" formatCode="0.00%_);\-0.00%"/>
    <numFmt numFmtId="191" formatCode="#,##0.00_ ;\-#,##0.00\ "/>
    <numFmt numFmtId="192" formatCode="#,##0\ _€"/>
    <numFmt numFmtId="193" formatCode="0.0"/>
    <numFmt numFmtId="194" formatCode="_-* #,##0.000\ _€_-;\-* #,##0.000\ _€_-;_-* &quot;-&quot;??\ _€_-;_-@_-"/>
    <numFmt numFmtId="195" formatCode="_-* #,##0.0000\ _€_-;\-* #,##0.0000\ _€_-;_-* &quot;-&quot;??\ _€_-;_-@_-"/>
    <numFmt numFmtId="196" formatCode="0.000"/>
    <numFmt numFmtId="197" formatCode="_-* #,##0.0\ _€_-;\-* #,##0.0\ _€_-;_-* &quot;-&quot;\ _€_-;_-@_-"/>
    <numFmt numFmtId="198" formatCode="_-* #,##0.00\ _€_-;\-* #,##0.00\ _€_-;_-* &quot;-&quot;\ _€_-;_-@_-"/>
    <numFmt numFmtId="199" formatCode="#,##0.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 * #,##0.00_ ;_ * \-#,##0.00_ ;_ * &quot;-&quot;??_ ;_ @_ "/>
    <numFmt numFmtId="205" formatCode="_(* #,##0_);_(* \(#,##0\);_(* &quot;-&quot;??_);_(@_)"/>
    <numFmt numFmtId="206" formatCode="_ * #,##0_ ;_ * \-#,##0_ ;_ * &quot;-&quot;??_ ;_ @_ "/>
    <numFmt numFmtId="207" formatCode="_(* #,##0.0_);_(* \(#,##0.0\);_(* &quot;-&quot;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8"/>
      <name val="Tahoma"/>
      <family val="2"/>
    </font>
    <font>
      <b/>
      <strike/>
      <sz val="10"/>
      <name val="Arial Narrow"/>
      <family val="2"/>
    </font>
    <font>
      <strike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Arial"/>
      <family val="2"/>
    </font>
    <font>
      <sz val="10"/>
      <color indexed="62"/>
      <name val="Arial Narrow"/>
      <family val="2"/>
    </font>
    <font>
      <sz val="10"/>
      <color indexed="60"/>
      <name val="Arial Narrow"/>
      <family val="2"/>
    </font>
    <font>
      <sz val="10"/>
      <color indexed="8"/>
      <name val="Calibri"/>
      <family val="2"/>
    </font>
    <font>
      <b/>
      <u val="single"/>
      <sz val="10"/>
      <color indexed="10"/>
      <name val="Arial Narrow"/>
      <family val="2"/>
    </font>
    <font>
      <b/>
      <strike/>
      <sz val="10"/>
      <color indexed="8"/>
      <name val="Arial Narrow"/>
      <family val="2"/>
    </font>
    <font>
      <strike/>
      <sz val="10"/>
      <color indexed="8"/>
      <name val="Arial Narrow"/>
      <family val="2"/>
    </font>
    <font>
      <b/>
      <sz val="10"/>
      <color indexed="62"/>
      <name val="Arial Narrow"/>
      <family val="2"/>
    </font>
    <font>
      <b/>
      <sz val="10"/>
      <color indexed="2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1"/>
      <name val="Arial"/>
      <family val="2"/>
    </font>
    <font>
      <sz val="10"/>
      <color theme="3"/>
      <name val="Arial Narrow"/>
      <family val="2"/>
    </font>
    <font>
      <sz val="10"/>
      <color theme="9" tint="-0.4999699890613556"/>
      <name val="Arial Narrow"/>
      <family val="2"/>
    </font>
    <font>
      <b/>
      <sz val="10"/>
      <color theme="0"/>
      <name val="Arial Narrow"/>
      <family val="2"/>
    </font>
    <font>
      <b/>
      <sz val="10"/>
      <color theme="3"/>
      <name val="Arial Narrow"/>
      <family val="2"/>
    </font>
    <font>
      <b/>
      <sz val="10"/>
      <color theme="0" tint="-0.4999699890613556"/>
      <name val="Arial Narrow"/>
      <family val="2"/>
    </font>
    <font>
      <sz val="10"/>
      <color theme="1"/>
      <name val="Calibri"/>
      <family val="2"/>
    </font>
    <font>
      <b/>
      <strike/>
      <sz val="10"/>
      <color rgb="FF000000"/>
      <name val="Arial Narrow"/>
      <family val="2"/>
    </font>
    <font>
      <strike/>
      <sz val="10"/>
      <color theme="1"/>
      <name val="Arial Narrow"/>
      <family val="2"/>
    </font>
    <font>
      <b/>
      <u val="single"/>
      <sz val="10"/>
      <color rgb="FFFF0000"/>
      <name val="Arial Narrow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F315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666699"/>
      </left>
      <right style="thin">
        <color rgb="FF666699"/>
      </right>
      <top/>
      <bottom style="thin">
        <color rgb="FF666699"/>
      </bottom>
    </border>
    <border>
      <left style="thin">
        <color rgb="FF666699"/>
      </left>
      <right style="thin">
        <color rgb="FF666699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47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99" fontId="65" fillId="0" borderId="10" xfId="0" applyNumberFormat="1" applyFont="1" applyFill="1" applyBorder="1" applyAlignment="1">
      <alignment/>
    </xf>
    <xf numFmtId="0" fontId="6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99" fontId="65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187" fontId="65" fillId="0" borderId="0" xfId="48" applyNumberFormat="1" applyFont="1" applyAlignment="1">
      <alignment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/>
    </xf>
    <xf numFmtId="187" fontId="65" fillId="0" borderId="0" xfId="48" applyNumberFormat="1" applyFont="1" applyFill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199" fontId="47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199" fontId="33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99" fontId="4" fillId="0" borderId="10" xfId="0" applyNumberFormat="1" applyFont="1" applyFill="1" applyBorder="1" applyAlignment="1">
      <alignment/>
    </xf>
    <xf numFmtId="199" fontId="4" fillId="0" borderId="13" xfId="0" applyNumberFormat="1" applyFont="1" applyFill="1" applyBorder="1" applyAlignment="1">
      <alignment/>
    </xf>
    <xf numFmtId="0" fontId="4" fillId="0" borderId="0" xfId="0" applyFont="1" applyAlignment="1">
      <alignment/>
    </xf>
    <xf numFmtId="199" fontId="4" fillId="0" borderId="0" xfId="0" applyNumberFormat="1" applyFont="1" applyFill="1" applyAlignment="1">
      <alignment/>
    </xf>
    <xf numFmtId="0" fontId="67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199" fontId="9" fillId="0" borderId="0" xfId="0" applyNumberFormat="1" applyFont="1" applyAlignment="1">
      <alignment/>
    </xf>
    <xf numFmtId="199" fontId="4" fillId="0" borderId="10" xfId="48" applyNumberFormat="1" applyFont="1" applyBorder="1" applyAlignment="1">
      <alignment horizontal="right"/>
    </xf>
    <xf numFmtId="207" fontId="11" fillId="33" borderId="14" xfId="48" applyNumberFormat="1" applyFont="1" applyFill="1" applyBorder="1" applyAlignment="1" applyProtection="1">
      <alignment/>
      <protection/>
    </xf>
    <xf numFmtId="199" fontId="11" fillId="33" borderId="14" xfId="48" applyNumberFormat="1" applyFont="1" applyFill="1" applyBorder="1" applyAlignment="1" applyProtection="1">
      <alignment horizontal="right"/>
      <protection/>
    </xf>
    <xf numFmtId="207" fontId="5" fillId="6" borderId="10" xfId="48" applyNumberFormat="1" applyFont="1" applyFill="1" applyBorder="1" applyAlignment="1" quotePrefix="1">
      <alignment horizontal="left"/>
    </xf>
    <xf numFmtId="199" fontId="5" fillId="6" borderId="10" xfId="48" applyNumberFormat="1" applyFont="1" applyFill="1" applyBorder="1" applyAlignment="1">
      <alignment horizontal="right"/>
    </xf>
    <xf numFmtId="207" fontId="4" fillId="0" borderId="10" xfId="48" applyNumberFormat="1" applyFont="1" applyFill="1" applyBorder="1" applyAlignment="1" quotePrefix="1">
      <alignment horizontal="left"/>
    </xf>
    <xf numFmtId="199" fontId="4" fillId="0" borderId="10" xfId="48" applyNumberFormat="1" applyFont="1" applyFill="1" applyBorder="1" applyAlignment="1">
      <alignment horizontal="right"/>
    </xf>
    <xf numFmtId="207" fontId="11" fillId="33" borderId="15" xfId="48" applyNumberFormat="1" applyFont="1" applyFill="1" applyBorder="1" applyAlignment="1" applyProtection="1">
      <alignment/>
      <protection/>
    </xf>
    <xf numFmtId="199" fontId="11" fillId="33" borderId="15" xfId="48" applyNumberFormat="1" applyFont="1" applyFill="1" applyBorder="1" applyAlignment="1" applyProtection="1">
      <alignment horizontal="right"/>
      <protection/>
    </xf>
    <xf numFmtId="207" fontId="5" fillId="6" borderId="10" xfId="48" applyNumberFormat="1" applyFont="1" applyFill="1" applyBorder="1" applyAlignment="1" applyProtection="1">
      <alignment/>
      <protection/>
    </xf>
    <xf numFmtId="199" fontId="5" fillId="6" borderId="10" xfId="48" applyNumberFormat="1" applyFont="1" applyFill="1" applyBorder="1" applyAlignment="1" applyProtection="1">
      <alignment horizontal="right"/>
      <protection/>
    </xf>
    <xf numFmtId="207" fontId="4" fillId="34" borderId="10" xfId="48" applyNumberFormat="1" applyFont="1" applyFill="1" applyBorder="1" applyAlignment="1" quotePrefix="1">
      <alignment horizontal="left"/>
    </xf>
    <xf numFmtId="207" fontId="5" fillId="34" borderId="10" xfId="48" applyNumberFormat="1" applyFont="1" applyFill="1" applyBorder="1" applyAlignment="1" quotePrefix="1">
      <alignment horizontal="left"/>
    </xf>
    <xf numFmtId="199" fontId="5" fillId="34" borderId="10" xfId="48" applyNumberFormat="1" applyFont="1" applyFill="1" applyBorder="1" applyAlignment="1" quotePrefix="1">
      <alignment horizontal="right"/>
    </xf>
    <xf numFmtId="207" fontId="5" fillId="0" borderId="10" xfId="48" applyNumberFormat="1" applyFont="1" applyBorder="1" applyAlignment="1" quotePrefix="1">
      <alignment horizontal="left"/>
    </xf>
    <xf numFmtId="199" fontId="5" fillId="0" borderId="10" xfId="48" applyNumberFormat="1" applyFont="1" applyBorder="1" applyAlignment="1" quotePrefix="1">
      <alignment horizontal="right"/>
    </xf>
    <xf numFmtId="207" fontId="4" fillId="0" borderId="10" xfId="48" applyNumberFormat="1" applyFont="1" applyBorder="1" applyAlignment="1">
      <alignment/>
    </xf>
    <xf numFmtId="207" fontId="4" fillId="0" borderId="10" xfId="48" applyNumberFormat="1" applyFont="1" applyBorder="1" applyAlignment="1">
      <alignment horizontal="left" vertical="top" wrapText="1"/>
    </xf>
    <xf numFmtId="207" fontId="4" fillId="0" borderId="10" xfId="48" applyNumberFormat="1" applyFont="1" applyFill="1" applyBorder="1" applyAlignment="1" quotePrefix="1">
      <alignment horizontal="left" vertical="top" wrapText="1"/>
    </xf>
    <xf numFmtId="199" fontId="4" fillId="0" borderId="10" xfId="48" applyNumberFormat="1" applyFont="1" applyFill="1" applyBorder="1" applyAlignment="1" quotePrefix="1">
      <alignment horizontal="right" vertical="top" wrapText="1"/>
    </xf>
    <xf numFmtId="199" fontId="4" fillId="0" borderId="10" xfId="48" applyNumberFormat="1" applyFont="1" applyBorder="1" applyAlignment="1">
      <alignment horizontal="right" vertical="top" wrapText="1"/>
    </xf>
    <xf numFmtId="207" fontId="5" fillId="0" borderId="10" xfId="48" applyNumberFormat="1" applyFont="1" applyBorder="1" applyAlignment="1" quotePrefix="1">
      <alignment horizontal="left" vertical="top" wrapText="1"/>
    </xf>
    <xf numFmtId="199" fontId="5" fillId="0" borderId="10" xfId="48" applyNumberFormat="1" applyFont="1" applyFill="1" applyBorder="1" applyAlignment="1" quotePrefix="1">
      <alignment horizontal="right" vertical="top" wrapText="1"/>
    </xf>
    <xf numFmtId="199" fontId="5" fillId="0" borderId="10" xfId="48" applyNumberFormat="1" applyFont="1" applyBorder="1" applyAlignment="1" quotePrefix="1">
      <alignment horizontal="right" vertical="top" wrapText="1"/>
    </xf>
    <xf numFmtId="207" fontId="5" fillId="6" borderId="10" xfId="48" applyNumberFormat="1" applyFont="1" applyFill="1" applyBorder="1" applyAlignment="1">
      <alignment/>
    </xf>
    <xf numFmtId="207" fontId="11" fillId="33" borderId="14" xfId="48" applyNumberFormat="1" applyFont="1" applyFill="1" applyBorder="1" applyAlignment="1" applyProtection="1" quotePrefix="1">
      <alignment horizontal="left"/>
      <protection/>
    </xf>
    <xf numFmtId="207" fontId="8" fillId="0" borderId="0" xfId="48" applyNumberFormat="1" applyFont="1" applyAlignment="1">
      <alignment/>
    </xf>
    <xf numFmtId="199" fontId="8" fillId="0" borderId="0" xfId="48" applyNumberFormat="1" applyFont="1" applyAlignment="1">
      <alignment/>
    </xf>
    <xf numFmtId="207" fontId="10" fillId="0" borderId="0" xfId="48" applyNumberFormat="1" applyFont="1" applyAlignment="1" quotePrefix="1">
      <alignment horizontal="center"/>
    </xf>
    <xf numFmtId="199" fontId="10" fillId="0" borderId="0" xfId="48" applyNumberFormat="1" applyFont="1" applyAlignment="1" quotePrefix="1">
      <alignment horizontal="center"/>
    </xf>
    <xf numFmtId="207" fontId="11" fillId="35" borderId="10" xfId="48" applyNumberFormat="1" applyFont="1" applyFill="1" applyBorder="1" applyAlignment="1" applyProtection="1">
      <alignment horizontal="center" vertical="center" wrapText="1"/>
      <protection/>
    </xf>
    <xf numFmtId="199" fontId="11" fillId="35" borderId="10" xfId="48" applyNumberFormat="1" applyFont="1" applyFill="1" applyBorder="1" applyAlignment="1" applyProtection="1">
      <alignment horizontal="center" vertical="center" wrapText="1"/>
      <protection/>
    </xf>
    <xf numFmtId="207" fontId="10" fillId="0" borderId="10" xfId="48" applyNumberFormat="1" applyFont="1" applyBorder="1" applyAlignment="1">
      <alignment/>
    </xf>
    <xf numFmtId="199" fontId="8" fillId="0" borderId="10" xfId="48" applyNumberFormat="1" applyFont="1" applyBorder="1" applyAlignment="1">
      <alignment/>
    </xf>
    <xf numFmtId="207" fontId="11" fillId="33" borderId="10" xfId="48" applyNumberFormat="1" applyFont="1" applyFill="1" applyBorder="1" applyAlignment="1" applyProtection="1" quotePrefix="1">
      <alignment horizontal="left"/>
      <protection/>
    </xf>
    <xf numFmtId="199" fontId="11" fillId="33" borderId="10" xfId="48" applyNumberFormat="1" applyFont="1" applyFill="1" applyBorder="1" applyAlignment="1" applyProtection="1" quotePrefix="1">
      <alignment horizontal="right"/>
      <protection/>
    </xf>
    <xf numFmtId="0" fontId="68" fillId="0" borderId="0" xfId="0" applyFont="1" applyAlignment="1">
      <alignment horizontal="left"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1" fillId="35" borderId="10" xfId="54" applyFont="1" applyFill="1" applyBorder="1" applyAlignment="1" applyProtection="1">
      <alignment horizontal="center" vertical="center" wrapText="1"/>
      <protection/>
    </xf>
    <xf numFmtId="199" fontId="11" fillId="35" borderId="10" xfId="54" applyNumberFormat="1" applyFont="1" applyFill="1" applyBorder="1" applyAlignment="1" applyProtection="1">
      <alignment horizontal="center" vertical="center" wrapText="1"/>
      <protection/>
    </xf>
    <xf numFmtId="207" fontId="11" fillId="33" borderId="10" xfId="48" applyNumberFormat="1" applyFont="1" applyFill="1" applyBorder="1" applyAlignment="1" applyProtection="1">
      <alignment/>
      <protection/>
    </xf>
    <xf numFmtId="199" fontId="11" fillId="33" borderId="10" xfId="48" applyNumberFormat="1" applyFont="1" applyFill="1" applyBorder="1" applyAlignment="1" applyProtection="1">
      <alignment horizontal="right"/>
      <protection/>
    </xf>
    <xf numFmtId="199" fontId="69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9" fontId="4" fillId="0" borderId="10" xfId="0" applyNumberFormat="1" applyFont="1" applyFill="1" applyBorder="1" applyAlignment="1">
      <alignment horizontal="right" vertical="center" wrapText="1"/>
    </xf>
    <xf numFmtId="199" fontId="4" fillId="0" borderId="10" xfId="0" applyNumberFormat="1" applyFont="1" applyFill="1" applyBorder="1" applyAlignment="1">
      <alignment horizontal="right" vertical="center"/>
    </xf>
    <xf numFmtId="0" fontId="65" fillId="0" borderId="10" xfId="0" applyFont="1" applyBorder="1" applyAlignment="1">
      <alignment horizontal="left" vertical="center" wrapText="1"/>
    </xf>
    <xf numFmtId="207" fontId="4" fillId="0" borderId="10" xfId="48" applyNumberFormat="1" applyFont="1" applyFill="1" applyBorder="1" applyAlignment="1">
      <alignment horizontal="left"/>
    </xf>
    <xf numFmtId="0" fontId="6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99" fontId="65" fillId="36" borderId="10" xfId="0" applyNumberFormat="1" applyFont="1" applyFill="1" applyBorder="1" applyAlignment="1">
      <alignment/>
    </xf>
    <xf numFmtId="199" fontId="4" fillId="36" borderId="10" xfId="0" applyNumberFormat="1" applyFont="1" applyFill="1" applyBorder="1" applyAlignment="1">
      <alignment/>
    </xf>
    <xf numFmtId="0" fontId="66" fillId="0" borderId="10" xfId="0" applyFont="1" applyFill="1" applyBorder="1" applyAlignment="1">
      <alignment horizontal="left" vertical="center" wrapText="1"/>
    </xf>
    <xf numFmtId="199" fontId="70" fillId="0" borderId="10" xfId="0" applyNumberFormat="1" applyFont="1" applyFill="1" applyBorder="1" applyAlignment="1">
      <alignment/>
    </xf>
    <xf numFmtId="199" fontId="70" fillId="36" borderId="10" xfId="0" applyNumberFormat="1" applyFont="1" applyFill="1" applyBorder="1" applyAlignment="1">
      <alignment/>
    </xf>
    <xf numFmtId="0" fontId="70" fillId="0" borderId="0" xfId="0" applyFont="1" applyAlignment="1">
      <alignment/>
    </xf>
    <xf numFmtId="199" fontId="5" fillId="0" borderId="10" xfId="0" applyNumberFormat="1" applyFont="1" applyFill="1" applyBorder="1" applyAlignment="1">
      <alignment/>
    </xf>
    <xf numFmtId="199" fontId="5" fillId="36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4" fillId="0" borderId="0" xfId="0" applyFont="1" applyBorder="1" applyAlignment="1">
      <alignment vertical="center" textRotation="90"/>
    </xf>
    <xf numFmtId="0" fontId="64" fillId="0" borderId="0" xfId="0" applyFont="1" applyBorder="1" applyAlignment="1">
      <alignment horizontal="left"/>
    </xf>
    <xf numFmtId="0" fontId="70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6" fillId="0" borderId="16" xfId="0" applyFont="1" applyFill="1" applyBorder="1" applyAlignment="1">
      <alignment horizontal="left" vertical="center" wrapText="1"/>
    </xf>
    <xf numFmtId="199" fontId="70" fillId="0" borderId="16" xfId="0" applyNumberFormat="1" applyFont="1" applyFill="1" applyBorder="1" applyAlignment="1">
      <alignment/>
    </xf>
    <xf numFmtId="0" fontId="66" fillId="0" borderId="17" xfId="0" applyFont="1" applyBorder="1" applyAlignment="1">
      <alignment horizontal="left" vertical="center" wrapText="1"/>
    </xf>
    <xf numFmtId="0" fontId="70" fillId="0" borderId="11" xfId="0" applyFont="1" applyBorder="1" applyAlignment="1">
      <alignment vertical="center" wrapText="1"/>
    </xf>
    <xf numFmtId="0" fontId="66" fillId="0" borderId="18" xfId="0" applyFont="1" applyBorder="1" applyAlignment="1">
      <alignment vertical="center" wrapText="1"/>
    </xf>
    <xf numFmtId="199" fontId="65" fillId="0" borderId="13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left" vertical="center" wrapText="1"/>
    </xf>
    <xf numFmtId="0" fontId="70" fillId="0" borderId="0" xfId="0" applyFont="1" applyBorder="1" applyAlignment="1">
      <alignment vertical="center" wrapText="1"/>
    </xf>
    <xf numFmtId="0" fontId="66" fillId="0" borderId="19" xfId="0" applyFont="1" applyBorder="1" applyAlignment="1">
      <alignment vertical="center" wrapText="1"/>
    </xf>
    <xf numFmtId="0" fontId="66" fillId="0" borderId="12" xfId="0" applyFont="1" applyFill="1" applyBorder="1" applyAlignment="1">
      <alignment horizontal="left" vertical="center" wrapText="1"/>
    </xf>
    <xf numFmtId="10" fontId="70" fillId="0" borderId="10" xfId="0" applyNumberFormat="1" applyFont="1" applyFill="1" applyBorder="1" applyAlignment="1">
      <alignment/>
    </xf>
    <xf numFmtId="10" fontId="33" fillId="0" borderId="0" xfId="0" applyNumberFormat="1" applyFont="1" applyAlignment="1">
      <alignment/>
    </xf>
    <xf numFmtId="10" fontId="65" fillId="0" borderId="20" xfId="0" applyNumberFormat="1" applyFont="1" applyFill="1" applyBorder="1" applyAlignment="1">
      <alignment/>
    </xf>
    <xf numFmtId="10" fontId="65" fillId="0" borderId="21" xfId="0" applyNumberFormat="1" applyFont="1" applyFill="1" applyBorder="1" applyAlignment="1">
      <alignment/>
    </xf>
    <xf numFmtId="10" fontId="65" fillId="0" borderId="12" xfId="0" applyNumberFormat="1" applyFont="1" applyFill="1" applyBorder="1" applyAlignment="1">
      <alignment/>
    </xf>
    <xf numFmtId="10" fontId="70" fillId="0" borderId="16" xfId="0" applyNumberFormat="1" applyFont="1" applyFill="1" applyBorder="1" applyAlignment="1">
      <alignment/>
    </xf>
    <xf numFmtId="10" fontId="5" fillId="0" borderId="10" xfId="0" applyNumberFormat="1" applyFont="1" applyFill="1" applyBorder="1" applyAlignment="1">
      <alignment/>
    </xf>
    <xf numFmtId="10" fontId="65" fillId="0" borderId="0" xfId="48" applyNumberFormat="1" applyFont="1" applyAlignment="1">
      <alignment/>
    </xf>
    <xf numFmtId="10" fontId="4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wrapText="1"/>
    </xf>
    <xf numFmtId="0" fontId="70" fillId="0" borderId="10" xfId="0" applyFont="1" applyFill="1" applyBorder="1" applyAlignment="1">
      <alignment/>
    </xf>
    <xf numFmtId="0" fontId="5" fillId="0" borderId="12" xfId="0" applyFont="1" applyBorder="1" applyAlignment="1">
      <alignment horizontal="justify" vertical="center"/>
    </xf>
    <xf numFmtId="10" fontId="4" fillId="0" borderId="0" xfId="0" applyNumberFormat="1" applyFont="1" applyAlignment="1">
      <alignment/>
    </xf>
    <xf numFmtId="0" fontId="70" fillId="0" borderId="17" xfId="0" applyFont="1" applyBorder="1" applyAlignment="1">
      <alignment horizontal="left" vertical="center" wrapText="1"/>
    </xf>
    <xf numFmtId="10" fontId="65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10" fontId="65" fillId="36" borderId="10" xfId="0" applyNumberFormat="1" applyFont="1" applyFill="1" applyBorder="1" applyAlignment="1">
      <alignment/>
    </xf>
    <xf numFmtId="10" fontId="70" fillId="36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99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87" fontId="4" fillId="0" borderId="0" xfId="48" applyNumberFormat="1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10" fontId="4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wrapText="1"/>
    </xf>
    <xf numFmtId="199" fontId="4" fillId="0" borderId="16" xfId="0" applyNumberFormat="1" applyFont="1" applyFill="1" applyBorder="1" applyAlignment="1">
      <alignment/>
    </xf>
    <xf numFmtId="10" fontId="4" fillId="0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7" fillId="37" borderId="10" xfId="0" applyFont="1" applyFill="1" applyBorder="1" applyAlignment="1">
      <alignment horizontal="left" vertical="center" wrapText="1"/>
    </xf>
    <xf numFmtId="10" fontId="4" fillId="36" borderId="10" xfId="0" applyNumberFormat="1" applyFont="1" applyFill="1" applyBorder="1" applyAlignment="1">
      <alignment/>
    </xf>
    <xf numFmtId="10" fontId="5" fillId="36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indent="4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10" fontId="4" fillId="0" borderId="0" xfId="48" applyNumberFormat="1" applyFont="1" applyFill="1" applyAlignment="1">
      <alignment/>
    </xf>
    <xf numFmtId="0" fontId="4" fillId="0" borderId="0" xfId="0" applyFont="1" applyAlignment="1">
      <alignment horizontal="left" vertical="center" indent="4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86" fontId="4" fillId="0" borderId="0" xfId="48" applyNumberFormat="1" applyFont="1" applyFill="1" applyAlignment="1">
      <alignment/>
    </xf>
    <xf numFmtId="199" fontId="5" fillId="0" borderId="0" xfId="0" applyNumberFormat="1" applyFont="1" applyFill="1" applyAlignment="1">
      <alignment/>
    </xf>
    <xf numFmtId="199" fontId="5" fillId="0" borderId="0" xfId="0" applyNumberFormat="1" applyFont="1" applyAlignment="1">
      <alignment/>
    </xf>
    <xf numFmtId="199" fontId="5" fillId="0" borderId="10" xfId="48" applyNumberFormat="1" applyFont="1" applyFill="1" applyBorder="1" applyAlignment="1">
      <alignment/>
    </xf>
    <xf numFmtId="10" fontId="5" fillId="0" borderId="10" xfId="48" applyNumberFormat="1" applyFont="1" applyFill="1" applyBorder="1" applyAlignment="1">
      <alignment/>
    </xf>
    <xf numFmtId="199" fontId="5" fillId="0" borderId="12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10" fontId="4" fillId="36" borderId="20" xfId="0" applyNumberFormat="1" applyFont="1" applyFill="1" applyBorder="1" applyAlignment="1">
      <alignment/>
    </xf>
    <xf numFmtId="10" fontId="4" fillId="36" borderId="21" xfId="0" applyNumberFormat="1" applyFont="1" applyFill="1" applyBorder="1" applyAlignment="1">
      <alignment/>
    </xf>
    <xf numFmtId="10" fontId="4" fillId="36" borderId="12" xfId="0" applyNumberFormat="1" applyFont="1" applyFill="1" applyBorder="1" applyAlignment="1">
      <alignment/>
    </xf>
    <xf numFmtId="10" fontId="5" fillId="36" borderId="10" xfId="48" applyNumberFormat="1" applyFont="1" applyFill="1" applyBorder="1" applyAlignment="1">
      <alignment/>
    </xf>
    <xf numFmtId="0" fontId="5" fillId="0" borderId="0" xfId="0" applyFont="1" applyAlignment="1">
      <alignment horizontal="justify" vertical="center"/>
    </xf>
    <xf numFmtId="199" fontId="5" fillId="0" borderId="13" xfId="0" applyNumberFormat="1" applyFont="1" applyFill="1" applyBorder="1" applyAlignment="1">
      <alignment/>
    </xf>
    <xf numFmtId="10" fontId="5" fillId="0" borderId="13" xfId="0" applyNumberFormat="1" applyFont="1" applyFill="1" applyBorder="1" applyAlignment="1">
      <alignment/>
    </xf>
    <xf numFmtId="10" fontId="5" fillId="36" borderId="13" xfId="0" applyNumberFormat="1" applyFont="1" applyFill="1" applyBorder="1" applyAlignment="1">
      <alignment/>
    </xf>
    <xf numFmtId="0" fontId="4" fillId="0" borderId="0" xfId="0" applyFont="1" applyAlignment="1">
      <alignment horizontal="justify" vertical="center"/>
    </xf>
    <xf numFmtId="10" fontId="4" fillId="0" borderId="0" xfId="0" applyNumberFormat="1" applyFont="1" applyFill="1" applyAlignment="1">
      <alignment/>
    </xf>
    <xf numFmtId="0" fontId="5" fillId="36" borderId="2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199" fontId="4" fillId="0" borderId="20" xfId="0" applyNumberFormat="1" applyFont="1" applyFill="1" applyBorder="1" applyAlignment="1">
      <alignment/>
    </xf>
    <xf numFmtId="199" fontId="4" fillId="36" borderId="20" xfId="0" applyNumberFormat="1" applyFont="1" applyFill="1" applyBorder="1" applyAlignment="1">
      <alignment/>
    </xf>
    <xf numFmtId="199" fontId="4" fillId="0" borderId="21" xfId="0" applyNumberFormat="1" applyFont="1" applyFill="1" applyBorder="1" applyAlignment="1">
      <alignment/>
    </xf>
    <xf numFmtId="199" fontId="4" fillId="36" borderId="21" xfId="0" applyNumberFormat="1" applyFont="1" applyFill="1" applyBorder="1" applyAlignment="1">
      <alignment/>
    </xf>
    <xf numFmtId="199" fontId="4" fillId="36" borderId="12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9" fontId="5" fillId="36" borderId="10" xfId="0" applyNumberFormat="1" applyFont="1" applyFill="1" applyBorder="1" applyAlignment="1">
      <alignment/>
    </xf>
    <xf numFmtId="10" fontId="4" fillId="0" borderId="13" xfId="0" applyNumberFormat="1" applyFont="1" applyFill="1" applyBorder="1" applyAlignment="1">
      <alignment/>
    </xf>
    <xf numFmtId="10" fontId="4" fillId="36" borderId="13" xfId="0" applyNumberFormat="1" applyFont="1" applyFill="1" applyBorder="1" applyAlignment="1">
      <alignment/>
    </xf>
    <xf numFmtId="199" fontId="5" fillId="0" borderId="10" xfId="0" applyNumberFormat="1" applyFont="1" applyBorder="1" applyAlignment="1">
      <alignment horizontal="center" vertical="center"/>
    </xf>
    <xf numFmtId="199" fontId="5" fillId="0" borderId="10" xfId="0" applyNumberFormat="1" applyFont="1" applyBorder="1" applyAlignment="1">
      <alignment horizontal="center"/>
    </xf>
    <xf numFmtId="199" fontId="4" fillId="0" borderId="0" xfId="0" applyNumberFormat="1" applyFont="1" applyFill="1" applyAlignment="1">
      <alignment/>
    </xf>
    <xf numFmtId="0" fontId="5" fillId="0" borderId="23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0" fontId="4" fillId="0" borderId="0" xfId="0" applyNumberFormat="1" applyFont="1" applyFill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199" fontId="2" fillId="0" borderId="13" xfId="0" applyNumberFormat="1" applyFont="1" applyFill="1" applyBorder="1" applyAlignment="1">
      <alignment/>
    </xf>
    <xf numFmtId="199" fontId="33" fillId="0" borderId="1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6" fillId="0" borderId="0" xfId="0" applyFont="1" applyFill="1" applyAlignment="1">
      <alignment/>
    </xf>
    <xf numFmtId="187" fontId="33" fillId="0" borderId="0" xfId="48" applyNumberFormat="1" applyFont="1" applyFill="1" applyAlignment="1">
      <alignment/>
    </xf>
    <xf numFmtId="0" fontId="36" fillId="0" borderId="0" xfId="0" applyFont="1" applyAlignment="1">
      <alignment/>
    </xf>
    <xf numFmtId="199" fontId="3" fillId="0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0" fontId="33" fillId="0" borderId="0" xfId="0" applyNumberFormat="1" applyFont="1" applyFill="1" applyAlignment="1">
      <alignment/>
    </xf>
    <xf numFmtId="10" fontId="2" fillId="0" borderId="20" xfId="0" applyNumberFormat="1" applyFont="1" applyFill="1" applyBorder="1" applyAlignment="1">
      <alignment/>
    </xf>
    <xf numFmtId="10" fontId="2" fillId="0" borderId="21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10" fontId="2" fillId="0" borderId="13" xfId="0" applyNumberFormat="1" applyFont="1" applyFill="1" applyBorder="1" applyAlignment="1">
      <alignment/>
    </xf>
    <xf numFmtId="10" fontId="33" fillId="0" borderId="0" xfId="48" applyNumberFormat="1" applyFont="1" applyFill="1" applyAlignment="1">
      <alignment/>
    </xf>
    <xf numFmtId="10" fontId="2" fillId="36" borderId="20" xfId="0" applyNumberFormat="1" applyFont="1" applyFill="1" applyBorder="1" applyAlignment="1">
      <alignment/>
    </xf>
    <xf numFmtId="10" fontId="2" fillId="36" borderId="21" xfId="0" applyNumberFormat="1" applyFont="1" applyFill="1" applyBorder="1" applyAlignment="1">
      <alignment/>
    </xf>
    <xf numFmtId="10" fontId="2" fillId="36" borderId="12" xfId="0" applyNumberFormat="1" applyFont="1" applyFill="1" applyBorder="1" applyAlignment="1">
      <alignment/>
    </xf>
    <xf numFmtId="10" fontId="3" fillId="36" borderId="10" xfId="0" applyNumberFormat="1" applyFont="1" applyFill="1" applyBorder="1" applyAlignment="1">
      <alignment/>
    </xf>
    <xf numFmtId="10" fontId="2" fillId="36" borderId="13" xfId="0" applyNumberFormat="1" applyFont="1" applyFill="1" applyBorder="1" applyAlignment="1">
      <alignment/>
    </xf>
    <xf numFmtId="10" fontId="47" fillId="0" borderId="0" xfId="0" applyNumberFormat="1" applyFont="1" applyFill="1" applyAlignment="1">
      <alignment/>
    </xf>
    <xf numFmtId="10" fontId="71" fillId="0" borderId="0" xfId="0" applyNumberFormat="1" applyFont="1" applyFill="1" applyAlignment="1">
      <alignment/>
    </xf>
    <xf numFmtId="199" fontId="7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10" fontId="65" fillId="0" borderId="10" xfId="0" applyNumberFormat="1" applyFont="1" applyFill="1" applyBorder="1" applyAlignment="1">
      <alignment/>
    </xf>
    <xf numFmtId="10" fontId="65" fillId="0" borderId="0" xfId="0" applyNumberFormat="1" applyFont="1" applyFill="1" applyBorder="1" applyAlignment="1">
      <alignment/>
    </xf>
    <xf numFmtId="10" fontId="65" fillId="0" borderId="0" xfId="48" applyNumberFormat="1" applyFont="1" applyFill="1" applyAlignment="1">
      <alignment/>
    </xf>
    <xf numFmtId="0" fontId="70" fillId="0" borderId="11" xfId="0" applyFont="1" applyBorder="1" applyAlignment="1">
      <alignment horizontal="center" vertical="center"/>
    </xf>
    <xf numFmtId="199" fontId="72" fillId="0" borderId="10" xfId="0" applyNumberFormat="1" applyFont="1" applyFill="1" applyBorder="1" applyAlignment="1">
      <alignment/>
    </xf>
    <xf numFmtId="10" fontId="72" fillId="0" borderId="10" xfId="0" applyNumberFormat="1" applyFont="1" applyFill="1" applyBorder="1" applyAlignment="1">
      <alignment/>
    </xf>
    <xf numFmtId="10" fontId="65" fillId="36" borderId="21" xfId="0" applyNumberFormat="1" applyFont="1" applyFill="1" applyBorder="1" applyAlignment="1">
      <alignment/>
    </xf>
    <xf numFmtId="10" fontId="72" fillId="36" borderId="12" xfId="0" applyNumberFormat="1" applyFont="1" applyFill="1" applyBorder="1" applyAlignment="1">
      <alignment/>
    </xf>
    <xf numFmtId="19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/>
    </xf>
    <xf numFmtId="10" fontId="66" fillId="0" borderId="20" xfId="0" applyNumberFormat="1" applyFont="1" applyBorder="1" applyAlignment="1">
      <alignment horizontal="center" vertical="center" wrapText="1"/>
    </xf>
    <xf numFmtId="10" fontId="65" fillId="0" borderId="12" xfId="0" applyNumberFormat="1" applyFont="1" applyBorder="1" applyAlignment="1">
      <alignment horizontal="center" vertical="center" wrapText="1"/>
    </xf>
    <xf numFmtId="0" fontId="72" fillId="0" borderId="12" xfId="0" applyFont="1" applyFill="1" applyBorder="1" applyAlignment="1">
      <alignment/>
    </xf>
    <xf numFmtId="199" fontId="71" fillId="0" borderId="0" xfId="0" applyNumberFormat="1" applyFont="1" applyAlignment="1">
      <alignment/>
    </xf>
    <xf numFmtId="10" fontId="71" fillId="0" borderId="0" xfId="0" applyNumberFormat="1" applyFont="1" applyAlignment="1">
      <alignment/>
    </xf>
    <xf numFmtId="199" fontId="4" fillId="0" borderId="10" xfId="48" applyNumberFormat="1" applyFont="1" applyFill="1" applyBorder="1" applyAlignment="1">
      <alignment horizontal="right" vertical="top" wrapText="1"/>
    </xf>
    <xf numFmtId="199" fontId="5" fillId="0" borderId="10" xfId="48" applyNumberFormat="1" applyFont="1" applyFill="1" applyBorder="1" applyAlignment="1" quotePrefix="1">
      <alignment horizontal="right"/>
    </xf>
    <xf numFmtId="0" fontId="69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 vertical="center" wrapText="1"/>
    </xf>
    <xf numFmtId="0" fontId="73" fillId="0" borderId="0" xfId="0" applyFont="1" applyFill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4" fillId="0" borderId="0" xfId="55" applyFont="1" applyBorder="1" applyAlignment="1">
      <alignment horizontal="left"/>
      <protection/>
    </xf>
    <xf numFmtId="0" fontId="9" fillId="0" borderId="0" xfId="0" applyFont="1" applyAlignment="1">
      <alignment horizontal="left"/>
    </xf>
    <xf numFmtId="199" fontId="70" fillId="0" borderId="10" xfId="0" applyNumberFormat="1" applyFont="1" applyBorder="1" applyAlignment="1">
      <alignment/>
    </xf>
    <xf numFmtId="10" fontId="70" fillId="0" borderId="1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10" fontId="70" fillId="0" borderId="20" xfId="0" applyNumberFormat="1" applyFont="1" applyFill="1" applyBorder="1" applyAlignment="1">
      <alignment/>
    </xf>
    <xf numFmtId="10" fontId="70" fillId="0" borderId="21" xfId="0" applyNumberFormat="1" applyFont="1" applyFill="1" applyBorder="1" applyAlignment="1">
      <alignment/>
    </xf>
    <xf numFmtId="10" fontId="70" fillId="0" borderId="12" xfId="0" applyNumberFormat="1" applyFont="1" applyFill="1" applyBorder="1" applyAlignment="1">
      <alignment/>
    </xf>
    <xf numFmtId="10" fontId="70" fillId="0" borderId="0" xfId="48" applyNumberFormat="1" applyFont="1" applyFill="1" applyAlignment="1">
      <alignment/>
    </xf>
    <xf numFmtId="10" fontId="70" fillId="36" borderId="20" xfId="0" applyNumberFormat="1" applyFont="1" applyFill="1" applyBorder="1" applyAlignment="1">
      <alignment/>
    </xf>
    <xf numFmtId="10" fontId="70" fillId="36" borderId="21" xfId="0" applyNumberFormat="1" applyFont="1" applyFill="1" applyBorder="1" applyAlignment="1">
      <alignment/>
    </xf>
    <xf numFmtId="10" fontId="70" fillId="36" borderId="12" xfId="0" applyNumberFormat="1" applyFont="1" applyFill="1" applyBorder="1" applyAlignment="1">
      <alignment/>
    </xf>
    <xf numFmtId="10" fontId="70" fillId="36" borderId="0" xfId="48" applyNumberFormat="1" applyFont="1" applyFill="1" applyAlignment="1">
      <alignment/>
    </xf>
    <xf numFmtId="0" fontId="67" fillId="0" borderId="13" xfId="0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10" fontId="75" fillId="0" borderId="0" xfId="0" applyNumberFormat="1" applyFont="1" applyAlignment="1">
      <alignment/>
    </xf>
    <xf numFmtId="10" fontId="76" fillId="0" borderId="0" xfId="0" applyNumberFormat="1" applyFont="1" applyFill="1" applyAlignment="1">
      <alignment/>
    </xf>
    <xf numFmtId="10" fontId="70" fillId="0" borderId="0" xfId="0" applyNumberFormat="1" applyFont="1" applyFill="1" applyAlignment="1">
      <alignment/>
    </xf>
    <xf numFmtId="10" fontId="77" fillId="36" borderId="20" xfId="0" applyNumberFormat="1" applyFont="1" applyFill="1" applyBorder="1" applyAlignment="1">
      <alignment/>
    </xf>
    <xf numFmtId="10" fontId="77" fillId="36" borderId="21" xfId="0" applyNumberFormat="1" applyFont="1" applyFill="1" applyBorder="1" applyAlignment="1">
      <alignment/>
    </xf>
    <xf numFmtId="10" fontId="77" fillId="36" borderId="12" xfId="0" applyNumberFormat="1" applyFont="1" applyFill="1" applyBorder="1" applyAlignment="1">
      <alignment/>
    </xf>
    <xf numFmtId="10" fontId="77" fillId="36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199" fontId="8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7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78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78" fillId="0" borderId="12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78" fillId="0" borderId="24" xfId="0" applyFont="1" applyBorder="1" applyAlignment="1">
      <alignment horizontal="left" vertical="center" wrapText="1"/>
    </xf>
    <xf numFmtId="10" fontId="5" fillId="36" borderId="10" xfId="0" applyNumberFormat="1" applyFont="1" applyFill="1" applyBorder="1" applyAlignment="1">
      <alignment horizontal="center" vertical="center" wrapText="1"/>
    </xf>
    <xf numFmtId="10" fontId="4" fillId="36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 shrinkToFit="1"/>
    </xf>
    <xf numFmtId="0" fontId="0" fillId="0" borderId="10" xfId="0" applyBorder="1" applyAlignment="1">
      <alignment textRotation="90" wrapText="1"/>
    </xf>
    <xf numFmtId="0" fontId="4" fillId="0" borderId="24" xfId="0" applyFont="1" applyFill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0" fontId="3" fillId="36" borderId="10" xfId="0" applyNumberFormat="1" applyFont="1" applyFill="1" applyBorder="1" applyAlignment="1">
      <alignment horizontal="center" vertical="center" wrapText="1"/>
    </xf>
    <xf numFmtId="10" fontId="33" fillId="36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0" fillId="0" borderId="10" xfId="0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33" fillId="0" borderId="12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3" fillId="0" borderId="21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0" fontId="33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25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5" fillId="0" borderId="10" xfId="0" applyFont="1" applyBorder="1" applyAlignment="1">
      <alignment textRotation="90"/>
    </xf>
    <xf numFmtId="0" fontId="4" fillId="0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 shrinkToFi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0" fontId="66" fillId="36" borderId="20" xfId="0" applyNumberFormat="1" applyFont="1" applyFill="1" applyBorder="1" applyAlignment="1">
      <alignment horizontal="center" vertical="center" wrapText="1"/>
    </xf>
    <xf numFmtId="10" fontId="65" fillId="36" borderId="21" xfId="0" applyNumberFormat="1" applyFont="1" applyFill="1" applyBorder="1" applyAlignment="1">
      <alignment horizontal="center" vertical="center" wrapText="1"/>
    </xf>
    <xf numFmtId="10" fontId="66" fillId="0" borderId="10" xfId="0" applyNumberFormat="1" applyFont="1" applyBorder="1" applyAlignment="1">
      <alignment horizontal="center" vertical="center" wrapText="1"/>
    </xf>
    <xf numFmtId="10" fontId="65" fillId="0" borderId="10" xfId="0" applyNumberFormat="1" applyFont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textRotation="90" wrapText="1" shrinkToFit="1"/>
    </xf>
    <xf numFmtId="2" fontId="5" fillId="0" borderId="21" xfId="0" applyNumberFormat="1" applyFont="1" applyFill="1" applyBorder="1" applyAlignment="1">
      <alignment horizontal="center" vertical="center" textRotation="90" wrapText="1" shrinkToFit="1"/>
    </xf>
    <xf numFmtId="0" fontId="0" fillId="0" borderId="21" xfId="0" applyBorder="1" applyAlignment="1">
      <alignment horizontal="center" vertical="center" textRotation="90" wrapText="1" shrinkToFit="1"/>
    </xf>
    <xf numFmtId="0" fontId="0" fillId="0" borderId="12" xfId="0" applyBorder="1" applyAlignment="1">
      <alignment horizontal="center" vertical="center" textRotation="90" wrapText="1" shrinkToFit="1"/>
    </xf>
    <xf numFmtId="2" fontId="4" fillId="0" borderId="20" xfId="0" applyNumberFormat="1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left" vertical="center" wrapText="1"/>
    </xf>
    <xf numFmtId="2" fontId="4" fillId="0" borderId="26" xfId="0" applyNumberFormat="1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10" fontId="13" fillId="0" borderId="10" xfId="0" applyNumberFormat="1" applyFont="1" applyBorder="1" applyAlignment="1">
      <alignment horizontal="center" vertical="center" wrapText="1"/>
    </xf>
    <xf numFmtId="10" fontId="14" fillId="0" borderId="10" xfId="0" applyNumberFormat="1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78" fillId="0" borderId="21" xfId="0" applyFont="1" applyBorder="1" applyAlignment="1">
      <alignment horizontal="left" vertical="center" wrapText="1"/>
    </xf>
    <xf numFmtId="0" fontId="78" fillId="0" borderId="12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10" fontId="66" fillId="0" borderId="20" xfId="0" applyNumberFormat="1" applyFont="1" applyBorder="1" applyAlignment="1">
      <alignment horizontal="center" vertical="center" wrapText="1"/>
    </xf>
    <xf numFmtId="10" fontId="65" fillId="0" borderId="12" xfId="0" applyNumberFormat="1" applyFont="1" applyBorder="1" applyAlignment="1">
      <alignment horizontal="center" vertical="center" wrapText="1"/>
    </xf>
    <xf numFmtId="0" fontId="65" fillId="0" borderId="2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5" fillId="0" borderId="20" xfId="0" applyFont="1" applyBorder="1" applyAlignment="1">
      <alignment horizontal="center" vertical="center" textRotation="90" wrapText="1"/>
    </xf>
    <xf numFmtId="0" fontId="65" fillId="0" borderId="17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10" fontId="79" fillId="0" borderId="10" xfId="0" applyNumberFormat="1" applyFont="1" applyBorder="1" applyAlignment="1">
      <alignment horizontal="center" vertical="center" wrapText="1"/>
    </xf>
    <xf numFmtId="10" fontId="80" fillId="0" borderId="10" xfId="0" applyNumberFormat="1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vertical="center" textRotation="90"/>
    </xf>
    <xf numFmtId="0" fontId="67" fillId="0" borderId="20" xfId="0" applyFont="1" applyFill="1" applyBorder="1" applyAlignment="1">
      <alignment horizontal="left" vertical="center" wrapText="1"/>
    </xf>
    <xf numFmtId="0" fontId="67" fillId="0" borderId="21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5" fillId="0" borderId="20" xfId="0" applyFont="1" applyFill="1" applyBorder="1" applyAlignment="1">
      <alignment horizontal="left" vertical="center" wrapText="1"/>
    </xf>
    <xf numFmtId="0" fontId="65" fillId="0" borderId="21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5" fillId="0" borderId="21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10" fontId="66" fillId="36" borderId="10" xfId="0" applyNumberFormat="1" applyFont="1" applyFill="1" applyBorder="1" applyAlignment="1">
      <alignment horizontal="center" vertical="center" wrapText="1"/>
    </xf>
    <xf numFmtId="10" fontId="70" fillId="36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textRotation="90"/>
    </xf>
    <xf numFmtId="0" fontId="67" fillId="0" borderId="10" xfId="0" applyFont="1" applyBorder="1" applyAlignment="1">
      <alignment vertical="center" wrapText="1"/>
    </xf>
    <xf numFmtId="10" fontId="7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0" fontId="77" fillId="36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207" fontId="10" fillId="0" borderId="0" xfId="48" applyNumberFormat="1" applyFont="1" applyAlignment="1" quotePrefix="1">
      <alignment horizontal="center"/>
    </xf>
    <xf numFmtId="0" fontId="1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10" xfId="54"/>
    <cellStyle name="Normal 2" xfId="55"/>
    <cellStyle name="Normal 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180975" cy="352425"/>
    <xdr:sp>
      <xdr:nvSpPr>
        <xdr:cNvPr id="1" name="1 CuadroTexto"/>
        <xdr:cNvSpPr txBox="1">
          <a:spLocks noChangeArrowheads="1"/>
        </xdr:cNvSpPr>
      </xdr:nvSpPr>
      <xdr:spPr>
        <a:xfrm>
          <a:off x="2800350" y="8096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0975" cy="333375"/>
    <xdr:sp>
      <xdr:nvSpPr>
        <xdr:cNvPr id="2" name="2 CuadroTexto"/>
        <xdr:cNvSpPr txBox="1">
          <a:spLocks noChangeArrowheads="1"/>
        </xdr:cNvSpPr>
      </xdr:nvSpPr>
      <xdr:spPr>
        <a:xfrm>
          <a:off x="2800350" y="26098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0975" cy="257175"/>
    <xdr:sp>
      <xdr:nvSpPr>
        <xdr:cNvPr id="3" name="3 CuadroTexto"/>
        <xdr:cNvSpPr txBox="1">
          <a:spLocks noChangeArrowheads="1"/>
        </xdr:cNvSpPr>
      </xdr:nvSpPr>
      <xdr:spPr>
        <a:xfrm>
          <a:off x="9791700" y="4286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0975" cy="257175"/>
    <xdr:sp>
      <xdr:nvSpPr>
        <xdr:cNvPr id="4" name="4 CuadroTexto"/>
        <xdr:cNvSpPr txBox="1">
          <a:spLocks noChangeArrowheads="1"/>
        </xdr:cNvSpPr>
      </xdr:nvSpPr>
      <xdr:spPr>
        <a:xfrm>
          <a:off x="9791700" y="4286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rlegu\Downloads\Proyecciones%20la%20victor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 VICTORIA"/>
      <sheetName val="INGRESOS"/>
      <sheetName val="PRURIANUAL DE INVERSIONES"/>
      <sheetName val="Hoja1"/>
    </sheetNames>
    <sheetDataSet>
      <sheetData sheetId="1">
        <row r="46">
          <cell r="O46">
            <v>112.79450488612301</v>
          </cell>
          <cell r="P46">
            <v>113.95163571382132</v>
          </cell>
        </row>
        <row r="56">
          <cell r="N56">
            <v>16.30155556</v>
          </cell>
          <cell r="O56">
            <v>17.2796488936</v>
          </cell>
          <cell r="P56">
            <v>18.316427827216003</v>
          </cell>
        </row>
        <row r="63">
          <cell r="N63">
            <v>215.00014000000002</v>
          </cell>
          <cell r="O63">
            <v>221.4501442</v>
          </cell>
          <cell r="P63">
            <v>228.093648526</v>
          </cell>
        </row>
        <row r="102">
          <cell r="N102">
            <v>239.01426960000003</v>
          </cell>
          <cell r="O102">
            <v>253.35512577600005</v>
          </cell>
          <cell r="P102">
            <v>268.55643332256005</v>
          </cell>
        </row>
        <row r="103">
          <cell r="N103">
            <v>33.209986823648386</v>
          </cell>
          <cell r="O103">
            <v>30.014239552104232</v>
          </cell>
          <cell r="P103">
            <v>26.710043721784974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39"/>
  <sheetViews>
    <sheetView tabSelected="1" zoomScaleSheetLayoutView="55" zoomScalePageLayoutView="0" workbookViewId="0" topLeftCell="A1">
      <selection activeCell="A1" sqref="A1"/>
    </sheetView>
  </sheetViews>
  <sheetFormatPr defaultColWidth="11.421875" defaultRowHeight="15"/>
  <cols>
    <col min="1" max="1" width="12.140625" style="138" customWidth="1"/>
    <col min="2" max="2" width="13.8515625" style="138" customWidth="1"/>
    <col min="3" max="3" width="16.00390625" style="138" customWidth="1"/>
    <col min="4" max="6" width="22.7109375" style="138" customWidth="1"/>
    <col min="7" max="7" width="36.7109375" style="138" customWidth="1"/>
    <col min="8" max="8" width="11.00390625" style="138" bestFit="1" customWidth="1"/>
    <col min="9" max="9" width="7.00390625" style="198" bestFit="1" customWidth="1"/>
    <col min="10" max="10" width="1.7109375" style="198" customWidth="1"/>
    <col min="11" max="16" width="11.421875" style="195" customWidth="1"/>
    <col min="17" max="17" width="1.7109375" style="198" customWidth="1"/>
    <col min="18" max="23" width="11.421875" style="195" customWidth="1"/>
    <col min="24" max="24" width="1.7109375" style="198" customWidth="1"/>
    <col min="25" max="30" width="11.421875" style="195" customWidth="1"/>
    <col min="31" max="31" width="1.7109375" style="198" customWidth="1"/>
    <col min="32" max="37" width="11.421875" style="195" customWidth="1"/>
    <col min="38" max="16384" width="11.421875" style="138" customWidth="1"/>
  </cols>
  <sheetData>
    <row r="1" spans="2:37" s="153" customFormat="1" ht="12.75">
      <c r="B1" s="311" t="s">
        <v>134</v>
      </c>
      <c r="C1" s="311"/>
      <c r="D1" s="311"/>
      <c r="E1" s="311"/>
      <c r="F1" s="311"/>
      <c r="G1" s="311"/>
      <c r="I1" s="228"/>
      <c r="J1" s="228"/>
      <c r="K1" s="229">
        <f>+K3-K2</f>
        <v>0</v>
      </c>
      <c r="L1" s="229">
        <f aca="true" t="shared" si="0" ref="L1:AK1">+L3-L2</f>
        <v>0</v>
      </c>
      <c r="M1" s="229">
        <f t="shared" si="0"/>
        <v>0</v>
      </c>
      <c r="N1" s="229">
        <f t="shared" si="0"/>
        <v>0</v>
      </c>
      <c r="O1" s="229">
        <f t="shared" si="0"/>
        <v>0</v>
      </c>
      <c r="P1" s="229">
        <f t="shared" si="0"/>
        <v>0</v>
      </c>
      <c r="Q1" s="229"/>
      <c r="R1" s="229">
        <f t="shared" si="0"/>
        <v>0</v>
      </c>
      <c r="S1" s="229">
        <f t="shared" si="0"/>
        <v>0</v>
      </c>
      <c r="T1" s="229">
        <f t="shared" si="0"/>
        <v>0</v>
      </c>
      <c r="U1" s="229">
        <f t="shared" si="0"/>
        <v>0</v>
      </c>
      <c r="V1" s="229">
        <f t="shared" si="0"/>
        <v>0</v>
      </c>
      <c r="W1" s="229">
        <f t="shared" si="0"/>
        <v>0</v>
      </c>
      <c r="X1" s="229"/>
      <c r="Y1" s="229">
        <f t="shared" si="0"/>
        <v>0</v>
      </c>
      <c r="Z1" s="229">
        <f t="shared" si="0"/>
        <v>0</v>
      </c>
      <c r="AA1" s="229">
        <f t="shared" si="0"/>
        <v>0</v>
      </c>
      <c r="AB1" s="229">
        <f t="shared" si="0"/>
        <v>0</v>
      </c>
      <c r="AC1" s="229">
        <f t="shared" si="0"/>
        <v>0</v>
      </c>
      <c r="AD1" s="229">
        <f t="shared" si="0"/>
        <v>0</v>
      </c>
      <c r="AE1" s="229"/>
      <c r="AF1" s="229">
        <f t="shared" si="0"/>
        <v>0</v>
      </c>
      <c r="AG1" s="229">
        <f t="shared" si="0"/>
        <v>0</v>
      </c>
      <c r="AH1" s="229">
        <f t="shared" si="0"/>
        <v>0</v>
      </c>
      <c r="AI1" s="229">
        <f t="shared" si="0"/>
        <v>0</v>
      </c>
      <c r="AJ1" s="229">
        <f t="shared" si="0"/>
        <v>0</v>
      </c>
      <c r="AK1" s="229">
        <f t="shared" si="0"/>
        <v>0</v>
      </c>
    </row>
    <row r="2" spans="2:37" s="153" customFormat="1" ht="12.75">
      <c r="B2" s="312" t="s">
        <v>137</v>
      </c>
      <c r="C2" s="312"/>
      <c r="D2" s="312"/>
      <c r="E2" s="312"/>
      <c r="F2" s="312"/>
      <c r="G2" s="312"/>
      <c r="I2" s="228"/>
      <c r="J2" s="228"/>
      <c r="K2" s="229">
        <f>+K29+K37</f>
        <v>68.848</v>
      </c>
      <c r="L2" s="229">
        <f aca="true" t="shared" si="1" ref="L2:AK2">+L29+L37</f>
        <v>60</v>
      </c>
      <c r="M2" s="229">
        <f t="shared" si="1"/>
        <v>90.75120188070002</v>
      </c>
      <c r="N2" s="229">
        <f t="shared" si="1"/>
        <v>37.795</v>
      </c>
      <c r="O2" s="229">
        <f t="shared" si="1"/>
        <v>0</v>
      </c>
      <c r="P2" s="229">
        <f t="shared" si="1"/>
        <v>257.3942018807</v>
      </c>
      <c r="Q2" s="228"/>
      <c r="R2" s="229">
        <f t="shared" si="1"/>
        <v>74.113</v>
      </c>
      <c r="S2" s="229">
        <f t="shared" si="1"/>
        <v>0</v>
      </c>
      <c r="T2" s="229">
        <f>+T29+T37</f>
        <v>83.02496705912095</v>
      </c>
      <c r="U2" s="229">
        <f t="shared" si="1"/>
        <v>38.928850000000004</v>
      </c>
      <c r="V2" s="229">
        <f t="shared" si="1"/>
        <v>0</v>
      </c>
      <c r="W2" s="229">
        <f t="shared" si="1"/>
        <v>196.06681705912098</v>
      </c>
      <c r="X2" s="228"/>
      <c r="Y2" s="229">
        <f t="shared" si="1"/>
        <v>79.78399999999999</v>
      </c>
      <c r="Z2" s="229">
        <f t="shared" si="1"/>
        <v>0</v>
      </c>
      <c r="AA2" s="229">
        <f t="shared" si="1"/>
        <v>75.03559888026058</v>
      </c>
      <c r="AB2" s="229">
        <f t="shared" si="1"/>
        <v>40.0967155</v>
      </c>
      <c r="AC2" s="229">
        <f t="shared" si="1"/>
        <v>0</v>
      </c>
      <c r="AD2" s="229">
        <f t="shared" si="1"/>
        <v>194.91631438026056</v>
      </c>
      <c r="AE2" s="228"/>
      <c r="AF2" s="229">
        <f t="shared" si="1"/>
        <v>85.891765941336</v>
      </c>
      <c r="AG2" s="229">
        <f t="shared" si="1"/>
        <v>0</v>
      </c>
      <c r="AH2" s="229">
        <f t="shared" si="1"/>
        <v>66.77510930446243</v>
      </c>
      <c r="AI2" s="229">
        <f t="shared" si="1"/>
        <v>41.299616965000006</v>
      </c>
      <c r="AJ2" s="229">
        <f t="shared" si="1"/>
        <v>0</v>
      </c>
      <c r="AK2" s="229">
        <f t="shared" si="1"/>
        <v>193.96649221079844</v>
      </c>
    </row>
    <row r="3" spans="2:37" s="153" customFormat="1" ht="12.75">
      <c r="B3" s="313" t="s">
        <v>136</v>
      </c>
      <c r="C3" s="313"/>
      <c r="D3" s="313"/>
      <c r="E3" s="313"/>
      <c r="F3" s="313"/>
      <c r="G3" s="313"/>
      <c r="I3" s="228">
        <f>+T1/T3</f>
        <v>0</v>
      </c>
      <c r="J3" s="228"/>
      <c r="K3" s="229">
        <f>+PROYECCIONES!D64+PROYECCIONES!D65+PROYECCIONES!D66</f>
        <v>68.848</v>
      </c>
      <c r="L3" s="229">
        <f>+PROYECCIONES!D69</f>
        <v>60</v>
      </c>
      <c r="M3" s="229">
        <f>+PROYECCIONES!D68</f>
        <v>90.75120188070002</v>
      </c>
      <c r="N3" s="229">
        <f>+PROYECCIONES!D67</f>
        <v>37.795</v>
      </c>
      <c r="O3" s="229">
        <v>0</v>
      </c>
      <c r="P3" s="229">
        <f>SUM(K3:O3)</f>
        <v>257.39420188070005</v>
      </c>
      <c r="Q3" s="228"/>
      <c r="R3" s="229">
        <f>+PROYECCIONES!E64+PROYECCIONES!E65+PROYECCIONES!E66</f>
        <v>74.113</v>
      </c>
      <c r="S3" s="229">
        <v>0</v>
      </c>
      <c r="T3" s="229">
        <f>+PROYECCIONES!E68</f>
        <v>83.02496705912097</v>
      </c>
      <c r="U3" s="229">
        <f>+PROYECCIONES!E67</f>
        <v>38.928850000000004</v>
      </c>
      <c r="V3" s="229">
        <v>0</v>
      </c>
      <c r="W3" s="229">
        <f>SUM(R3:V3)</f>
        <v>196.06681705912098</v>
      </c>
      <c r="X3" s="228"/>
      <c r="Y3" s="229">
        <f>+PROYECCIONES!F64+PROYECCIONES!F65+PROYECCIONES!F66</f>
        <v>79.78399999999999</v>
      </c>
      <c r="Z3" s="229">
        <v>0</v>
      </c>
      <c r="AA3" s="229">
        <f>+PROYECCIONES!F68</f>
        <v>75.03559888026058</v>
      </c>
      <c r="AB3" s="229">
        <f>+PROYECCIONES!F67</f>
        <v>40.0967155</v>
      </c>
      <c r="AC3" s="229">
        <v>0</v>
      </c>
      <c r="AD3" s="229">
        <f>SUM(Y3:AC3)</f>
        <v>194.9163143802606</v>
      </c>
      <c r="AE3" s="228"/>
      <c r="AF3" s="229">
        <f>+PROYECCIONES!G64+PROYECCIONES!G65+PROYECCIONES!G66</f>
        <v>85.891765941336</v>
      </c>
      <c r="AG3" s="229">
        <v>0</v>
      </c>
      <c r="AH3" s="229">
        <f>+PROYECCIONES!G68</f>
        <v>66.77510930446243</v>
      </c>
      <c r="AI3" s="229">
        <f>+PROYECCIONES!G67</f>
        <v>41.299616965000006</v>
      </c>
      <c r="AJ3" s="229">
        <v>0</v>
      </c>
      <c r="AK3" s="229">
        <f>SUM(AF3:AJ3)</f>
        <v>193.96649221079846</v>
      </c>
    </row>
    <row r="4" spans="2:37" s="153" customFormat="1" ht="12.75" hidden="1">
      <c r="B4" s="196"/>
      <c r="C4" s="196"/>
      <c r="D4" s="196"/>
      <c r="E4" s="196"/>
      <c r="F4" s="196"/>
      <c r="G4" s="196"/>
      <c r="I4" s="181"/>
      <c r="J4" s="181"/>
      <c r="K4" s="33">
        <f>+PROYECCIONES!D64</f>
        <v>43.833</v>
      </c>
      <c r="L4" s="33"/>
      <c r="M4" s="33"/>
      <c r="N4" s="33"/>
      <c r="O4" s="33"/>
      <c r="P4" s="33"/>
      <c r="Q4" s="181"/>
      <c r="R4" s="33">
        <f>+PROYECCIONES!E64</f>
        <v>47.252</v>
      </c>
      <c r="S4" s="33"/>
      <c r="T4" s="33"/>
      <c r="U4" s="33"/>
      <c r="V4" s="33"/>
      <c r="W4" s="33"/>
      <c r="X4" s="181"/>
      <c r="Y4" s="33">
        <f>+PROYECCIONES!F64</f>
        <v>50.937</v>
      </c>
      <c r="Z4" s="33"/>
      <c r="AA4" s="33"/>
      <c r="AB4" s="33"/>
      <c r="AC4" s="33"/>
      <c r="AD4" s="33"/>
      <c r="AE4" s="181"/>
      <c r="AF4" s="33">
        <f>+PROYECCIONES!G64</f>
        <v>54.911</v>
      </c>
      <c r="AG4" s="33"/>
      <c r="AH4" s="33"/>
      <c r="AI4" s="33"/>
      <c r="AJ4" s="33"/>
      <c r="AK4" s="33"/>
    </row>
    <row r="5" spans="1:37" s="197" customFormat="1" ht="12.75">
      <c r="A5" s="307" t="s">
        <v>35</v>
      </c>
      <c r="B5" s="307" t="s">
        <v>47</v>
      </c>
      <c r="C5" s="307" t="s">
        <v>0</v>
      </c>
      <c r="D5" s="307" t="s">
        <v>2</v>
      </c>
      <c r="E5" s="307" t="s">
        <v>39</v>
      </c>
      <c r="F5" s="307" t="s">
        <v>37</v>
      </c>
      <c r="G5" s="315" t="s">
        <v>10</v>
      </c>
      <c r="H5" s="307" t="s">
        <v>45</v>
      </c>
      <c r="I5" s="309" t="s">
        <v>266</v>
      </c>
      <c r="J5" s="299"/>
      <c r="K5" s="301">
        <v>2012</v>
      </c>
      <c r="L5" s="301"/>
      <c r="M5" s="301"/>
      <c r="N5" s="301"/>
      <c r="O5" s="301"/>
      <c r="P5" s="301"/>
      <c r="Q5" s="299"/>
      <c r="R5" s="301">
        <v>2013</v>
      </c>
      <c r="S5" s="301"/>
      <c r="T5" s="301"/>
      <c r="U5" s="301"/>
      <c r="V5" s="301"/>
      <c r="W5" s="301"/>
      <c r="X5" s="299"/>
      <c r="Y5" s="301">
        <v>2014</v>
      </c>
      <c r="Z5" s="301"/>
      <c r="AA5" s="301"/>
      <c r="AB5" s="301"/>
      <c r="AC5" s="301"/>
      <c r="AD5" s="301"/>
      <c r="AE5" s="299"/>
      <c r="AF5" s="301">
        <v>2015</v>
      </c>
      <c r="AG5" s="301"/>
      <c r="AH5" s="301"/>
      <c r="AI5" s="301"/>
      <c r="AJ5" s="301"/>
      <c r="AK5" s="301"/>
    </row>
    <row r="6" spans="1:37" s="136" customFormat="1" ht="12.75">
      <c r="A6" s="308"/>
      <c r="B6" s="308"/>
      <c r="C6" s="308"/>
      <c r="D6" s="314"/>
      <c r="E6" s="314"/>
      <c r="F6" s="314"/>
      <c r="G6" s="316"/>
      <c r="H6" s="308"/>
      <c r="I6" s="310"/>
      <c r="J6" s="300"/>
      <c r="K6" s="193" t="s">
        <v>40</v>
      </c>
      <c r="L6" s="194" t="s">
        <v>41</v>
      </c>
      <c r="M6" s="193" t="s">
        <v>42</v>
      </c>
      <c r="N6" s="193" t="s">
        <v>43</v>
      </c>
      <c r="O6" s="193" t="s">
        <v>1</v>
      </c>
      <c r="P6" s="193" t="s">
        <v>44</v>
      </c>
      <c r="Q6" s="300"/>
      <c r="R6" s="193" t="s">
        <v>40</v>
      </c>
      <c r="S6" s="194" t="s">
        <v>41</v>
      </c>
      <c r="T6" s="193" t="s">
        <v>42</v>
      </c>
      <c r="U6" s="193" t="s">
        <v>43</v>
      </c>
      <c r="V6" s="193" t="s">
        <v>1</v>
      </c>
      <c r="W6" s="193" t="s">
        <v>44</v>
      </c>
      <c r="X6" s="300"/>
      <c r="Y6" s="193" t="s">
        <v>40</v>
      </c>
      <c r="Z6" s="194" t="s">
        <v>41</v>
      </c>
      <c r="AA6" s="193" t="s">
        <v>42</v>
      </c>
      <c r="AB6" s="193" t="s">
        <v>43</v>
      </c>
      <c r="AC6" s="193" t="s">
        <v>1</v>
      </c>
      <c r="AD6" s="193" t="s">
        <v>44</v>
      </c>
      <c r="AE6" s="300"/>
      <c r="AF6" s="193" t="s">
        <v>40</v>
      </c>
      <c r="AG6" s="194" t="s">
        <v>41</v>
      </c>
      <c r="AH6" s="193" t="s">
        <v>42</v>
      </c>
      <c r="AI6" s="193" t="s">
        <v>43</v>
      </c>
      <c r="AJ6" s="193" t="s">
        <v>1</v>
      </c>
      <c r="AK6" s="193" t="s">
        <v>44</v>
      </c>
    </row>
    <row r="7" spans="1:37" ht="51">
      <c r="A7" s="302" t="s">
        <v>56</v>
      </c>
      <c r="B7" s="302" t="s">
        <v>73</v>
      </c>
      <c r="C7" s="304" t="s">
        <v>74</v>
      </c>
      <c r="D7" s="289" t="s">
        <v>413</v>
      </c>
      <c r="E7" s="289" t="s">
        <v>439</v>
      </c>
      <c r="F7" s="26" t="s">
        <v>440</v>
      </c>
      <c r="G7" s="26" t="s">
        <v>409</v>
      </c>
      <c r="H7" s="31">
        <f>+P7+W7+AD7+AK7</f>
        <v>126.92344037614</v>
      </c>
      <c r="I7" s="121"/>
      <c r="J7" s="172"/>
      <c r="K7" s="30">
        <f>+K4*0.4</f>
        <v>17.5332</v>
      </c>
      <c r="L7" s="30">
        <v>30</v>
      </c>
      <c r="M7" s="30">
        <f>+M3*0.2</f>
        <v>18.150240376140005</v>
      </c>
      <c r="N7" s="30"/>
      <c r="O7" s="30"/>
      <c r="P7" s="30">
        <f>SUM(K7:O7)</f>
        <v>65.68344037614</v>
      </c>
      <c r="Q7" s="172"/>
      <c r="R7" s="30">
        <f>+R4*0.4</f>
        <v>18.9008</v>
      </c>
      <c r="S7" s="30"/>
      <c r="T7" s="30"/>
      <c r="U7" s="30"/>
      <c r="V7" s="30"/>
      <c r="W7" s="30">
        <f>SUM(R7:V7)</f>
        <v>18.9008</v>
      </c>
      <c r="X7" s="172"/>
      <c r="Y7" s="30">
        <f>+Y4*0.4</f>
        <v>20.3748</v>
      </c>
      <c r="Z7" s="30"/>
      <c r="AA7" s="30"/>
      <c r="AB7" s="30"/>
      <c r="AC7" s="30"/>
      <c r="AD7" s="30">
        <f>SUM(Y7:AC7)</f>
        <v>20.3748</v>
      </c>
      <c r="AE7" s="172"/>
      <c r="AF7" s="30">
        <f>+AF4*0.4</f>
        <v>21.9644</v>
      </c>
      <c r="AG7" s="30"/>
      <c r="AH7" s="30"/>
      <c r="AI7" s="30"/>
      <c r="AJ7" s="30"/>
      <c r="AK7" s="30">
        <f>SUM(AF7:AJ7)</f>
        <v>21.9644</v>
      </c>
    </row>
    <row r="8" spans="1:37" ht="45" customHeight="1">
      <c r="A8" s="303"/>
      <c r="B8" s="303"/>
      <c r="C8" s="305"/>
      <c r="D8" s="289"/>
      <c r="E8" s="289"/>
      <c r="F8" s="26" t="s">
        <v>441</v>
      </c>
      <c r="G8" s="26" t="s">
        <v>408</v>
      </c>
      <c r="H8" s="31">
        <f>+P8+W8+AD8+AK8</f>
        <v>78.00167018807001</v>
      </c>
      <c r="I8" s="122"/>
      <c r="J8" s="173"/>
      <c r="K8" s="30">
        <f>+K4*0.35</f>
        <v>15.341549999999998</v>
      </c>
      <c r="L8" s="30"/>
      <c r="M8" s="30">
        <f>+M3*0.1</f>
        <v>9.075120188070002</v>
      </c>
      <c r="N8" s="30"/>
      <c r="O8" s="30"/>
      <c r="P8" s="30">
        <f>SUM(K8:O8)</f>
        <v>24.41667018807</v>
      </c>
      <c r="Q8" s="173"/>
      <c r="R8" s="30">
        <f>+R4*0.35</f>
        <v>16.5382</v>
      </c>
      <c r="S8" s="30"/>
      <c r="T8" s="30"/>
      <c r="U8" s="30"/>
      <c r="V8" s="30"/>
      <c r="W8" s="30">
        <f>SUM(R8:V8)</f>
        <v>16.5382</v>
      </c>
      <c r="X8" s="173"/>
      <c r="Y8" s="30">
        <f>+Y4*0.35</f>
        <v>17.827949999999998</v>
      </c>
      <c r="Z8" s="30"/>
      <c r="AA8" s="30"/>
      <c r="AB8" s="30"/>
      <c r="AC8" s="30"/>
      <c r="AD8" s="30">
        <f>SUM(Y8:AC8)</f>
        <v>17.827949999999998</v>
      </c>
      <c r="AE8" s="173"/>
      <c r="AF8" s="30">
        <f>+AF4*0.35</f>
        <v>19.21885</v>
      </c>
      <c r="AG8" s="30"/>
      <c r="AH8" s="30"/>
      <c r="AI8" s="30"/>
      <c r="AJ8" s="30"/>
      <c r="AK8" s="30">
        <f>SUM(AF8:AJ8)</f>
        <v>19.21885</v>
      </c>
    </row>
    <row r="9" spans="1:37" ht="45.75" customHeight="1">
      <c r="A9" s="303"/>
      <c r="B9" s="303"/>
      <c r="C9" s="305"/>
      <c r="D9" s="289"/>
      <c r="E9" s="289"/>
      <c r="F9" s="26" t="s">
        <v>442</v>
      </c>
      <c r="G9" s="26" t="s">
        <v>411</v>
      </c>
      <c r="H9" s="31">
        <f>+P9+W9+AD9+AK9</f>
        <v>9.84665</v>
      </c>
      <c r="I9" s="122"/>
      <c r="J9" s="173"/>
      <c r="K9" s="30">
        <f>+K4*0.05</f>
        <v>2.19165</v>
      </c>
      <c r="L9" s="30"/>
      <c r="M9" s="30"/>
      <c r="N9" s="30"/>
      <c r="O9" s="30"/>
      <c r="P9" s="30">
        <f>SUM(K9:O9)</f>
        <v>2.19165</v>
      </c>
      <c r="Q9" s="173"/>
      <c r="R9" s="30">
        <f>+R4*0.05</f>
        <v>2.3626</v>
      </c>
      <c r="S9" s="30"/>
      <c r="T9" s="30"/>
      <c r="U9" s="30"/>
      <c r="V9" s="30"/>
      <c r="W9" s="30">
        <f>SUM(R9:V9)</f>
        <v>2.3626</v>
      </c>
      <c r="X9" s="173"/>
      <c r="Y9" s="30">
        <f>+Y4*0.05</f>
        <v>2.54685</v>
      </c>
      <c r="Z9" s="30"/>
      <c r="AA9" s="30"/>
      <c r="AB9" s="30"/>
      <c r="AC9" s="30"/>
      <c r="AD9" s="30">
        <f>SUM(Y9:AC9)</f>
        <v>2.54685</v>
      </c>
      <c r="AE9" s="173"/>
      <c r="AF9" s="30">
        <f>+AF4*0.05</f>
        <v>2.74555</v>
      </c>
      <c r="AG9" s="30"/>
      <c r="AH9" s="30"/>
      <c r="AI9" s="30"/>
      <c r="AJ9" s="30"/>
      <c r="AK9" s="30">
        <f>SUM(AF9:AJ9)</f>
        <v>2.74555</v>
      </c>
    </row>
    <row r="10" spans="1:37" ht="63.75">
      <c r="A10" s="303"/>
      <c r="B10" s="303"/>
      <c r="C10" s="305"/>
      <c r="D10" s="289"/>
      <c r="E10" s="289"/>
      <c r="F10" s="26" t="s">
        <v>442</v>
      </c>
      <c r="G10" s="26" t="s">
        <v>443</v>
      </c>
      <c r="H10" s="31">
        <f>+P10+W10+AD10+AK10</f>
        <v>9.84665</v>
      </c>
      <c r="I10" s="123"/>
      <c r="J10" s="174"/>
      <c r="K10" s="30">
        <f>+K4*0.05</f>
        <v>2.19165</v>
      </c>
      <c r="L10" s="30"/>
      <c r="M10" s="30"/>
      <c r="N10" s="30"/>
      <c r="O10" s="30"/>
      <c r="P10" s="30">
        <f>SUM(K10:O10)</f>
        <v>2.19165</v>
      </c>
      <c r="Q10" s="174"/>
      <c r="R10" s="30">
        <f>+R4*0.05</f>
        <v>2.3626</v>
      </c>
      <c r="S10" s="30"/>
      <c r="T10" s="30"/>
      <c r="U10" s="30"/>
      <c r="V10" s="30"/>
      <c r="W10" s="30">
        <f>SUM(R10:V10)</f>
        <v>2.3626</v>
      </c>
      <c r="X10" s="174"/>
      <c r="Y10" s="30">
        <f>+Y4*0.05</f>
        <v>2.54685</v>
      </c>
      <c r="Z10" s="30"/>
      <c r="AA10" s="30"/>
      <c r="AB10" s="30"/>
      <c r="AC10" s="30"/>
      <c r="AD10" s="30">
        <f>SUM(Y10:AC10)</f>
        <v>2.54685</v>
      </c>
      <c r="AE10" s="174"/>
      <c r="AF10" s="30">
        <f>+AF4*0.05</f>
        <v>2.74555</v>
      </c>
      <c r="AG10" s="30"/>
      <c r="AH10" s="30"/>
      <c r="AI10" s="30"/>
      <c r="AJ10" s="30"/>
      <c r="AK10" s="30">
        <f>SUM(AF10:AJ10)</f>
        <v>2.74555</v>
      </c>
    </row>
    <row r="11" spans="1:37" ht="12.75">
      <c r="A11" s="303"/>
      <c r="B11" s="303"/>
      <c r="C11" s="306"/>
      <c r="G11" s="142" t="s">
        <v>235</v>
      </c>
      <c r="H11" s="96">
        <f>SUM(H7:H10)</f>
        <v>224.61841056421002</v>
      </c>
      <c r="I11" s="119">
        <f>+H11/H39</f>
        <v>0.26665882001645375</v>
      </c>
      <c r="J11" s="151"/>
      <c r="K11" s="96">
        <f aca="true" t="shared" si="2" ref="K11:AK11">SUM(K7:K10)</f>
        <v>37.258050000000004</v>
      </c>
      <c r="L11" s="96">
        <f t="shared" si="2"/>
        <v>30</v>
      </c>
      <c r="M11" s="96">
        <f t="shared" si="2"/>
        <v>27.225360564210007</v>
      </c>
      <c r="N11" s="96">
        <f t="shared" si="2"/>
        <v>0</v>
      </c>
      <c r="O11" s="96">
        <f t="shared" si="2"/>
        <v>0</v>
      </c>
      <c r="P11" s="96">
        <f t="shared" si="2"/>
        <v>94.48341056420999</v>
      </c>
      <c r="Q11" s="151"/>
      <c r="R11" s="96">
        <f t="shared" si="2"/>
        <v>40.1642</v>
      </c>
      <c r="S11" s="96">
        <f t="shared" si="2"/>
        <v>0</v>
      </c>
      <c r="T11" s="96">
        <f t="shared" si="2"/>
        <v>0</v>
      </c>
      <c r="U11" s="96">
        <f t="shared" si="2"/>
        <v>0</v>
      </c>
      <c r="V11" s="96">
        <f t="shared" si="2"/>
        <v>0</v>
      </c>
      <c r="W11" s="96">
        <f t="shared" si="2"/>
        <v>40.1642</v>
      </c>
      <c r="X11" s="151"/>
      <c r="Y11" s="96">
        <f t="shared" si="2"/>
        <v>43.29644999999999</v>
      </c>
      <c r="Z11" s="96">
        <f t="shared" si="2"/>
        <v>0</v>
      </c>
      <c r="AA11" s="96">
        <f t="shared" si="2"/>
        <v>0</v>
      </c>
      <c r="AB11" s="96">
        <f t="shared" si="2"/>
        <v>0</v>
      </c>
      <c r="AC11" s="96">
        <f t="shared" si="2"/>
        <v>0</v>
      </c>
      <c r="AD11" s="96">
        <f t="shared" si="2"/>
        <v>43.29644999999999</v>
      </c>
      <c r="AE11" s="151"/>
      <c r="AF11" s="96">
        <f t="shared" si="2"/>
        <v>46.674350000000004</v>
      </c>
      <c r="AG11" s="96">
        <f t="shared" si="2"/>
        <v>0</v>
      </c>
      <c r="AH11" s="96">
        <f t="shared" si="2"/>
        <v>0</v>
      </c>
      <c r="AI11" s="96">
        <f t="shared" si="2"/>
        <v>0</v>
      </c>
      <c r="AJ11" s="96">
        <f t="shared" si="2"/>
        <v>0</v>
      </c>
      <c r="AK11" s="96">
        <f t="shared" si="2"/>
        <v>46.674350000000004</v>
      </c>
    </row>
    <row r="12" spans="1:3" ht="4.5" customHeight="1">
      <c r="A12" s="303"/>
      <c r="B12" s="303"/>
      <c r="C12" s="306"/>
    </row>
    <row r="13" spans="1:37" ht="25.5" customHeight="1">
      <c r="A13" s="303"/>
      <c r="B13" s="303"/>
      <c r="C13" s="305"/>
      <c r="D13" s="289" t="s">
        <v>414</v>
      </c>
      <c r="E13" s="289" t="s">
        <v>444</v>
      </c>
      <c r="F13" s="26" t="s">
        <v>445</v>
      </c>
      <c r="G13" s="26" t="s">
        <v>410</v>
      </c>
      <c r="H13" s="31">
        <f>+P13+W13+AD13+AK13</f>
        <v>86.502</v>
      </c>
      <c r="I13" s="121"/>
      <c r="J13" s="172"/>
      <c r="K13" s="30">
        <f>+PROYECCIONES!D65</f>
        <v>19.254</v>
      </c>
      <c r="L13" s="30"/>
      <c r="M13" s="30"/>
      <c r="N13" s="30"/>
      <c r="O13" s="30"/>
      <c r="P13" s="30">
        <f>SUM(K13:O13)</f>
        <v>19.254</v>
      </c>
      <c r="Q13" s="172"/>
      <c r="R13" s="30">
        <f>+PROYECCIONES!E65</f>
        <v>20.755</v>
      </c>
      <c r="S13" s="30"/>
      <c r="T13" s="30"/>
      <c r="U13" s="30"/>
      <c r="V13" s="30"/>
      <c r="W13" s="30">
        <f>SUM(R13:V13)</f>
        <v>20.755</v>
      </c>
      <c r="X13" s="172"/>
      <c r="Y13" s="30">
        <f>+PROYECCIONES!F65</f>
        <v>22.374</v>
      </c>
      <c r="Z13" s="30"/>
      <c r="AA13" s="30"/>
      <c r="AB13" s="30"/>
      <c r="AC13" s="30"/>
      <c r="AD13" s="30">
        <f>SUM(Y13:AC13)</f>
        <v>22.374</v>
      </c>
      <c r="AE13" s="172"/>
      <c r="AF13" s="30">
        <f>+PROYECCIONES!G65</f>
        <v>24.119</v>
      </c>
      <c r="AG13" s="30"/>
      <c r="AH13" s="30"/>
      <c r="AI13" s="30"/>
      <c r="AJ13" s="30"/>
      <c r="AK13" s="30">
        <f>SUM(AF13:AJ13)</f>
        <v>24.119</v>
      </c>
    </row>
    <row r="14" spans="1:37" ht="25.5" customHeight="1">
      <c r="A14" s="303"/>
      <c r="B14" s="303"/>
      <c r="C14" s="305"/>
      <c r="D14" s="289"/>
      <c r="E14" s="289"/>
      <c r="F14" s="26" t="s">
        <v>446</v>
      </c>
      <c r="G14" s="26" t="s">
        <v>412</v>
      </c>
      <c r="H14" s="31">
        <f>+P14+W14+AD14+AK14</f>
        <v>119.93427009753759</v>
      </c>
      <c r="I14" s="122"/>
      <c r="J14" s="173"/>
      <c r="K14" s="30"/>
      <c r="L14" s="30">
        <v>30</v>
      </c>
      <c r="M14" s="30"/>
      <c r="N14" s="30"/>
      <c r="O14" s="30"/>
      <c r="P14" s="30">
        <f>SUM(K14:O14)</f>
        <v>30</v>
      </c>
      <c r="Q14" s="173"/>
      <c r="R14" s="30"/>
      <c r="S14" s="30"/>
      <c r="T14" s="30">
        <f>+T3*0.4</f>
        <v>33.209986823648386</v>
      </c>
      <c r="U14" s="30"/>
      <c r="V14" s="30"/>
      <c r="W14" s="30">
        <f>SUM(R14:V14)</f>
        <v>33.209986823648386</v>
      </c>
      <c r="X14" s="173"/>
      <c r="Y14" s="30"/>
      <c r="Z14" s="30"/>
      <c r="AA14" s="30">
        <f>+AA3*0.4</f>
        <v>30.014239552104232</v>
      </c>
      <c r="AB14" s="30"/>
      <c r="AC14" s="30"/>
      <c r="AD14" s="30">
        <f>SUM(Y14:AC14)</f>
        <v>30.014239552104232</v>
      </c>
      <c r="AE14" s="173"/>
      <c r="AF14" s="30"/>
      <c r="AG14" s="30"/>
      <c r="AH14" s="30">
        <f>+AH3*0.4</f>
        <v>26.710043721784974</v>
      </c>
      <c r="AI14" s="30"/>
      <c r="AJ14" s="30"/>
      <c r="AK14" s="30">
        <f>SUM(AF14:AJ14)</f>
        <v>26.710043721784974</v>
      </c>
    </row>
    <row r="15" spans="1:37" ht="25.5" customHeight="1">
      <c r="A15" s="303"/>
      <c r="B15" s="303"/>
      <c r="C15" s="305"/>
      <c r="D15" s="289"/>
      <c r="E15" s="289"/>
      <c r="F15" s="26" t="s">
        <v>424</v>
      </c>
      <c r="G15" s="26" t="s">
        <v>28</v>
      </c>
      <c r="H15" s="31">
        <f>+P15+W15+AD15+AK15</f>
        <v>47.33803156868159</v>
      </c>
      <c r="I15" s="122"/>
      <c r="J15" s="173"/>
      <c r="K15" s="30"/>
      <c r="L15" s="30"/>
      <c r="M15" s="30">
        <f>+M3*0.15</f>
        <v>13.612680282105003</v>
      </c>
      <c r="N15" s="30"/>
      <c r="O15" s="30"/>
      <c r="P15" s="30">
        <f>SUM(K15:O15)</f>
        <v>13.612680282105003</v>
      </c>
      <c r="Q15" s="173"/>
      <c r="R15" s="30"/>
      <c r="S15" s="30"/>
      <c r="T15" s="30">
        <f>+T3*0.15</f>
        <v>12.453745058868146</v>
      </c>
      <c r="U15" s="30"/>
      <c r="V15" s="30"/>
      <c r="W15" s="30">
        <f>SUM(R15:V15)</f>
        <v>12.453745058868146</v>
      </c>
      <c r="X15" s="173"/>
      <c r="Y15" s="30"/>
      <c r="Z15" s="30"/>
      <c r="AA15" s="30">
        <f>+AA3*0.15</f>
        <v>11.255339832039086</v>
      </c>
      <c r="AB15" s="30"/>
      <c r="AC15" s="30"/>
      <c r="AD15" s="30">
        <f>SUM(Y15:AC15)</f>
        <v>11.255339832039086</v>
      </c>
      <c r="AE15" s="173"/>
      <c r="AF15" s="30"/>
      <c r="AG15" s="30"/>
      <c r="AH15" s="30">
        <f>+AH3*0.15</f>
        <v>10.016266395669364</v>
      </c>
      <c r="AI15" s="30"/>
      <c r="AJ15" s="30"/>
      <c r="AK15" s="30">
        <f>SUM(AF15:AJ15)</f>
        <v>10.016266395669364</v>
      </c>
    </row>
    <row r="16" spans="1:37" ht="25.5" customHeight="1">
      <c r="A16" s="303"/>
      <c r="B16" s="303"/>
      <c r="C16" s="305"/>
      <c r="D16" s="289"/>
      <c r="E16" s="289"/>
      <c r="F16" s="26" t="s">
        <v>425</v>
      </c>
      <c r="G16" s="26" t="s">
        <v>34</v>
      </c>
      <c r="H16" s="31">
        <f>+P16+W16+AD16+AK16</f>
        <v>9.84665</v>
      </c>
      <c r="I16" s="122"/>
      <c r="J16" s="173"/>
      <c r="K16" s="30">
        <f>+K4*0.05</f>
        <v>2.19165</v>
      </c>
      <c r="L16" s="30"/>
      <c r="M16" s="30"/>
      <c r="N16" s="30"/>
      <c r="O16" s="30"/>
      <c r="P16" s="30">
        <f>SUM(K16:O16)</f>
        <v>2.19165</v>
      </c>
      <c r="Q16" s="173"/>
      <c r="R16" s="30">
        <f>+R4*0.05</f>
        <v>2.3626</v>
      </c>
      <c r="S16" s="30"/>
      <c r="T16" s="30"/>
      <c r="U16" s="30"/>
      <c r="V16" s="30"/>
      <c r="W16" s="30">
        <f>SUM(R16:V16)</f>
        <v>2.3626</v>
      </c>
      <c r="X16" s="173"/>
      <c r="Y16" s="30">
        <f>+Y4*0.05</f>
        <v>2.54685</v>
      </c>
      <c r="Z16" s="30"/>
      <c r="AA16" s="30"/>
      <c r="AB16" s="30"/>
      <c r="AC16" s="30"/>
      <c r="AD16" s="30">
        <f>SUM(Y16:AC16)</f>
        <v>2.54685</v>
      </c>
      <c r="AE16" s="173"/>
      <c r="AF16" s="30">
        <f>+AF4*0.05</f>
        <v>2.74555</v>
      </c>
      <c r="AG16" s="30"/>
      <c r="AH16" s="30"/>
      <c r="AI16" s="30"/>
      <c r="AJ16" s="30"/>
      <c r="AK16" s="30">
        <f>SUM(AF16:AJ16)</f>
        <v>2.74555</v>
      </c>
    </row>
    <row r="17" spans="1:37" ht="25.5" customHeight="1">
      <c r="A17" s="303"/>
      <c r="B17" s="303"/>
      <c r="C17" s="305"/>
      <c r="D17" s="289"/>
      <c r="E17" s="289"/>
      <c r="F17" s="26" t="s">
        <v>447</v>
      </c>
      <c r="G17" s="26" t="s">
        <v>633</v>
      </c>
      <c r="H17" s="31">
        <f>+P17+W17+AD17+AK17</f>
        <v>19.6933</v>
      </c>
      <c r="I17" s="123"/>
      <c r="J17" s="174"/>
      <c r="K17" s="30">
        <f>+K4*0.1</f>
        <v>4.3833</v>
      </c>
      <c r="L17" s="30"/>
      <c r="M17" s="30"/>
      <c r="N17" s="30"/>
      <c r="O17" s="30"/>
      <c r="P17" s="30">
        <f>SUM(K17:O17)</f>
        <v>4.3833</v>
      </c>
      <c r="Q17" s="174"/>
      <c r="R17" s="30">
        <f>+R4*0.1</f>
        <v>4.7252</v>
      </c>
      <c r="S17" s="30"/>
      <c r="T17" s="30"/>
      <c r="U17" s="30"/>
      <c r="V17" s="30"/>
      <c r="W17" s="30">
        <f>SUM(R17:V17)</f>
        <v>4.7252</v>
      </c>
      <c r="X17" s="174"/>
      <c r="Y17" s="30">
        <f>+Y4*0.1</f>
        <v>5.0937</v>
      </c>
      <c r="Z17" s="30"/>
      <c r="AA17" s="30"/>
      <c r="AB17" s="30"/>
      <c r="AC17" s="30"/>
      <c r="AD17" s="30">
        <f>SUM(Y17:AC17)</f>
        <v>5.0937</v>
      </c>
      <c r="AE17" s="174"/>
      <c r="AF17" s="30">
        <f>+AF4*0.1</f>
        <v>5.4911</v>
      </c>
      <c r="AG17" s="30"/>
      <c r="AH17" s="30"/>
      <c r="AI17" s="30"/>
      <c r="AJ17" s="30"/>
      <c r="AK17" s="30">
        <f>SUM(AF17:AJ17)</f>
        <v>5.4911</v>
      </c>
    </row>
    <row r="18" spans="1:37" ht="12.75">
      <c r="A18" s="303"/>
      <c r="B18" s="303"/>
      <c r="C18" s="306"/>
      <c r="G18" s="142" t="s">
        <v>235</v>
      </c>
      <c r="H18" s="96">
        <f>SUM(H13:H17)</f>
        <v>283.3142516662192</v>
      </c>
      <c r="I18" s="119">
        <f>+H18/H39</f>
        <v>0.3363403910364783</v>
      </c>
      <c r="J18" s="151"/>
      <c r="K18" s="96">
        <f aca="true" t="shared" si="3" ref="K18:AK18">SUM(K13:K17)</f>
        <v>25.82895</v>
      </c>
      <c r="L18" s="96">
        <f t="shared" si="3"/>
        <v>30</v>
      </c>
      <c r="M18" s="96">
        <f t="shared" si="3"/>
        <v>13.612680282105003</v>
      </c>
      <c r="N18" s="96">
        <f t="shared" si="3"/>
        <v>0</v>
      </c>
      <c r="O18" s="96">
        <f t="shared" si="3"/>
        <v>0</v>
      </c>
      <c r="P18" s="96">
        <f t="shared" si="3"/>
        <v>69.44163028210501</v>
      </c>
      <c r="Q18" s="151"/>
      <c r="R18" s="96">
        <f t="shared" si="3"/>
        <v>27.8428</v>
      </c>
      <c r="S18" s="96">
        <f t="shared" si="3"/>
        <v>0</v>
      </c>
      <c r="T18" s="96">
        <f t="shared" si="3"/>
        <v>45.66373188251653</v>
      </c>
      <c r="U18" s="96">
        <f t="shared" si="3"/>
        <v>0</v>
      </c>
      <c r="V18" s="96">
        <f t="shared" si="3"/>
        <v>0</v>
      </c>
      <c r="W18" s="96">
        <f t="shared" si="3"/>
        <v>73.50653188251654</v>
      </c>
      <c r="X18" s="151"/>
      <c r="Y18" s="96">
        <f t="shared" si="3"/>
        <v>30.01455</v>
      </c>
      <c r="Z18" s="96">
        <f t="shared" si="3"/>
        <v>0</v>
      </c>
      <c r="AA18" s="96">
        <f t="shared" si="3"/>
        <v>41.26957938414332</v>
      </c>
      <c r="AB18" s="96">
        <f t="shared" si="3"/>
        <v>0</v>
      </c>
      <c r="AC18" s="96">
        <f t="shared" si="3"/>
        <v>0</v>
      </c>
      <c r="AD18" s="96">
        <f t="shared" si="3"/>
        <v>71.28412938414331</v>
      </c>
      <c r="AE18" s="151"/>
      <c r="AF18" s="96">
        <f t="shared" si="3"/>
        <v>32.355650000000004</v>
      </c>
      <c r="AG18" s="96">
        <f t="shared" si="3"/>
        <v>0</v>
      </c>
      <c r="AH18" s="96">
        <f t="shared" si="3"/>
        <v>36.72631011745434</v>
      </c>
      <c r="AI18" s="96">
        <f t="shared" si="3"/>
        <v>0</v>
      </c>
      <c r="AJ18" s="96">
        <f t="shared" si="3"/>
        <v>0</v>
      </c>
      <c r="AK18" s="96">
        <f t="shared" si="3"/>
        <v>69.08196011745433</v>
      </c>
    </row>
    <row r="19" spans="1:3" ht="4.5" customHeight="1">
      <c r="A19" s="303"/>
      <c r="B19" s="303"/>
      <c r="C19" s="306"/>
    </row>
    <row r="20" spans="1:37" ht="25.5" customHeight="1">
      <c r="A20" s="303"/>
      <c r="B20" s="303"/>
      <c r="C20" s="305"/>
      <c r="D20" s="289" t="s">
        <v>423</v>
      </c>
      <c r="E20" s="26" t="s">
        <v>415</v>
      </c>
      <c r="F20" s="26" t="s">
        <v>416</v>
      </c>
      <c r="G20" s="26" t="s">
        <v>417</v>
      </c>
      <c r="H20" s="31">
        <f>+P20+W20+AD20+AK20</f>
        <v>0</v>
      </c>
      <c r="I20" s="121"/>
      <c r="J20" s="172"/>
      <c r="K20" s="30"/>
      <c r="L20" s="30"/>
      <c r="M20" s="30"/>
      <c r="N20" s="30"/>
      <c r="O20" s="30"/>
      <c r="P20" s="30">
        <f>SUM(K20:O20)</f>
        <v>0</v>
      </c>
      <c r="Q20" s="172"/>
      <c r="R20" s="30"/>
      <c r="S20" s="30"/>
      <c r="T20" s="30"/>
      <c r="U20" s="30"/>
      <c r="V20" s="30"/>
      <c r="W20" s="30">
        <f>SUM(R20:V20)</f>
        <v>0</v>
      </c>
      <c r="X20" s="172"/>
      <c r="Y20" s="30"/>
      <c r="Z20" s="30"/>
      <c r="AA20" s="30"/>
      <c r="AB20" s="30"/>
      <c r="AC20" s="30"/>
      <c r="AD20" s="30">
        <f>SUM(Y20:AC20)</f>
        <v>0</v>
      </c>
      <c r="AE20" s="172"/>
      <c r="AF20" s="30"/>
      <c r="AG20" s="30"/>
      <c r="AH20" s="30"/>
      <c r="AI20" s="30"/>
      <c r="AJ20" s="30"/>
      <c r="AK20" s="30">
        <f>SUM(AF20:AJ20)</f>
        <v>0</v>
      </c>
    </row>
    <row r="21" spans="1:37" ht="25.5" customHeight="1">
      <c r="A21" s="303"/>
      <c r="B21" s="303"/>
      <c r="C21" s="305"/>
      <c r="D21" s="289"/>
      <c r="E21" s="289" t="s">
        <v>418</v>
      </c>
      <c r="F21" s="289" t="s">
        <v>419</v>
      </c>
      <c r="G21" s="26" t="s">
        <v>420</v>
      </c>
      <c r="H21" s="31">
        <f>+P21+W21+AD21+AK21</f>
        <v>0</v>
      </c>
      <c r="I21" s="122"/>
      <c r="J21" s="173"/>
      <c r="K21" s="30"/>
      <c r="L21" s="30"/>
      <c r="M21" s="30"/>
      <c r="N21" s="30"/>
      <c r="O21" s="30"/>
      <c r="P21" s="30">
        <f>SUM(K21:O21)</f>
        <v>0</v>
      </c>
      <c r="Q21" s="173"/>
      <c r="R21" s="30"/>
      <c r="S21" s="30"/>
      <c r="T21" s="30"/>
      <c r="U21" s="30"/>
      <c r="V21" s="30"/>
      <c r="W21" s="30">
        <f>SUM(R21:V21)</f>
        <v>0</v>
      </c>
      <c r="X21" s="173"/>
      <c r="Y21" s="30"/>
      <c r="Z21" s="30"/>
      <c r="AA21" s="30"/>
      <c r="AB21" s="30"/>
      <c r="AC21" s="30"/>
      <c r="AD21" s="30">
        <f>SUM(Y21:AC21)</f>
        <v>0</v>
      </c>
      <c r="AE21" s="173"/>
      <c r="AF21" s="30"/>
      <c r="AG21" s="30"/>
      <c r="AH21" s="30"/>
      <c r="AI21" s="30"/>
      <c r="AJ21" s="30"/>
      <c r="AK21" s="30">
        <f>SUM(AF21:AJ21)</f>
        <v>0</v>
      </c>
    </row>
    <row r="22" spans="1:37" ht="25.5" customHeight="1">
      <c r="A22" s="303"/>
      <c r="B22" s="303"/>
      <c r="C22" s="305"/>
      <c r="D22" s="289"/>
      <c r="E22" s="289"/>
      <c r="F22" s="289"/>
      <c r="G22" s="26" t="s">
        <v>421</v>
      </c>
      <c r="H22" s="31">
        <f>+P22+W22+AD22+AK22</f>
        <v>0</v>
      </c>
      <c r="I22" s="122"/>
      <c r="J22" s="173"/>
      <c r="K22" s="30"/>
      <c r="L22" s="30"/>
      <c r="M22" s="30"/>
      <c r="N22" s="30"/>
      <c r="O22" s="30"/>
      <c r="P22" s="30">
        <f>SUM(K22:O22)</f>
        <v>0</v>
      </c>
      <c r="Q22" s="173"/>
      <c r="R22" s="30"/>
      <c r="S22" s="30"/>
      <c r="T22" s="30"/>
      <c r="U22" s="30"/>
      <c r="V22" s="30"/>
      <c r="W22" s="30">
        <f>SUM(R22:V22)</f>
        <v>0</v>
      </c>
      <c r="X22" s="173"/>
      <c r="Y22" s="30"/>
      <c r="Z22" s="30"/>
      <c r="AA22" s="30"/>
      <c r="AB22" s="30"/>
      <c r="AC22" s="30"/>
      <c r="AD22" s="30">
        <f>SUM(Y22:AC22)</f>
        <v>0</v>
      </c>
      <c r="AE22" s="173"/>
      <c r="AF22" s="30"/>
      <c r="AG22" s="30"/>
      <c r="AH22" s="30"/>
      <c r="AI22" s="30"/>
      <c r="AJ22" s="30"/>
      <c r="AK22" s="30">
        <f>SUM(AF22:AJ22)</f>
        <v>0</v>
      </c>
    </row>
    <row r="23" spans="1:37" ht="25.5" customHeight="1">
      <c r="A23" s="303"/>
      <c r="B23" s="303"/>
      <c r="C23" s="305"/>
      <c r="D23" s="289"/>
      <c r="E23" s="289"/>
      <c r="F23" s="289"/>
      <c r="G23" s="26" t="s">
        <v>422</v>
      </c>
      <c r="H23" s="31">
        <f>+P23+W23+AD23+AK23</f>
        <v>78.896719281136</v>
      </c>
      <c r="I23" s="123"/>
      <c r="J23" s="174"/>
      <c r="K23" s="30"/>
      <c r="L23" s="30"/>
      <c r="M23" s="30">
        <f>+M3*0.25</f>
        <v>22.687800470175006</v>
      </c>
      <c r="N23" s="30"/>
      <c r="O23" s="30"/>
      <c r="P23" s="30">
        <f>SUM(K23:O23)</f>
        <v>22.687800470175006</v>
      </c>
      <c r="Q23" s="174"/>
      <c r="R23" s="30"/>
      <c r="S23" s="30"/>
      <c r="T23" s="30">
        <f>+T3*0.25</f>
        <v>20.756241764780242</v>
      </c>
      <c r="U23" s="30"/>
      <c r="V23" s="30"/>
      <c r="W23" s="30">
        <f>SUM(R23:V23)</f>
        <v>20.756241764780242</v>
      </c>
      <c r="X23" s="174"/>
      <c r="Y23" s="30"/>
      <c r="Z23" s="30"/>
      <c r="AA23" s="30">
        <f>+AA3*0.25</f>
        <v>18.758899720065145</v>
      </c>
      <c r="AB23" s="30"/>
      <c r="AC23" s="30"/>
      <c r="AD23" s="30">
        <f>SUM(Y23:AC23)</f>
        <v>18.758899720065145</v>
      </c>
      <c r="AE23" s="174"/>
      <c r="AF23" s="30"/>
      <c r="AG23" s="30"/>
      <c r="AH23" s="30">
        <f>+AH3*0.25</f>
        <v>16.693777326115608</v>
      </c>
      <c r="AI23" s="30"/>
      <c r="AJ23" s="30"/>
      <c r="AK23" s="30">
        <f>SUM(AF23:AJ23)</f>
        <v>16.693777326115608</v>
      </c>
    </row>
    <row r="24" spans="1:37" ht="12.75">
      <c r="A24" s="303"/>
      <c r="B24" s="303"/>
      <c r="C24" s="306"/>
      <c r="G24" s="142" t="s">
        <v>235</v>
      </c>
      <c r="H24" s="96">
        <f>SUM(H20:H23)</f>
        <v>78.896719281136</v>
      </c>
      <c r="I24" s="119">
        <f>+H24/H39</f>
        <v>0.09366332000049032</v>
      </c>
      <c r="J24" s="119"/>
      <c r="K24" s="96">
        <f aca="true" t="shared" si="4" ref="K24:AK24">SUM(K20:K23)</f>
        <v>0</v>
      </c>
      <c r="L24" s="96">
        <f t="shared" si="4"/>
        <v>0</v>
      </c>
      <c r="M24" s="96">
        <f t="shared" si="4"/>
        <v>22.687800470175006</v>
      </c>
      <c r="N24" s="96">
        <f t="shared" si="4"/>
        <v>0</v>
      </c>
      <c r="O24" s="96">
        <f t="shared" si="4"/>
        <v>0</v>
      </c>
      <c r="P24" s="96">
        <f t="shared" si="4"/>
        <v>22.687800470175006</v>
      </c>
      <c r="Q24" s="119"/>
      <c r="R24" s="96">
        <f t="shared" si="4"/>
        <v>0</v>
      </c>
      <c r="S24" s="96">
        <f t="shared" si="4"/>
        <v>0</v>
      </c>
      <c r="T24" s="96">
        <f t="shared" si="4"/>
        <v>20.756241764780242</v>
      </c>
      <c r="U24" s="96">
        <f t="shared" si="4"/>
        <v>0</v>
      </c>
      <c r="V24" s="96">
        <f t="shared" si="4"/>
        <v>0</v>
      </c>
      <c r="W24" s="96">
        <f t="shared" si="4"/>
        <v>20.756241764780242</v>
      </c>
      <c r="X24" s="119"/>
      <c r="Y24" s="96">
        <f t="shared" si="4"/>
        <v>0</v>
      </c>
      <c r="Z24" s="96">
        <f t="shared" si="4"/>
        <v>0</v>
      </c>
      <c r="AA24" s="96">
        <f t="shared" si="4"/>
        <v>18.758899720065145</v>
      </c>
      <c r="AB24" s="96">
        <f t="shared" si="4"/>
        <v>0</v>
      </c>
      <c r="AC24" s="96">
        <f t="shared" si="4"/>
        <v>0</v>
      </c>
      <c r="AD24" s="96">
        <f t="shared" si="4"/>
        <v>18.758899720065145</v>
      </c>
      <c r="AE24" s="119"/>
      <c r="AF24" s="96">
        <f t="shared" si="4"/>
        <v>0</v>
      </c>
      <c r="AG24" s="96">
        <f t="shared" si="4"/>
        <v>0</v>
      </c>
      <c r="AH24" s="96">
        <f t="shared" si="4"/>
        <v>16.693777326115608</v>
      </c>
      <c r="AI24" s="96">
        <f t="shared" si="4"/>
        <v>0</v>
      </c>
      <c r="AJ24" s="96">
        <f t="shared" si="4"/>
        <v>0</v>
      </c>
      <c r="AK24" s="96">
        <f t="shared" si="4"/>
        <v>16.693777326115608</v>
      </c>
    </row>
    <row r="25" spans="1:3" ht="4.5" customHeight="1">
      <c r="A25" s="303"/>
      <c r="B25" s="303"/>
      <c r="C25" s="306"/>
    </row>
    <row r="26" spans="1:37" ht="38.25">
      <c r="A26" s="303"/>
      <c r="B26" s="303"/>
      <c r="C26" s="305"/>
      <c r="D26" s="26" t="s">
        <v>430</v>
      </c>
      <c r="E26" s="26" t="s">
        <v>426</v>
      </c>
      <c r="F26" s="26" t="s">
        <v>448</v>
      </c>
      <c r="G26" s="26" t="s">
        <v>449</v>
      </c>
      <c r="H26" s="31">
        <f>+P26+W26+AD26+AK26</f>
        <v>36.0962478064894</v>
      </c>
      <c r="I26" s="191"/>
      <c r="J26" s="192"/>
      <c r="K26" s="30"/>
      <c r="L26" s="30"/>
      <c r="M26" s="30">
        <f>+M3*0.15</f>
        <v>13.612680282105003</v>
      </c>
      <c r="N26" s="30"/>
      <c r="O26" s="30"/>
      <c r="P26" s="30">
        <f>SUM(K26:O26)</f>
        <v>13.612680282105003</v>
      </c>
      <c r="Q26" s="192"/>
      <c r="R26" s="30"/>
      <c r="S26" s="30"/>
      <c r="T26" s="30">
        <f>+T3*0.1</f>
        <v>8.302496705912096</v>
      </c>
      <c r="U26" s="30"/>
      <c r="V26" s="30"/>
      <c r="W26" s="30">
        <f>SUM(R26:V26)</f>
        <v>8.302496705912096</v>
      </c>
      <c r="X26" s="192"/>
      <c r="Y26" s="30"/>
      <c r="Z26" s="30"/>
      <c r="AA26" s="30">
        <f>+AA3*0.1</f>
        <v>7.503559888026058</v>
      </c>
      <c r="AB26" s="30"/>
      <c r="AC26" s="30"/>
      <c r="AD26" s="30">
        <f>SUM(Y26:AC26)</f>
        <v>7.503559888026058</v>
      </c>
      <c r="AE26" s="192"/>
      <c r="AF26" s="30"/>
      <c r="AG26" s="30"/>
      <c r="AH26" s="30">
        <f>+AH3*0.1</f>
        <v>6.677510930446243</v>
      </c>
      <c r="AI26" s="30"/>
      <c r="AJ26" s="30"/>
      <c r="AK26" s="30">
        <f>SUM(AF26:AJ26)</f>
        <v>6.677510930446243</v>
      </c>
    </row>
    <row r="27" spans="7:37" ht="12.75">
      <c r="G27" s="142" t="s">
        <v>235</v>
      </c>
      <c r="H27" s="96">
        <f>SUM(H26)</f>
        <v>36.0962478064894</v>
      </c>
      <c r="I27" s="119">
        <f>+H27/H39</f>
        <v>0.04285215456258619</v>
      </c>
      <c r="J27" s="151"/>
      <c r="K27" s="96">
        <f aca="true" t="shared" si="5" ref="K27:AK27">SUM(K26)</f>
        <v>0</v>
      </c>
      <c r="L27" s="96">
        <f t="shared" si="5"/>
        <v>0</v>
      </c>
      <c r="M27" s="96">
        <f t="shared" si="5"/>
        <v>13.612680282105003</v>
      </c>
      <c r="N27" s="96">
        <f t="shared" si="5"/>
        <v>0</v>
      </c>
      <c r="O27" s="96">
        <f t="shared" si="5"/>
        <v>0</v>
      </c>
      <c r="P27" s="96">
        <f t="shared" si="5"/>
        <v>13.612680282105003</v>
      </c>
      <c r="Q27" s="151"/>
      <c r="R27" s="96">
        <f t="shared" si="5"/>
        <v>0</v>
      </c>
      <c r="S27" s="96">
        <f t="shared" si="5"/>
        <v>0</v>
      </c>
      <c r="T27" s="96">
        <f t="shared" si="5"/>
        <v>8.302496705912096</v>
      </c>
      <c r="U27" s="96">
        <f t="shared" si="5"/>
        <v>0</v>
      </c>
      <c r="V27" s="96">
        <f t="shared" si="5"/>
        <v>0</v>
      </c>
      <c r="W27" s="96">
        <f t="shared" si="5"/>
        <v>8.302496705912096</v>
      </c>
      <c r="X27" s="151"/>
      <c r="Y27" s="96">
        <f t="shared" si="5"/>
        <v>0</v>
      </c>
      <c r="Z27" s="96">
        <f t="shared" si="5"/>
        <v>0</v>
      </c>
      <c r="AA27" s="96">
        <f t="shared" si="5"/>
        <v>7.503559888026058</v>
      </c>
      <c r="AB27" s="96">
        <f t="shared" si="5"/>
        <v>0</v>
      </c>
      <c r="AC27" s="96">
        <f t="shared" si="5"/>
        <v>0</v>
      </c>
      <c r="AD27" s="96">
        <f t="shared" si="5"/>
        <v>7.503559888026058</v>
      </c>
      <c r="AE27" s="151"/>
      <c r="AF27" s="96">
        <f t="shared" si="5"/>
        <v>0</v>
      </c>
      <c r="AG27" s="96">
        <f t="shared" si="5"/>
        <v>0</v>
      </c>
      <c r="AH27" s="96">
        <f t="shared" si="5"/>
        <v>6.677510930446243</v>
      </c>
      <c r="AI27" s="96">
        <f t="shared" si="5"/>
        <v>0</v>
      </c>
      <c r="AJ27" s="96">
        <f t="shared" si="5"/>
        <v>0</v>
      </c>
      <c r="AK27" s="96">
        <f t="shared" si="5"/>
        <v>6.677510930446243</v>
      </c>
    </row>
    <row r="28" ht="4.5" customHeight="1"/>
    <row r="29" spans="7:37" s="155" customFormat="1" ht="12.75">
      <c r="G29" s="148" t="s">
        <v>434</v>
      </c>
      <c r="H29" s="96">
        <f>+H11+H18+H24+H27</f>
        <v>622.9256293180546</v>
      </c>
      <c r="I29" s="119"/>
      <c r="J29" s="151"/>
      <c r="K29" s="96">
        <f>+K11+K18+K24+K27</f>
        <v>63.087</v>
      </c>
      <c r="L29" s="96">
        <f aca="true" t="shared" si="6" ref="L29:AK29">+L11+L18+L24+L27</f>
        <v>60</v>
      </c>
      <c r="M29" s="96">
        <f t="shared" si="6"/>
        <v>77.13852159859502</v>
      </c>
      <c r="N29" s="96">
        <f t="shared" si="6"/>
        <v>0</v>
      </c>
      <c r="O29" s="96">
        <f t="shared" si="6"/>
        <v>0</v>
      </c>
      <c r="P29" s="96">
        <f t="shared" si="6"/>
        <v>200.225521598595</v>
      </c>
      <c r="Q29" s="151"/>
      <c r="R29" s="96">
        <f t="shared" si="6"/>
        <v>68.007</v>
      </c>
      <c r="S29" s="96">
        <f t="shared" si="6"/>
        <v>0</v>
      </c>
      <c r="T29" s="96">
        <f t="shared" si="6"/>
        <v>74.72247035320886</v>
      </c>
      <c r="U29" s="96">
        <f t="shared" si="6"/>
        <v>0</v>
      </c>
      <c r="V29" s="96">
        <f t="shared" si="6"/>
        <v>0</v>
      </c>
      <c r="W29" s="96">
        <f t="shared" si="6"/>
        <v>142.72947035320888</v>
      </c>
      <c r="X29" s="151"/>
      <c r="Y29" s="96">
        <f t="shared" si="6"/>
        <v>73.31099999999999</v>
      </c>
      <c r="Z29" s="96">
        <f t="shared" si="6"/>
        <v>0</v>
      </c>
      <c r="AA29" s="96">
        <f t="shared" si="6"/>
        <v>67.53203899223452</v>
      </c>
      <c r="AB29" s="96">
        <f t="shared" si="6"/>
        <v>0</v>
      </c>
      <c r="AC29" s="96">
        <f t="shared" si="6"/>
        <v>0</v>
      </c>
      <c r="AD29" s="96">
        <f t="shared" si="6"/>
        <v>140.8430389922345</v>
      </c>
      <c r="AE29" s="151"/>
      <c r="AF29" s="96">
        <f t="shared" si="6"/>
        <v>79.03</v>
      </c>
      <c r="AG29" s="96">
        <f t="shared" si="6"/>
        <v>0</v>
      </c>
      <c r="AH29" s="96">
        <f t="shared" si="6"/>
        <v>60.097598374016194</v>
      </c>
      <c r="AI29" s="96">
        <f t="shared" si="6"/>
        <v>0</v>
      </c>
      <c r="AJ29" s="96">
        <f t="shared" si="6"/>
        <v>0</v>
      </c>
      <c r="AK29" s="96">
        <f t="shared" si="6"/>
        <v>139.12759837401617</v>
      </c>
    </row>
    <row r="31" spans="1:37" s="89" customFormat="1" ht="25.5" customHeight="1">
      <c r="A31" s="290" t="s">
        <v>56</v>
      </c>
      <c r="B31" s="293" t="s">
        <v>428</v>
      </c>
      <c r="C31" s="296" t="s">
        <v>4</v>
      </c>
      <c r="D31" s="289" t="s">
        <v>429</v>
      </c>
      <c r="E31" s="289" t="s">
        <v>450</v>
      </c>
      <c r="F31" s="289" t="s">
        <v>451</v>
      </c>
      <c r="G31" s="26" t="s">
        <v>452</v>
      </c>
      <c r="H31" s="31">
        <f>+P31+W31+AD31+AK31</f>
        <v>183.32194840633602</v>
      </c>
      <c r="I31" s="121"/>
      <c r="J31" s="172"/>
      <c r="K31" s="30">
        <f>+PROYECCIONES!D66</f>
        <v>5.761</v>
      </c>
      <c r="L31" s="30"/>
      <c r="M31" s="30"/>
      <c r="N31" s="30">
        <f>+PROYECCIONES!D67</f>
        <v>37.795</v>
      </c>
      <c r="O31" s="30"/>
      <c r="P31" s="30">
        <f>SUM(K31:O31)</f>
        <v>43.556000000000004</v>
      </c>
      <c r="Q31" s="172"/>
      <c r="R31" s="30">
        <f>+PROYECCIONES!E66</f>
        <v>6.106</v>
      </c>
      <c r="S31" s="30"/>
      <c r="T31" s="30"/>
      <c r="U31" s="30">
        <f>+PROYECCIONES!E67</f>
        <v>38.928850000000004</v>
      </c>
      <c r="V31" s="30"/>
      <c r="W31" s="30">
        <f>SUM(R31:V31)</f>
        <v>45.034850000000006</v>
      </c>
      <c r="X31" s="172"/>
      <c r="Y31" s="30">
        <f>+PROYECCIONES!F66</f>
        <v>6.473</v>
      </c>
      <c r="Z31" s="30"/>
      <c r="AA31" s="30"/>
      <c r="AB31" s="30">
        <f>+PROYECCIONES!F67</f>
        <v>40.0967155</v>
      </c>
      <c r="AC31" s="30"/>
      <c r="AD31" s="30">
        <f>SUM(Y31:AC31)</f>
        <v>46.5697155</v>
      </c>
      <c r="AE31" s="172"/>
      <c r="AF31" s="30">
        <f>+PROYECCIONES!G66</f>
        <v>6.861765941336</v>
      </c>
      <c r="AG31" s="30"/>
      <c r="AH31" s="30"/>
      <c r="AI31" s="30">
        <f>+PROYECCIONES!G67</f>
        <v>41.299616965000006</v>
      </c>
      <c r="AJ31" s="30"/>
      <c r="AK31" s="30">
        <f>SUM(AF31:AJ31)</f>
        <v>48.16138290633601</v>
      </c>
    </row>
    <row r="32" spans="1:37" s="89" customFormat="1" ht="25.5">
      <c r="A32" s="291"/>
      <c r="B32" s="294"/>
      <c r="C32" s="297"/>
      <c r="D32" s="289"/>
      <c r="E32" s="289"/>
      <c r="F32" s="289"/>
      <c r="G32" s="26" t="s">
        <v>453</v>
      </c>
      <c r="H32" s="31">
        <f>+P32+W32+AD32+AK32</f>
        <v>20.316903950262205</v>
      </c>
      <c r="I32" s="122"/>
      <c r="J32" s="173"/>
      <c r="K32" s="30"/>
      <c r="L32" s="30"/>
      <c r="M32" s="30">
        <f>+M3*0.1</f>
        <v>9.075120188070002</v>
      </c>
      <c r="N32" s="30"/>
      <c r="O32" s="30"/>
      <c r="P32" s="30">
        <f>SUM(K32:O32)</f>
        <v>9.075120188070002</v>
      </c>
      <c r="Q32" s="173"/>
      <c r="R32" s="30"/>
      <c r="S32" s="30"/>
      <c r="T32" s="30">
        <f>+T3*0.05</f>
        <v>4.151248352956048</v>
      </c>
      <c r="U32" s="30"/>
      <c r="V32" s="30"/>
      <c r="W32" s="30">
        <f>SUM(R32:V32)</f>
        <v>4.151248352956048</v>
      </c>
      <c r="X32" s="173"/>
      <c r="Y32" s="30"/>
      <c r="Z32" s="30"/>
      <c r="AA32" s="30">
        <f>+AA3*0.05</f>
        <v>3.751779944013029</v>
      </c>
      <c r="AB32" s="30"/>
      <c r="AC32" s="30"/>
      <c r="AD32" s="30">
        <f>SUM(Y32:AC32)</f>
        <v>3.751779944013029</v>
      </c>
      <c r="AE32" s="173"/>
      <c r="AF32" s="30"/>
      <c r="AG32" s="30"/>
      <c r="AH32" s="30">
        <f>+AH3*0.05</f>
        <v>3.3387554652231217</v>
      </c>
      <c r="AI32" s="30"/>
      <c r="AJ32" s="30"/>
      <c r="AK32" s="30">
        <f>SUM(AF32:AJ32)</f>
        <v>3.3387554652231217</v>
      </c>
    </row>
    <row r="33" spans="1:37" s="89" customFormat="1" ht="25.5">
      <c r="A33" s="291"/>
      <c r="B33" s="294"/>
      <c r="C33" s="297"/>
      <c r="D33" s="289"/>
      <c r="E33" s="289"/>
      <c r="F33" s="289"/>
      <c r="G33" s="26" t="s">
        <v>454</v>
      </c>
      <c r="H33" s="31">
        <f>+P33+W33+AD33+AK33</f>
        <v>7.8896719281136</v>
      </c>
      <c r="I33" s="122"/>
      <c r="J33" s="173"/>
      <c r="K33" s="30"/>
      <c r="L33" s="30"/>
      <c r="M33" s="30">
        <f>+M3*0.025</f>
        <v>2.2687800470175006</v>
      </c>
      <c r="N33" s="30"/>
      <c r="O33" s="30"/>
      <c r="P33" s="30">
        <f>SUM(K33:O33)</f>
        <v>2.2687800470175006</v>
      </c>
      <c r="Q33" s="173"/>
      <c r="R33" s="30"/>
      <c r="S33" s="30"/>
      <c r="T33" s="30">
        <f>+T3*0.025</f>
        <v>2.075624176478024</v>
      </c>
      <c r="U33" s="30"/>
      <c r="V33" s="30"/>
      <c r="W33" s="30">
        <f>SUM(R33:V33)</f>
        <v>2.075624176478024</v>
      </c>
      <c r="X33" s="173"/>
      <c r="Y33" s="30"/>
      <c r="Z33" s="30"/>
      <c r="AA33" s="30">
        <f>+AA3*0.025</f>
        <v>1.8758899720065145</v>
      </c>
      <c r="AB33" s="30"/>
      <c r="AC33" s="30"/>
      <c r="AD33" s="30">
        <f>SUM(Y33:AC33)</f>
        <v>1.8758899720065145</v>
      </c>
      <c r="AE33" s="173"/>
      <c r="AF33" s="30"/>
      <c r="AG33" s="30"/>
      <c r="AH33" s="30">
        <f>+AH3*0.025</f>
        <v>1.6693777326115609</v>
      </c>
      <c r="AI33" s="30"/>
      <c r="AJ33" s="30"/>
      <c r="AK33" s="30">
        <f>SUM(AF33:AJ33)</f>
        <v>1.6693777326115609</v>
      </c>
    </row>
    <row r="34" spans="1:37" ht="26.25" customHeight="1">
      <c r="A34" s="292"/>
      <c r="B34" s="295"/>
      <c r="C34" s="298"/>
      <c r="D34" s="289"/>
      <c r="E34" s="289"/>
      <c r="F34" s="289"/>
      <c r="G34" s="26" t="s">
        <v>427</v>
      </c>
      <c r="H34" s="31">
        <f>+P34+W34+AD34+AK34</f>
        <v>7.8896719281136</v>
      </c>
      <c r="I34" s="123"/>
      <c r="J34" s="174"/>
      <c r="K34" s="30"/>
      <c r="L34" s="30"/>
      <c r="M34" s="30">
        <f>+M3*0.025</f>
        <v>2.2687800470175006</v>
      </c>
      <c r="N34" s="30"/>
      <c r="O34" s="30"/>
      <c r="P34" s="30">
        <f>SUM(K34:O34)</f>
        <v>2.2687800470175006</v>
      </c>
      <c r="Q34" s="174"/>
      <c r="R34" s="30"/>
      <c r="S34" s="30"/>
      <c r="T34" s="30">
        <f>+T3*0.025</f>
        <v>2.075624176478024</v>
      </c>
      <c r="U34" s="30"/>
      <c r="V34" s="30"/>
      <c r="W34" s="30">
        <f>SUM(R34:V34)</f>
        <v>2.075624176478024</v>
      </c>
      <c r="X34" s="174"/>
      <c r="Y34" s="30"/>
      <c r="Z34" s="30"/>
      <c r="AA34" s="30">
        <f>+AA3*0.025</f>
        <v>1.8758899720065145</v>
      </c>
      <c r="AB34" s="30"/>
      <c r="AC34" s="30"/>
      <c r="AD34" s="30">
        <f>SUM(Y34:AC34)</f>
        <v>1.8758899720065145</v>
      </c>
      <c r="AE34" s="174"/>
      <c r="AF34" s="30"/>
      <c r="AG34" s="30"/>
      <c r="AH34" s="30">
        <f>+AH3*0.025</f>
        <v>1.6693777326115609</v>
      </c>
      <c r="AI34" s="30"/>
      <c r="AJ34" s="30"/>
      <c r="AK34" s="30">
        <f>SUM(AF34:AJ34)</f>
        <v>1.6693777326115609</v>
      </c>
    </row>
    <row r="35" spans="7:37" ht="12.75">
      <c r="G35" s="142" t="s">
        <v>235</v>
      </c>
      <c r="H35" s="96">
        <f>SUM(H31:H34)</f>
        <v>219.41819621282542</v>
      </c>
      <c r="I35" s="119">
        <f>+H35/H39</f>
        <v>0.2604853143839916</v>
      </c>
      <c r="J35" s="151"/>
      <c r="K35" s="96">
        <f aca="true" t="shared" si="7" ref="K35:P35">SUM(K31:K34)</f>
        <v>5.761</v>
      </c>
      <c r="L35" s="96">
        <f t="shared" si="7"/>
        <v>0</v>
      </c>
      <c r="M35" s="96">
        <f t="shared" si="7"/>
        <v>13.612680282105003</v>
      </c>
      <c r="N35" s="96">
        <f t="shared" si="7"/>
        <v>37.795</v>
      </c>
      <c r="O35" s="96">
        <f t="shared" si="7"/>
        <v>0</v>
      </c>
      <c r="P35" s="96">
        <f t="shared" si="7"/>
        <v>57.16868028210501</v>
      </c>
      <c r="Q35" s="151"/>
      <c r="R35" s="96">
        <f aca="true" t="shared" si="8" ref="R35:W35">SUM(R31:R34)</f>
        <v>6.106</v>
      </c>
      <c r="S35" s="96">
        <f t="shared" si="8"/>
        <v>0</v>
      </c>
      <c r="T35" s="96">
        <f>SUM(T31:T34)</f>
        <v>8.302496705912096</v>
      </c>
      <c r="U35" s="96">
        <f t="shared" si="8"/>
        <v>38.928850000000004</v>
      </c>
      <c r="V35" s="96">
        <f t="shared" si="8"/>
        <v>0</v>
      </c>
      <c r="W35" s="96">
        <f t="shared" si="8"/>
        <v>53.3373467059121</v>
      </c>
      <c r="X35" s="151"/>
      <c r="Y35" s="96">
        <f aca="true" t="shared" si="9" ref="Y35:AD35">SUM(Y31:Y34)</f>
        <v>6.473</v>
      </c>
      <c r="Z35" s="96">
        <f t="shared" si="9"/>
        <v>0</v>
      </c>
      <c r="AA35" s="96">
        <f t="shared" si="9"/>
        <v>7.503559888026058</v>
      </c>
      <c r="AB35" s="96">
        <f t="shared" si="9"/>
        <v>40.0967155</v>
      </c>
      <c r="AC35" s="96">
        <f t="shared" si="9"/>
        <v>0</v>
      </c>
      <c r="AD35" s="96">
        <f t="shared" si="9"/>
        <v>54.073275388026055</v>
      </c>
      <c r="AE35" s="151"/>
      <c r="AF35" s="96">
        <f aca="true" t="shared" si="10" ref="AF35:AK35">SUM(AF31:AF34)</f>
        <v>6.861765941336</v>
      </c>
      <c r="AG35" s="96">
        <f t="shared" si="10"/>
        <v>0</v>
      </c>
      <c r="AH35" s="96">
        <f t="shared" si="10"/>
        <v>6.677510930446243</v>
      </c>
      <c r="AI35" s="96">
        <f t="shared" si="10"/>
        <v>41.299616965000006</v>
      </c>
      <c r="AJ35" s="96">
        <f t="shared" si="10"/>
        <v>0</v>
      </c>
      <c r="AK35" s="96">
        <f t="shared" si="10"/>
        <v>54.83889383678225</v>
      </c>
    </row>
    <row r="36" ht="4.5" customHeight="1"/>
    <row r="37" spans="7:37" s="155" customFormat="1" ht="12.75">
      <c r="G37" s="148" t="s">
        <v>435</v>
      </c>
      <c r="H37" s="96">
        <f>+H35</f>
        <v>219.41819621282542</v>
      </c>
      <c r="I37" s="119"/>
      <c r="J37" s="151"/>
      <c r="K37" s="96">
        <f aca="true" t="shared" si="11" ref="K37:P37">+K35</f>
        <v>5.761</v>
      </c>
      <c r="L37" s="96">
        <f t="shared" si="11"/>
        <v>0</v>
      </c>
      <c r="M37" s="96">
        <f t="shared" si="11"/>
        <v>13.612680282105003</v>
      </c>
      <c r="N37" s="96">
        <f t="shared" si="11"/>
        <v>37.795</v>
      </c>
      <c r="O37" s="96">
        <f t="shared" si="11"/>
        <v>0</v>
      </c>
      <c r="P37" s="96">
        <f t="shared" si="11"/>
        <v>57.16868028210501</v>
      </c>
      <c r="Q37" s="151"/>
      <c r="R37" s="96">
        <f aca="true" t="shared" si="12" ref="R37:W37">+R35</f>
        <v>6.106</v>
      </c>
      <c r="S37" s="96">
        <f t="shared" si="12"/>
        <v>0</v>
      </c>
      <c r="T37" s="96">
        <f t="shared" si="12"/>
        <v>8.302496705912096</v>
      </c>
      <c r="U37" s="96">
        <f t="shared" si="12"/>
        <v>38.928850000000004</v>
      </c>
      <c r="V37" s="96">
        <f t="shared" si="12"/>
        <v>0</v>
      </c>
      <c r="W37" s="96">
        <f t="shared" si="12"/>
        <v>53.3373467059121</v>
      </c>
      <c r="X37" s="151"/>
      <c r="Y37" s="96">
        <f aca="true" t="shared" si="13" ref="Y37:AD37">+Y35</f>
        <v>6.473</v>
      </c>
      <c r="Z37" s="96">
        <f t="shared" si="13"/>
        <v>0</v>
      </c>
      <c r="AA37" s="96">
        <f t="shared" si="13"/>
        <v>7.503559888026058</v>
      </c>
      <c r="AB37" s="96">
        <f t="shared" si="13"/>
        <v>40.0967155</v>
      </c>
      <c r="AC37" s="96">
        <f t="shared" si="13"/>
        <v>0</v>
      </c>
      <c r="AD37" s="96">
        <f t="shared" si="13"/>
        <v>54.073275388026055</v>
      </c>
      <c r="AE37" s="151"/>
      <c r="AF37" s="96">
        <f aca="true" t="shared" si="14" ref="AF37:AK37">+AF35</f>
        <v>6.861765941336</v>
      </c>
      <c r="AG37" s="96">
        <f t="shared" si="14"/>
        <v>0</v>
      </c>
      <c r="AH37" s="96">
        <f t="shared" si="14"/>
        <v>6.677510930446243</v>
      </c>
      <c r="AI37" s="96">
        <f t="shared" si="14"/>
        <v>41.299616965000006</v>
      </c>
      <c r="AJ37" s="96">
        <f t="shared" si="14"/>
        <v>0</v>
      </c>
      <c r="AK37" s="96">
        <f t="shared" si="14"/>
        <v>54.83889383678225</v>
      </c>
    </row>
    <row r="39" spans="7:37" s="155" customFormat="1" ht="12.75">
      <c r="G39" s="148" t="s">
        <v>436</v>
      </c>
      <c r="H39" s="96">
        <f>+H37+H29</f>
        <v>842.3438255308799</v>
      </c>
      <c r="I39" s="119">
        <f>+I35+I27+I24+I18+I11</f>
        <v>1</v>
      </c>
      <c r="J39" s="151"/>
      <c r="K39" s="96">
        <f aca="true" t="shared" si="15" ref="K39:AK39">+K37+K29</f>
        <v>68.848</v>
      </c>
      <c r="L39" s="96">
        <f t="shared" si="15"/>
        <v>60</v>
      </c>
      <c r="M39" s="96">
        <f t="shared" si="15"/>
        <v>90.75120188070002</v>
      </c>
      <c r="N39" s="96">
        <f t="shared" si="15"/>
        <v>37.795</v>
      </c>
      <c r="O39" s="96">
        <f t="shared" si="15"/>
        <v>0</v>
      </c>
      <c r="P39" s="96">
        <f t="shared" si="15"/>
        <v>257.3942018807</v>
      </c>
      <c r="Q39" s="151"/>
      <c r="R39" s="96">
        <f t="shared" si="15"/>
        <v>74.113</v>
      </c>
      <c r="S39" s="96">
        <f t="shared" si="15"/>
        <v>0</v>
      </c>
      <c r="T39" s="96">
        <f t="shared" si="15"/>
        <v>83.02496705912095</v>
      </c>
      <c r="U39" s="96">
        <f t="shared" si="15"/>
        <v>38.928850000000004</v>
      </c>
      <c r="V39" s="96">
        <f t="shared" si="15"/>
        <v>0</v>
      </c>
      <c r="W39" s="96">
        <f t="shared" si="15"/>
        <v>196.06681705912098</v>
      </c>
      <c r="X39" s="151"/>
      <c r="Y39" s="96">
        <f t="shared" si="15"/>
        <v>79.78399999999999</v>
      </c>
      <c r="Z39" s="96">
        <f t="shared" si="15"/>
        <v>0</v>
      </c>
      <c r="AA39" s="96">
        <f t="shared" si="15"/>
        <v>75.03559888026058</v>
      </c>
      <c r="AB39" s="96">
        <f t="shared" si="15"/>
        <v>40.0967155</v>
      </c>
      <c r="AC39" s="96">
        <f t="shared" si="15"/>
        <v>0</v>
      </c>
      <c r="AD39" s="96">
        <f t="shared" si="15"/>
        <v>194.91631438026056</v>
      </c>
      <c r="AE39" s="151"/>
      <c r="AF39" s="96">
        <f t="shared" si="15"/>
        <v>85.891765941336</v>
      </c>
      <c r="AG39" s="96">
        <f t="shared" si="15"/>
        <v>0</v>
      </c>
      <c r="AH39" s="96">
        <f t="shared" si="15"/>
        <v>66.77510930446243</v>
      </c>
      <c r="AI39" s="96">
        <f t="shared" si="15"/>
        <v>41.299616965000006</v>
      </c>
      <c r="AJ39" s="96">
        <f t="shared" si="15"/>
        <v>0</v>
      </c>
      <c r="AK39" s="96">
        <f t="shared" si="15"/>
        <v>193.96649221079844</v>
      </c>
    </row>
  </sheetData>
  <sheetProtection/>
  <mergeCells count="36">
    <mergeCell ref="B1:G1"/>
    <mergeCell ref="B2:G2"/>
    <mergeCell ref="B3:G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P5"/>
    <mergeCell ref="Q5:Q6"/>
    <mergeCell ref="R5:W5"/>
    <mergeCell ref="X5:X6"/>
    <mergeCell ref="Y5:AD5"/>
    <mergeCell ref="AE5:AE6"/>
    <mergeCell ref="AF5:AK5"/>
    <mergeCell ref="A7:A26"/>
    <mergeCell ref="B7:B26"/>
    <mergeCell ref="C7:C26"/>
    <mergeCell ref="D7:D10"/>
    <mergeCell ref="E7:E10"/>
    <mergeCell ref="D13:D17"/>
    <mergeCell ref="E13:E17"/>
    <mergeCell ref="D20:D23"/>
    <mergeCell ref="E21:E23"/>
    <mergeCell ref="F21:F23"/>
    <mergeCell ref="A31:A34"/>
    <mergeCell ref="B31:B34"/>
    <mergeCell ref="C31:C34"/>
    <mergeCell ref="D31:D34"/>
    <mergeCell ref="E31:E34"/>
    <mergeCell ref="F31:F34"/>
  </mergeCells>
  <conditionalFormatting sqref="K1:AK1">
    <cfRule type="cellIs" priority="1" dxfId="9" operator="greaterThan" stopIfTrue="1">
      <formula>1</formula>
    </cfRule>
  </conditionalFormatting>
  <printOptions horizontalCentered="1"/>
  <pageMargins left="0.3937007874015748" right="1.1811023622047245" top="0.984251968503937" bottom="0.984251968503937" header="0.5118110236220472" footer="0.5118110236220472"/>
  <pageSetup fitToHeight="1" fitToWidth="1" horizontalDpi="600" verticalDpi="600" orientation="landscape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17"/>
  <sheetViews>
    <sheetView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0.140625" style="138" customWidth="1"/>
    <col min="2" max="2" width="9.57421875" style="138" customWidth="1"/>
    <col min="3" max="3" width="11.8515625" style="138" customWidth="1"/>
    <col min="4" max="4" width="14.57421875" style="138" customWidth="1"/>
    <col min="5" max="5" width="31.8515625" style="138" customWidth="1"/>
    <col min="6" max="6" width="32.00390625" style="138" customWidth="1"/>
    <col min="7" max="7" width="39.421875" style="138" customWidth="1"/>
    <col min="8" max="8" width="11.00390625" style="139" bestFit="1" customWidth="1"/>
    <col min="9" max="9" width="7.00390625" style="161" bestFit="1" customWidth="1"/>
    <col min="10" max="10" width="1.7109375" style="161" customWidth="1"/>
    <col min="11" max="16" width="8.7109375" style="138" customWidth="1"/>
    <col min="17" max="17" width="1.7109375" style="161" customWidth="1"/>
    <col min="18" max="23" width="8.7109375" style="138" customWidth="1"/>
    <col min="24" max="24" width="1.7109375" style="161" customWidth="1"/>
    <col min="25" max="30" width="8.7109375" style="138" customWidth="1"/>
    <col min="31" max="31" width="1.7109375" style="161" customWidth="1"/>
    <col min="32" max="37" width="8.7109375" style="138" customWidth="1"/>
    <col min="38" max="16384" width="11.421875" style="89" customWidth="1"/>
  </cols>
  <sheetData>
    <row r="1" spans="2:37" s="32" customFormat="1" ht="12.75">
      <c r="B1" s="311" t="s">
        <v>134</v>
      </c>
      <c r="C1" s="311"/>
      <c r="D1" s="311"/>
      <c r="E1" s="311"/>
      <c r="F1" s="311"/>
      <c r="G1" s="311"/>
      <c r="I1" s="129"/>
      <c r="J1" s="129"/>
      <c r="K1" s="252">
        <f aca="true" t="shared" si="0" ref="K1:AK1">+K3-K2</f>
        <v>0</v>
      </c>
      <c r="L1" s="252">
        <f t="shared" si="0"/>
        <v>0</v>
      </c>
      <c r="M1" s="252">
        <f t="shared" si="0"/>
        <v>0</v>
      </c>
      <c r="N1" s="252">
        <f t="shared" si="0"/>
        <v>0</v>
      </c>
      <c r="O1" s="252">
        <f t="shared" si="0"/>
        <v>0</v>
      </c>
      <c r="P1" s="252">
        <f t="shared" si="0"/>
        <v>0</v>
      </c>
      <c r="Q1" s="253"/>
      <c r="R1" s="252">
        <f t="shared" si="0"/>
        <v>0</v>
      </c>
      <c r="S1" s="252">
        <f t="shared" si="0"/>
        <v>0</v>
      </c>
      <c r="T1" s="252">
        <f t="shared" si="0"/>
        <v>0</v>
      </c>
      <c r="U1" s="252">
        <f t="shared" si="0"/>
        <v>0</v>
      </c>
      <c r="V1" s="252">
        <f t="shared" si="0"/>
        <v>0</v>
      </c>
      <c r="W1" s="252">
        <f t="shared" si="0"/>
        <v>0</v>
      </c>
      <c r="X1" s="253"/>
      <c r="Y1" s="252">
        <f t="shared" si="0"/>
        <v>0</v>
      </c>
      <c r="Z1" s="252">
        <f t="shared" si="0"/>
        <v>0</v>
      </c>
      <c r="AA1" s="252">
        <f t="shared" si="0"/>
        <v>0</v>
      </c>
      <c r="AB1" s="252">
        <f t="shared" si="0"/>
        <v>0</v>
      </c>
      <c r="AC1" s="252">
        <f t="shared" si="0"/>
        <v>0</v>
      </c>
      <c r="AD1" s="252">
        <f t="shared" si="0"/>
        <v>0</v>
      </c>
      <c r="AE1" s="253"/>
      <c r="AF1" s="252">
        <f t="shared" si="0"/>
        <v>0</v>
      </c>
      <c r="AG1" s="252">
        <f t="shared" si="0"/>
        <v>0</v>
      </c>
      <c r="AH1" s="252">
        <f t="shared" si="0"/>
        <v>0</v>
      </c>
      <c r="AI1" s="252">
        <f t="shared" si="0"/>
        <v>0</v>
      </c>
      <c r="AJ1" s="252">
        <f t="shared" si="0"/>
        <v>0</v>
      </c>
      <c r="AK1" s="252">
        <f t="shared" si="0"/>
        <v>0</v>
      </c>
    </row>
    <row r="2" spans="2:37" s="32" customFormat="1" ht="12.75">
      <c r="B2" s="312" t="s">
        <v>135</v>
      </c>
      <c r="C2" s="312"/>
      <c r="D2" s="312"/>
      <c r="E2" s="312"/>
      <c r="F2" s="312"/>
      <c r="G2" s="312"/>
      <c r="I2" s="129"/>
      <c r="J2" s="129"/>
      <c r="K2" s="252">
        <f aca="true" t="shared" si="1" ref="K2:P2">+K8+K15</f>
        <v>48.784535000000005</v>
      </c>
      <c r="L2" s="252">
        <f t="shared" si="1"/>
        <v>0</v>
      </c>
      <c r="M2" s="252">
        <f t="shared" si="1"/>
        <v>0</v>
      </c>
      <c r="N2" s="252">
        <f t="shared" si="1"/>
        <v>0</v>
      </c>
      <c r="O2" s="252">
        <f t="shared" si="1"/>
        <v>0</v>
      </c>
      <c r="P2" s="252">
        <f t="shared" si="1"/>
        <v>48.784535000000005</v>
      </c>
      <c r="Q2" s="253"/>
      <c r="R2" s="252">
        <f aca="true" t="shared" si="2" ref="R2:W2">+R8+R15</f>
        <v>51.711607100000016</v>
      </c>
      <c r="S2" s="252">
        <f t="shared" si="2"/>
        <v>0</v>
      </c>
      <c r="T2" s="252">
        <f t="shared" si="2"/>
        <v>0</v>
      </c>
      <c r="U2" s="252">
        <f t="shared" si="2"/>
        <v>0</v>
      </c>
      <c r="V2" s="252">
        <f t="shared" si="2"/>
        <v>0</v>
      </c>
      <c r="W2" s="252">
        <f t="shared" si="2"/>
        <v>51.711607100000016</v>
      </c>
      <c r="X2" s="253"/>
      <c r="Y2" s="252">
        <f aca="true" t="shared" si="3" ref="Y2:AD2">+Y8+Y15</f>
        <v>54.814303526</v>
      </c>
      <c r="Z2" s="252">
        <f t="shared" si="3"/>
        <v>0</v>
      </c>
      <c r="AA2" s="252">
        <f t="shared" si="3"/>
        <v>0</v>
      </c>
      <c r="AB2" s="252">
        <f t="shared" si="3"/>
        <v>0</v>
      </c>
      <c r="AC2" s="252">
        <f t="shared" si="3"/>
        <v>0</v>
      </c>
      <c r="AD2" s="252">
        <f t="shared" si="3"/>
        <v>54.814303526</v>
      </c>
      <c r="AE2" s="253"/>
      <c r="AF2" s="252">
        <f aca="true" t="shared" si="4" ref="AF2:AK2">+AF8+AF15</f>
        <v>58.10316173756</v>
      </c>
      <c r="AG2" s="252">
        <f t="shared" si="4"/>
        <v>0</v>
      </c>
      <c r="AH2" s="252">
        <f t="shared" si="4"/>
        <v>0</v>
      </c>
      <c r="AI2" s="252">
        <f t="shared" si="4"/>
        <v>0</v>
      </c>
      <c r="AJ2" s="252">
        <f t="shared" si="4"/>
        <v>0</v>
      </c>
      <c r="AK2" s="252">
        <f t="shared" si="4"/>
        <v>58.10316173756</v>
      </c>
    </row>
    <row r="3" spans="2:37" s="32" customFormat="1" ht="12.75">
      <c r="B3" s="313" t="s">
        <v>136</v>
      </c>
      <c r="C3" s="313"/>
      <c r="D3" s="313"/>
      <c r="E3" s="313"/>
      <c r="F3" s="313"/>
      <c r="G3" s="313"/>
      <c r="I3" s="129"/>
      <c r="J3" s="129"/>
      <c r="K3" s="252">
        <f>+PROYECCIONES!D105</f>
        <v>48.784535000000005</v>
      </c>
      <c r="L3" s="252">
        <v>0</v>
      </c>
      <c r="M3" s="252">
        <v>0</v>
      </c>
      <c r="N3" s="252">
        <v>0</v>
      </c>
      <c r="O3" s="252">
        <v>0</v>
      </c>
      <c r="P3" s="252">
        <f>SUM(K3:O3)</f>
        <v>48.784535000000005</v>
      </c>
      <c r="Q3" s="253"/>
      <c r="R3" s="252">
        <f>+PROYECCIONES!E105</f>
        <v>51.71160710000001</v>
      </c>
      <c r="S3" s="252">
        <v>0</v>
      </c>
      <c r="T3" s="252">
        <v>0</v>
      </c>
      <c r="U3" s="252">
        <v>0</v>
      </c>
      <c r="V3" s="252">
        <v>0</v>
      </c>
      <c r="W3" s="252">
        <f>SUM(R3:V3)</f>
        <v>51.71160710000001</v>
      </c>
      <c r="X3" s="253"/>
      <c r="Y3" s="252">
        <f>+PROYECCIONES!F105</f>
        <v>54.814303526</v>
      </c>
      <c r="Z3" s="252">
        <v>0</v>
      </c>
      <c r="AA3" s="252">
        <v>0</v>
      </c>
      <c r="AB3" s="252">
        <v>0</v>
      </c>
      <c r="AC3" s="252">
        <v>0</v>
      </c>
      <c r="AD3" s="252">
        <f>SUM(Y3:AC3)</f>
        <v>54.814303526</v>
      </c>
      <c r="AE3" s="253"/>
      <c r="AF3" s="252">
        <f>+PROYECCIONES!G105</f>
        <v>58.10316173756001</v>
      </c>
      <c r="AG3" s="252">
        <v>0</v>
      </c>
      <c r="AH3" s="252">
        <v>0</v>
      </c>
      <c r="AI3" s="252">
        <v>0</v>
      </c>
      <c r="AJ3" s="252">
        <v>0</v>
      </c>
      <c r="AK3" s="252">
        <f>SUM(AF3:AJ3)</f>
        <v>58.10316173756001</v>
      </c>
    </row>
    <row r="4" spans="1:37" s="136" customFormat="1" ht="12.75">
      <c r="A4" s="307" t="s">
        <v>35</v>
      </c>
      <c r="B4" s="307" t="s">
        <v>47</v>
      </c>
      <c r="C4" s="307" t="s">
        <v>0</v>
      </c>
      <c r="D4" s="307" t="s">
        <v>2</v>
      </c>
      <c r="E4" s="307" t="s">
        <v>39</v>
      </c>
      <c r="F4" s="307" t="s">
        <v>37</v>
      </c>
      <c r="G4" s="307" t="s">
        <v>10</v>
      </c>
      <c r="H4" s="307" t="s">
        <v>45</v>
      </c>
      <c r="I4" s="412" t="s">
        <v>266</v>
      </c>
      <c r="J4" s="412"/>
      <c r="K4" s="354">
        <v>2012</v>
      </c>
      <c r="L4" s="354"/>
      <c r="M4" s="354"/>
      <c r="N4" s="354"/>
      <c r="O4" s="354"/>
      <c r="P4" s="354"/>
      <c r="Q4" s="412"/>
      <c r="R4" s="354">
        <v>2013</v>
      </c>
      <c r="S4" s="354"/>
      <c r="T4" s="354"/>
      <c r="U4" s="354"/>
      <c r="V4" s="354"/>
      <c r="W4" s="354"/>
      <c r="X4" s="412"/>
      <c r="Y4" s="354">
        <v>2014</v>
      </c>
      <c r="Z4" s="354"/>
      <c r="AA4" s="354"/>
      <c r="AB4" s="354"/>
      <c r="AC4" s="354"/>
      <c r="AD4" s="354"/>
      <c r="AE4" s="412"/>
      <c r="AF4" s="354">
        <v>2015</v>
      </c>
      <c r="AG4" s="354"/>
      <c r="AH4" s="354"/>
      <c r="AI4" s="354"/>
      <c r="AJ4" s="354"/>
      <c r="AK4" s="354"/>
    </row>
    <row r="5" spans="1:37" s="136" customFormat="1" ht="12.75">
      <c r="A5" s="308"/>
      <c r="B5" s="308"/>
      <c r="C5" s="308"/>
      <c r="D5" s="308"/>
      <c r="E5" s="308"/>
      <c r="F5" s="308"/>
      <c r="G5" s="308"/>
      <c r="H5" s="308"/>
      <c r="I5" s="413"/>
      <c r="J5" s="413"/>
      <c r="K5" s="28" t="s">
        <v>40</v>
      </c>
      <c r="L5" s="29" t="s">
        <v>41</v>
      </c>
      <c r="M5" s="28" t="s">
        <v>42</v>
      </c>
      <c r="N5" s="28" t="s">
        <v>43</v>
      </c>
      <c r="O5" s="28" t="s">
        <v>1</v>
      </c>
      <c r="P5" s="28" t="s">
        <v>44</v>
      </c>
      <c r="Q5" s="413"/>
      <c r="R5" s="28" t="s">
        <v>40</v>
      </c>
      <c r="S5" s="29" t="s">
        <v>41</v>
      </c>
      <c r="T5" s="28" t="s">
        <v>42</v>
      </c>
      <c r="U5" s="28" t="s">
        <v>43</v>
      </c>
      <c r="V5" s="28" t="s">
        <v>1</v>
      </c>
      <c r="W5" s="28" t="s">
        <v>44</v>
      </c>
      <c r="X5" s="413"/>
      <c r="Y5" s="28" t="s">
        <v>40</v>
      </c>
      <c r="Z5" s="29" t="s">
        <v>41</v>
      </c>
      <c r="AA5" s="28" t="s">
        <v>42</v>
      </c>
      <c r="AB5" s="28" t="s">
        <v>43</v>
      </c>
      <c r="AC5" s="28" t="s">
        <v>1</v>
      </c>
      <c r="AD5" s="28" t="s">
        <v>44</v>
      </c>
      <c r="AE5" s="413"/>
      <c r="AF5" s="28" t="s">
        <v>40</v>
      </c>
      <c r="AG5" s="29" t="s">
        <v>41</v>
      </c>
      <c r="AH5" s="28" t="s">
        <v>42</v>
      </c>
      <c r="AI5" s="28" t="s">
        <v>43</v>
      </c>
      <c r="AJ5" s="28" t="s">
        <v>1</v>
      </c>
      <c r="AK5" s="28" t="s">
        <v>44</v>
      </c>
    </row>
    <row r="6" spans="1:37" ht="38.25">
      <c r="A6" s="389" t="s">
        <v>48</v>
      </c>
      <c r="B6" s="389" t="s">
        <v>11</v>
      </c>
      <c r="C6" s="416" t="s">
        <v>291</v>
      </c>
      <c r="D6" s="414" t="s">
        <v>49</v>
      </c>
      <c r="E6" s="140" t="s">
        <v>285</v>
      </c>
      <c r="F6" s="140" t="s">
        <v>286</v>
      </c>
      <c r="G6" s="140" t="s">
        <v>287</v>
      </c>
      <c r="H6" s="31">
        <f>+P6+W6+AD6+AK6</f>
        <v>10.670680368178001</v>
      </c>
      <c r="I6" s="121"/>
      <c r="J6" s="150"/>
      <c r="K6" s="30">
        <f>+K3*0.05</f>
        <v>2.4392267500000004</v>
      </c>
      <c r="L6" s="30"/>
      <c r="M6" s="30"/>
      <c r="N6" s="30"/>
      <c r="O6" s="30"/>
      <c r="P6" s="30">
        <f>SUM(K6:O6)</f>
        <v>2.4392267500000004</v>
      </c>
      <c r="Q6" s="150"/>
      <c r="R6" s="30">
        <f>+R3*0.05</f>
        <v>2.5855803550000007</v>
      </c>
      <c r="S6" s="30"/>
      <c r="T6" s="30"/>
      <c r="U6" s="30"/>
      <c r="V6" s="30"/>
      <c r="W6" s="30">
        <f>SUM(R6:V6)</f>
        <v>2.5855803550000007</v>
      </c>
      <c r="X6" s="150"/>
      <c r="Y6" s="30">
        <f>+Y3*0.05</f>
        <v>2.7407151763</v>
      </c>
      <c r="Z6" s="30"/>
      <c r="AA6" s="30"/>
      <c r="AB6" s="30"/>
      <c r="AC6" s="30"/>
      <c r="AD6" s="30">
        <f>SUM(Y6:AC6)</f>
        <v>2.7407151763</v>
      </c>
      <c r="AE6" s="150"/>
      <c r="AF6" s="30">
        <f>+AF3*0.05</f>
        <v>2.9051580868780005</v>
      </c>
      <c r="AG6" s="30"/>
      <c r="AH6" s="30"/>
      <c r="AI6" s="30"/>
      <c r="AJ6" s="30"/>
      <c r="AK6" s="30">
        <f>SUM(AF6:AJ6)</f>
        <v>2.9051580868780005</v>
      </c>
    </row>
    <row r="7" spans="1:37" ht="38.25">
      <c r="A7" s="389"/>
      <c r="B7" s="389"/>
      <c r="C7" s="416"/>
      <c r="D7" s="415"/>
      <c r="E7" s="140" t="s">
        <v>288</v>
      </c>
      <c r="F7" s="140" t="s">
        <v>290</v>
      </c>
      <c r="G7" s="140" t="s">
        <v>289</v>
      </c>
      <c r="H7" s="31">
        <f>+P7+W7+AD7+AK7</f>
        <v>10.670680368178001</v>
      </c>
      <c r="I7" s="123"/>
      <c r="J7" s="150"/>
      <c r="K7" s="30">
        <f>+K3*0.05</f>
        <v>2.4392267500000004</v>
      </c>
      <c r="L7" s="30"/>
      <c r="M7" s="30"/>
      <c r="N7" s="30"/>
      <c r="O7" s="30"/>
      <c r="P7" s="30">
        <f>SUM(K7:O7)</f>
        <v>2.4392267500000004</v>
      </c>
      <c r="Q7" s="150"/>
      <c r="R7" s="30">
        <f>+R3*0.05</f>
        <v>2.5855803550000007</v>
      </c>
      <c r="S7" s="30"/>
      <c r="T7" s="30"/>
      <c r="U7" s="30"/>
      <c r="V7" s="30"/>
      <c r="W7" s="30">
        <f>SUM(R7:V7)</f>
        <v>2.5855803550000007</v>
      </c>
      <c r="X7" s="150"/>
      <c r="Y7" s="30">
        <f>+Y3*0.05</f>
        <v>2.7407151763</v>
      </c>
      <c r="Z7" s="30"/>
      <c r="AA7" s="30"/>
      <c r="AB7" s="30"/>
      <c r="AC7" s="30"/>
      <c r="AD7" s="30">
        <f>SUM(Y7:AC7)</f>
        <v>2.7407151763</v>
      </c>
      <c r="AE7" s="150"/>
      <c r="AF7" s="30">
        <f>+AF3*0.05</f>
        <v>2.9051580868780005</v>
      </c>
      <c r="AG7" s="30"/>
      <c r="AH7" s="30"/>
      <c r="AI7" s="30"/>
      <c r="AJ7" s="30"/>
      <c r="AK7" s="30">
        <f>SUM(AF7:AJ7)</f>
        <v>2.9051580868780005</v>
      </c>
    </row>
    <row r="8" spans="1:37" s="98" customFormat="1" ht="12.75">
      <c r="A8" s="389"/>
      <c r="B8" s="389"/>
      <c r="C8" s="416"/>
      <c r="D8" s="155"/>
      <c r="E8" s="155"/>
      <c r="F8" s="155"/>
      <c r="G8" s="142" t="s">
        <v>235</v>
      </c>
      <c r="H8" s="96">
        <f>SUM(H6:H7)</f>
        <v>21.341360736356002</v>
      </c>
      <c r="I8" s="119">
        <f>+H8/H17</f>
        <v>0.1</v>
      </c>
      <c r="J8" s="151"/>
      <c r="K8" s="96">
        <f aca="true" t="shared" si="5" ref="K8:AK8">SUM(K6:K7)</f>
        <v>4.878453500000001</v>
      </c>
      <c r="L8" s="96">
        <f t="shared" si="5"/>
        <v>0</v>
      </c>
      <c r="M8" s="96">
        <f t="shared" si="5"/>
        <v>0</v>
      </c>
      <c r="N8" s="96">
        <f t="shared" si="5"/>
        <v>0</v>
      </c>
      <c r="O8" s="96">
        <f t="shared" si="5"/>
        <v>0</v>
      </c>
      <c r="P8" s="96">
        <f t="shared" si="5"/>
        <v>4.878453500000001</v>
      </c>
      <c r="Q8" s="151"/>
      <c r="R8" s="96">
        <f t="shared" si="5"/>
        <v>5.171160710000001</v>
      </c>
      <c r="S8" s="96">
        <f t="shared" si="5"/>
        <v>0</v>
      </c>
      <c r="T8" s="96">
        <f t="shared" si="5"/>
        <v>0</v>
      </c>
      <c r="U8" s="96">
        <f t="shared" si="5"/>
        <v>0</v>
      </c>
      <c r="V8" s="96">
        <f t="shared" si="5"/>
        <v>0</v>
      </c>
      <c r="W8" s="96">
        <f t="shared" si="5"/>
        <v>5.171160710000001</v>
      </c>
      <c r="X8" s="151"/>
      <c r="Y8" s="96">
        <f t="shared" si="5"/>
        <v>5.4814303526</v>
      </c>
      <c r="Z8" s="96">
        <f t="shared" si="5"/>
        <v>0</v>
      </c>
      <c r="AA8" s="96">
        <f t="shared" si="5"/>
        <v>0</v>
      </c>
      <c r="AB8" s="96">
        <f t="shared" si="5"/>
        <v>0</v>
      </c>
      <c r="AC8" s="96">
        <f t="shared" si="5"/>
        <v>0</v>
      </c>
      <c r="AD8" s="96">
        <f t="shared" si="5"/>
        <v>5.4814303526</v>
      </c>
      <c r="AE8" s="151"/>
      <c r="AF8" s="96">
        <f t="shared" si="5"/>
        <v>5.810316173756001</v>
      </c>
      <c r="AG8" s="96">
        <f t="shared" si="5"/>
        <v>0</v>
      </c>
      <c r="AH8" s="96">
        <f t="shared" si="5"/>
        <v>0</v>
      </c>
      <c r="AI8" s="96">
        <f t="shared" si="5"/>
        <v>0</v>
      </c>
      <c r="AJ8" s="96">
        <f t="shared" si="5"/>
        <v>0</v>
      </c>
      <c r="AK8" s="96">
        <f t="shared" si="5"/>
        <v>5.810316173756001</v>
      </c>
    </row>
    <row r="9" spans="1:37" ht="4.5" customHeight="1">
      <c r="A9" s="389"/>
      <c r="B9" s="389"/>
      <c r="C9" s="416"/>
      <c r="D9" s="143"/>
      <c r="E9" s="144"/>
      <c r="F9" s="144"/>
      <c r="G9" s="145"/>
      <c r="H9" s="146"/>
      <c r="I9" s="147"/>
      <c r="J9" s="147"/>
      <c r="K9" s="146"/>
      <c r="L9" s="146"/>
      <c r="M9" s="146"/>
      <c r="N9" s="146"/>
      <c r="O9" s="146"/>
      <c r="P9" s="146"/>
      <c r="Q9" s="147"/>
      <c r="R9" s="146"/>
      <c r="S9" s="146"/>
      <c r="T9" s="146"/>
      <c r="U9" s="146"/>
      <c r="V9" s="146"/>
      <c r="W9" s="146"/>
      <c r="X9" s="147"/>
      <c r="Y9" s="146"/>
      <c r="Z9" s="146"/>
      <c r="AA9" s="146"/>
      <c r="AB9" s="146"/>
      <c r="AC9" s="146"/>
      <c r="AD9" s="146"/>
      <c r="AE9" s="147"/>
      <c r="AF9" s="146"/>
      <c r="AG9" s="146"/>
      <c r="AH9" s="146"/>
      <c r="AI9" s="146"/>
      <c r="AJ9" s="146"/>
      <c r="AK9" s="146"/>
    </row>
    <row r="10" spans="1:37" ht="24.75" customHeight="1">
      <c r="A10" s="389"/>
      <c r="B10" s="389"/>
      <c r="C10" s="416"/>
      <c r="D10" s="414" t="s">
        <v>50</v>
      </c>
      <c r="E10" s="140" t="s">
        <v>292</v>
      </c>
      <c r="F10" s="140" t="s">
        <v>293</v>
      </c>
      <c r="G10" s="140" t="s">
        <v>294</v>
      </c>
      <c r="H10" s="31">
        <f>+P10+W10+AD10+AK10</f>
        <v>10.670680368178001</v>
      </c>
      <c r="I10" s="121"/>
      <c r="J10" s="150"/>
      <c r="K10" s="30">
        <f>+K3*0.05</f>
        <v>2.4392267500000004</v>
      </c>
      <c r="L10" s="30"/>
      <c r="M10" s="30"/>
      <c r="N10" s="30"/>
      <c r="O10" s="30"/>
      <c r="P10" s="30">
        <f>SUM(K10:O10)</f>
        <v>2.4392267500000004</v>
      </c>
      <c r="Q10" s="150"/>
      <c r="R10" s="30">
        <f>+R3*0.05</f>
        <v>2.5855803550000007</v>
      </c>
      <c r="S10" s="30"/>
      <c r="T10" s="30"/>
      <c r="U10" s="30"/>
      <c r="V10" s="30"/>
      <c r="W10" s="30">
        <f>SUM(R10:V10)</f>
        <v>2.5855803550000007</v>
      </c>
      <c r="X10" s="150"/>
      <c r="Y10" s="30">
        <f>+Y3*0.05</f>
        <v>2.7407151763</v>
      </c>
      <c r="Z10" s="30"/>
      <c r="AA10" s="30"/>
      <c r="AB10" s="30"/>
      <c r="AC10" s="30"/>
      <c r="AD10" s="30">
        <f>SUM(Y10:AC10)</f>
        <v>2.7407151763</v>
      </c>
      <c r="AE10" s="150"/>
      <c r="AF10" s="30">
        <f>+AF3*0.05</f>
        <v>2.9051580868780005</v>
      </c>
      <c r="AG10" s="30"/>
      <c r="AH10" s="30"/>
      <c r="AI10" s="30"/>
      <c r="AJ10" s="30"/>
      <c r="AK10" s="30">
        <f>SUM(AF10:AJ10)</f>
        <v>2.9051580868780005</v>
      </c>
    </row>
    <row r="11" spans="1:37" ht="25.5">
      <c r="A11" s="389"/>
      <c r="B11" s="389"/>
      <c r="C11" s="416"/>
      <c r="D11" s="417"/>
      <c r="E11" s="149" t="s">
        <v>295</v>
      </c>
      <c r="F11" s="149" t="s">
        <v>296</v>
      </c>
      <c r="G11" s="140" t="s">
        <v>297</v>
      </c>
      <c r="H11" s="31">
        <f>+P11+W11+AD11+AK11</f>
        <v>85.36544294542401</v>
      </c>
      <c r="I11" s="122"/>
      <c r="J11" s="150"/>
      <c r="K11" s="30">
        <f>+K3*0.4</f>
        <v>19.513814000000004</v>
      </c>
      <c r="L11" s="30"/>
      <c r="M11" s="30"/>
      <c r="N11" s="30"/>
      <c r="O11" s="30"/>
      <c r="P11" s="30">
        <f>SUM(K11:O11)</f>
        <v>19.513814000000004</v>
      </c>
      <c r="Q11" s="150"/>
      <c r="R11" s="30">
        <f>+R3*0.4</f>
        <v>20.684642840000006</v>
      </c>
      <c r="S11" s="30"/>
      <c r="T11" s="30"/>
      <c r="U11" s="30"/>
      <c r="V11" s="30"/>
      <c r="W11" s="30">
        <f>SUM(R11:V11)</f>
        <v>20.684642840000006</v>
      </c>
      <c r="X11" s="150"/>
      <c r="Y11" s="30">
        <f>+Y3*0.4</f>
        <v>21.9257214104</v>
      </c>
      <c r="Z11" s="30"/>
      <c r="AA11" s="30"/>
      <c r="AB11" s="30"/>
      <c r="AC11" s="30"/>
      <c r="AD11" s="30">
        <f>SUM(Y11:AC11)</f>
        <v>21.9257214104</v>
      </c>
      <c r="AE11" s="150"/>
      <c r="AF11" s="30">
        <f>+AF3*0.4</f>
        <v>23.241264695024004</v>
      </c>
      <c r="AG11" s="30"/>
      <c r="AH11" s="30"/>
      <c r="AI11" s="30"/>
      <c r="AJ11" s="30"/>
      <c r="AK11" s="30">
        <f>SUM(AF11:AJ11)</f>
        <v>23.241264695024004</v>
      </c>
    </row>
    <row r="12" spans="1:37" ht="38.25">
      <c r="A12" s="389"/>
      <c r="B12" s="389"/>
      <c r="C12" s="416"/>
      <c r="D12" s="417"/>
      <c r="E12" s="149" t="s">
        <v>298</v>
      </c>
      <c r="F12" s="149" t="s">
        <v>299</v>
      </c>
      <c r="G12" s="140" t="s">
        <v>14</v>
      </c>
      <c r="H12" s="31">
        <f>+P12+W12+AD12+AK12</f>
        <v>10.670680368178001</v>
      </c>
      <c r="I12" s="122"/>
      <c r="J12" s="150"/>
      <c r="K12" s="30">
        <f>+K3*0.05</f>
        <v>2.4392267500000004</v>
      </c>
      <c r="L12" s="30"/>
      <c r="M12" s="30"/>
      <c r="N12" s="30"/>
      <c r="O12" s="30"/>
      <c r="P12" s="30">
        <f>SUM(K12:O12)</f>
        <v>2.4392267500000004</v>
      </c>
      <c r="Q12" s="150"/>
      <c r="R12" s="30">
        <f>+R3*0.05</f>
        <v>2.5855803550000007</v>
      </c>
      <c r="S12" s="30"/>
      <c r="T12" s="30"/>
      <c r="U12" s="30"/>
      <c r="V12" s="30"/>
      <c r="W12" s="30">
        <f>SUM(R12:V12)</f>
        <v>2.5855803550000007</v>
      </c>
      <c r="X12" s="150"/>
      <c r="Y12" s="30">
        <f>+Y3*0.05</f>
        <v>2.7407151763</v>
      </c>
      <c r="Z12" s="30"/>
      <c r="AA12" s="30"/>
      <c r="AB12" s="30"/>
      <c r="AC12" s="30"/>
      <c r="AD12" s="30">
        <f>SUM(Y12:AC12)</f>
        <v>2.7407151763</v>
      </c>
      <c r="AE12" s="150"/>
      <c r="AF12" s="30">
        <f>+AF3*0.05</f>
        <v>2.9051580868780005</v>
      </c>
      <c r="AG12" s="30"/>
      <c r="AH12" s="30"/>
      <c r="AI12" s="30"/>
      <c r="AJ12" s="30"/>
      <c r="AK12" s="30">
        <f>SUM(AF12:AJ12)</f>
        <v>2.9051580868780005</v>
      </c>
    </row>
    <row r="13" spans="1:37" ht="38.25">
      <c r="A13" s="389"/>
      <c r="B13" s="389"/>
      <c r="C13" s="416"/>
      <c r="D13" s="417"/>
      <c r="E13" s="416" t="s">
        <v>300</v>
      </c>
      <c r="F13" s="416" t="s">
        <v>301</v>
      </c>
      <c r="G13" s="140" t="s">
        <v>302</v>
      </c>
      <c r="H13" s="31">
        <f>+P13+W13+AD13+AK13</f>
        <v>64.02408220906801</v>
      </c>
      <c r="I13" s="122"/>
      <c r="J13" s="150"/>
      <c r="K13" s="30">
        <f>+K3*0.3</f>
        <v>14.6353605</v>
      </c>
      <c r="L13" s="30"/>
      <c r="M13" s="30"/>
      <c r="N13" s="30"/>
      <c r="O13" s="30"/>
      <c r="P13" s="30">
        <f>SUM(K13:O13)</f>
        <v>14.6353605</v>
      </c>
      <c r="Q13" s="150"/>
      <c r="R13" s="30">
        <f>+R3*0.3</f>
        <v>15.513482130000002</v>
      </c>
      <c r="S13" s="30"/>
      <c r="T13" s="30"/>
      <c r="U13" s="30"/>
      <c r="V13" s="30"/>
      <c r="W13" s="30">
        <f>SUM(R13:V13)</f>
        <v>15.513482130000002</v>
      </c>
      <c r="X13" s="150"/>
      <c r="Y13" s="30">
        <f>+Y3*0.3</f>
        <v>16.4442910578</v>
      </c>
      <c r="Z13" s="30"/>
      <c r="AA13" s="30"/>
      <c r="AB13" s="30"/>
      <c r="AC13" s="30"/>
      <c r="AD13" s="30">
        <f>SUM(Y13:AC13)</f>
        <v>16.4442910578</v>
      </c>
      <c r="AE13" s="150"/>
      <c r="AF13" s="30">
        <f>+AF3*0.3</f>
        <v>17.430948521268</v>
      </c>
      <c r="AG13" s="30"/>
      <c r="AH13" s="30"/>
      <c r="AI13" s="30"/>
      <c r="AJ13" s="30"/>
      <c r="AK13" s="30">
        <f>SUM(AF13:AJ13)</f>
        <v>17.430948521268</v>
      </c>
    </row>
    <row r="14" spans="1:37" ht="25.5">
      <c r="A14" s="389"/>
      <c r="B14" s="389"/>
      <c r="C14" s="416"/>
      <c r="D14" s="418"/>
      <c r="E14" s="416"/>
      <c r="F14" s="416"/>
      <c r="G14" s="140" t="s">
        <v>303</v>
      </c>
      <c r="H14" s="31">
        <f>+P14+W14+AD14+AK14</f>
        <v>21.341360736356002</v>
      </c>
      <c r="I14" s="123"/>
      <c r="J14" s="150"/>
      <c r="K14" s="30">
        <f>+K3*0.1</f>
        <v>4.878453500000001</v>
      </c>
      <c r="L14" s="30"/>
      <c r="M14" s="30"/>
      <c r="N14" s="30"/>
      <c r="O14" s="30"/>
      <c r="P14" s="30">
        <f>SUM(K14:O14)</f>
        <v>4.878453500000001</v>
      </c>
      <c r="Q14" s="150"/>
      <c r="R14" s="30">
        <f>+R3*0.1</f>
        <v>5.171160710000001</v>
      </c>
      <c r="S14" s="30"/>
      <c r="T14" s="30"/>
      <c r="U14" s="30"/>
      <c r="V14" s="30"/>
      <c r="W14" s="30">
        <f>SUM(R14:V14)</f>
        <v>5.171160710000001</v>
      </c>
      <c r="X14" s="150"/>
      <c r="Y14" s="30">
        <f>+Y3*0.1</f>
        <v>5.4814303526</v>
      </c>
      <c r="Z14" s="30"/>
      <c r="AA14" s="30"/>
      <c r="AB14" s="30"/>
      <c r="AC14" s="30"/>
      <c r="AD14" s="30">
        <f>SUM(Y14:AC14)</f>
        <v>5.4814303526</v>
      </c>
      <c r="AE14" s="150"/>
      <c r="AF14" s="30">
        <f>+AF3*0.1</f>
        <v>5.810316173756001</v>
      </c>
      <c r="AG14" s="30"/>
      <c r="AH14" s="30"/>
      <c r="AI14" s="30"/>
      <c r="AJ14" s="30"/>
      <c r="AK14" s="30">
        <f>SUM(AF14:AJ14)</f>
        <v>5.810316173756001</v>
      </c>
    </row>
    <row r="15" spans="1:37" s="98" customFormat="1" ht="12.75">
      <c r="A15" s="155"/>
      <c r="B15" s="155"/>
      <c r="C15" s="155"/>
      <c r="D15" s="155"/>
      <c r="E15" s="155"/>
      <c r="F15" s="155"/>
      <c r="G15" s="148" t="s">
        <v>235</v>
      </c>
      <c r="H15" s="96">
        <f>SUM(H10:H14)</f>
        <v>192.072246627204</v>
      </c>
      <c r="I15" s="119">
        <f>+H15/H17</f>
        <v>0.9</v>
      </c>
      <c r="J15" s="151"/>
      <c r="K15" s="96">
        <f aca="true" t="shared" si="6" ref="K15:P15">SUM(K10:K14)</f>
        <v>43.906081500000006</v>
      </c>
      <c r="L15" s="96">
        <f t="shared" si="6"/>
        <v>0</v>
      </c>
      <c r="M15" s="96">
        <f t="shared" si="6"/>
        <v>0</v>
      </c>
      <c r="N15" s="96">
        <f t="shared" si="6"/>
        <v>0</v>
      </c>
      <c r="O15" s="96">
        <f t="shared" si="6"/>
        <v>0</v>
      </c>
      <c r="P15" s="96">
        <f t="shared" si="6"/>
        <v>43.906081500000006</v>
      </c>
      <c r="Q15" s="151"/>
      <c r="R15" s="96">
        <f aca="true" t="shared" si="7" ref="R15:W15">SUM(R10:R14)</f>
        <v>46.540446390000014</v>
      </c>
      <c r="S15" s="96">
        <f t="shared" si="7"/>
        <v>0</v>
      </c>
      <c r="T15" s="96">
        <f t="shared" si="7"/>
        <v>0</v>
      </c>
      <c r="U15" s="96">
        <f t="shared" si="7"/>
        <v>0</v>
      </c>
      <c r="V15" s="96">
        <f t="shared" si="7"/>
        <v>0</v>
      </c>
      <c r="W15" s="96">
        <f t="shared" si="7"/>
        <v>46.540446390000014</v>
      </c>
      <c r="X15" s="151"/>
      <c r="Y15" s="96">
        <f aca="true" t="shared" si="8" ref="Y15:AD15">SUM(Y10:Y14)</f>
        <v>49.3328731734</v>
      </c>
      <c r="Z15" s="96">
        <f t="shared" si="8"/>
        <v>0</v>
      </c>
      <c r="AA15" s="96">
        <f t="shared" si="8"/>
        <v>0</v>
      </c>
      <c r="AB15" s="96">
        <f t="shared" si="8"/>
        <v>0</v>
      </c>
      <c r="AC15" s="96">
        <f t="shared" si="8"/>
        <v>0</v>
      </c>
      <c r="AD15" s="96">
        <f t="shared" si="8"/>
        <v>49.3328731734</v>
      </c>
      <c r="AE15" s="151"/>
      <c r="AF15" s="96">
        <f aca="true" t="shared" si="9" ref="AF15:AK15">SUM(AF10:AF14)</f>
        <v>52.292845563804</v>
      </c>
      <c r="AG15" s="96">
        <f t="shared" si="9"/>
        <v>0</v>
      </c>
      <c r="AH15" s="96">
        <f t="shared" si="9"/>
        <v>0</v>
      </c>
      <c r="AI15" s="96">
        <f t="shared" si="9"/>
        <v>0</v>
      </c>
      <c r="AJ15" s="96">
        <f t="shared" si="9"/>
        <v>0</v>
      </c>
      <c r="AK15" s="96">
        <f t="shared" si="9"/>
        <v>52.292845563804</v>
      </c>
    </row>
    <row r="16" ht="4.5" customHeight="1"/>
    <row r="17" spans="1:37" s="98" customFormat="1" ht="12.75">
      <c r="A17" s="155"/>
      <c r="B17" s="155"/>
      <c r="C17" s="155"/>
      <c r="D17" s="155"/>
      <c r="E17" s="155"/>
      <c r="F17" s="155"/>
      <c r="G17" s="148" t="s">
        <v>44</v>
      </c>
      <c r="H17" s="96">
        <f>+H8+H15</f>
        <v>213.41360736356</v>
      </c>
      <c r="I17" s="119">
        <f>+I8+I15</f>
        <v>1</v>
      </c>
      <c r="J17" s="151"/>
      <c r="K17" s="96">
        <f aca="true" t="shared" si="10" ref="K17:P17">+K8+K15</f>
        <v>48.784535000000005</v>
      </c>
      <c r="L17" s="96">
        <f t="shared" si="10"/>
        <v>0</v>
      </c>
      <c r="M17" s="96">
        <f t="shared" si="10"/>
        <v>0</v>
      </c>
      <c r="N17" s="96">
        <f t="shared" si="10"/>
        <v>0</v>
      </c>
      <c r="O17" s="96">
        <f t="shared" si="10"/>
        <v>0</v>
      </c>
      <c r="P17" s="96">
        <f t="shared" si="10"/>
        <v>48.784535000000005</v>
      </c>
      <c r="Q17" s="151"/>
      <c r="R17" s="96">
        <f aca="true" t="shared" si="11" ref="R17:W17">+R8+R15</f>
        <v>51.711607100000016</v>
      </c>
      <c r="S17" s="96">
        <f t="shared" si="11"/>
        <v>0</v>
      </c>
      <c r="T17" s="96">
        <f t="shared" si="11"/>
        <v>0</v>
      </c>
      <c r="U17" s="96">
        <f t="shared" si="11"/>
        <v>0</v>
      </c>
      <c r="V17" s="96">
        <f t="shared" si="11"/>
        <v>0</v>
      </c>
      <c r="W17" s="96">
        <f t="shared" si="11"/>
        <v>51.711607100000016</v>
      </c>
      <c r="X17" s="151"/>
      <c r="Y17" s="96">
        <f aca="true" t="shared" si="12" ref="Y17:AD17">+Y8+Y15</f>
        <v>54.814303526</v>
      </c>
      <c r="Z17" s="96">
        <f t="shared" si="12"/>
        <v>0</v>
      </c>
      <c r="AA17" s="96">
        <f t="shared" si="12"/>
        <v>0</v>
      </c>
      <c r="AB17" s="96">
        <f t="shared" si="12"/>
        <v>0</v>
      </c>
      <c r="AC17" s="96">
        <f t="shared" si="12"/>
        <v>0</v>
      </c>
      <c r="AD17" s="96">
        <f t="shared" si="12"/>
        <v>54.814303526</v>
      </c>
      <c r="AE17" s="151"/>
      <c r="AF17" s="96">
        <f aca="true" t="shared" si="13" ref="AF17:AK17">+AF8+AF15</f>
        <v>58.10316173756</v>
      </c>
      <c r="AG17" s="96">
        <f t="shared" si="13"/>
        <v>0</v>
      </c>
      <c r="AH17" s="96">
        <f t="shared" si="13"/>
        <v>0</v>
      </c>
      <c r="AI17" s="96">
        <f t="shared" si="13"/>
        <v>0</v>
      </c>
      <c r="AJ17" s="96">
        <f t="shared" si="13"/>
        <v>0</v>
      </c>
      <c r="AK17" s="96">
        <f t="shared" si="13"/>
        <v>58.10316173756</v>
      </c>
    </row>
  </sheetData>
  <sheetProtection/>
  <mergeCells count="27">
    <mergeCell ref="B1:G1"/>
    <mergeCell ref="K4:P4"/>
    <mergeCell ref="B6:B14"/>
    <mergeCell ref="F13:F14"/>
    <mergeCell ref="F4:F5"/>
    <mergeCell ref="A6:A14"/>
    <mergeCell ref="A4:A5"/>
    <mergeCell ref="B4:B5"/>
    <mergeCell ref="C4:C5"/>
    <mergeCell ref="D4:D5"/>
    <mergeCell ref="D6:D7"/>
    <mergeCell ref="Y4:AD4"/>
    <mergeCell ref="C6:C14"/>
    <mergeCell ref="E13:E14"/>
    <mergeCell ref="H4:H5"/>
    <mergeCell ref="D10:D14"/>
    <mergeCell ref="J4:J5"/>
    <mergeCell ref="Q4:Q5"/>
    <mergeCell ref="X4:X5"/>
    <mergeCell ref="AF4:AK4"/>
    <mergeCell ref="G4:G5"/>
    <mergeCell ref="R4:W4"/>
    <mergeCell ref="B2:G2"/>
    <mergeCell ref="B3:G3"/>
    <mergeCell ref="E4:E5"/>
    <mergeCell ref="I4:I5"/>
    <mergeCell ref="AE4:AE5"/>
  </mergeCells>
  <conditionalFormatting sqref="K1:P1 R1:W1 Y1:AD1 AF1:AK1">
    <cfRule type="cellIs" priority="1" dxfId="9" operator="greaterThan" stopIfTrue="1">
      <formula>1</formula>
    </cfRule>
  </conditionalFormatting>
  <printOptions horizontalCentered="1"/>
  <pageMargins left="0.3937007874015748" right="1.1811023622047245" top="0.984251968503937" bottom="0.984251968503937" header="0.5118110236220472" footer="0.5118110236220472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16"/>
  <sheetViews>
    <sheetView zoomScale="120" zoomScaleNormal="120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11.421875" style="18" bestFit="1" customWidth="1"/>
    <col min="2" max="2" width="9.140625" style="18" customWidth="1"/>
    <col min="3" max="3" width="12.140625" style="18" customWidth="1"/>
    <col min="4" max="4" width="13.421875" style="18" customWidth="1"/>
    <col min="5" max="5" width="26.00390625" style="18" customWidth="1"/>
    <col min="6" max="6" width="25.421875" style="18" customWidth="1"/>
    <col min="7" max="7" width="29.140625" style="18" customWidth="1"/>
    <col min="8" max="8" width="10.421875" style="18" customWidth="1"/>
    <col min="9" max="9" width="8.00390625" style="131" bestFit="1" customWidth="1"/>
    <col min="10" max="10" width="1.7109375" style="131" customWidth="1"/>
    <col min="11" max="16" width="10.7109375" style="18" customWidth="1"/>
    <col min="17" max="17" width="1.7109375" style="131" customWidth="1"/>
    <col min="18" max="23" width="10.7109375" style="18" customWidth="1"/>
    <col min="24" max="24" width="1.7109375" style="131" customWidth="1"/>
    <col min="25" max="30" width="10.7109375" style="18" customWidth="1"/>
    <col min="31" max="31" width="1.7109375" style="131" customWidth="1"/>
    <col min="32" max="37" width="10.7109375" style="18" customWidth="1"/>
    <col min="38" max="16384" width="11.421875" style="3" customWidth="1"/>
  </cols>
  <sheetData>
    <row r="1" spans="2:37" s="32" customFormat="1" ht="12.75">
      <c r="B1" s="311" t="s">
        <v>134</v>
      </c>
      <c r="C1" s="311"/>
      <c r="D1" s="311"/>
      <c r="E1" s="311"/>
      <c r="F1" s="311"/>
      <c r="G1" s="311"/>
      <c r="I1" s="129"/>
      <c r="J1" s="129"/>
      <c r="K1" s="229">
        <f aca="true" t="shared" si="0" ref="K1:AK1">+K3-K2</f>
        <v>0</v>
      </c>
      <c r="L1" s="229">
        <f t="shared" si="0"/>
        <v>0</v>
      </c>
      <c r="M1" s="229">
        <f t="shared" si="0"/>
        <v>0</v>
      </c>
      <c r="N1" s="229">
        <f t="shared" si="0"/>
        <v>0</v>
      </c>
      <c r="O1" s="229">
        <f t="shared" si="0"/>
        <v>0</v>
      </c>
      <c r="P1" s="229">
        <f t="shared" si="0"/>
        <v>0</v>
      </c>
      <c r="Q1" s="228"/>
      <c r="R1" s="229">
        <f t="shared" si="0"/>
        <v>0</v>
      </c>
      <c r="S1" s="229">
        <f t="shared" si="0"/>
        <v>0</v>
      </c>
      <c r="T1" s="229">
        <f t="shared" si="0"/>
        <v>0</v>
      </c>
      <c r="U1" s="229">
        <f t="shared" si="0"/>
        <v>0</v>
      </c>
      <c r="V1" s="229">
        <f t="shared" si="0"/>
        <v>0</v>
      </c>
      <c r="W1" s="229">
        <f t="shared" si="0"/>
        <v>0</v>
      </c>
      <c r="X1" s="228"/>
      <c r="Y1" s="229">
        <f t="shared" si="0"/>
        <v>0</v>
      </c>
      <c r="Z1" s="229">
        <f t="shared" si="0"/>
        <v>0</v>
      </c>
      <c r="AA1" s="229">
        <f t="shared" si="0"/>
        <v>0</v>
      </c>
      <c r="AB1" s="229">
        <f t="shared" si="0"/>
        <v>0</v>
      </c>
      <c r="AC1" s="229">
        <f t="shared" si="0"/>
        <v>0</v>
      </c>
      <c r="AD1" s="229">
        <f t="shared" si="0"/>
        <v>0</v>
      </c>
      <c r="AE1" s="228"/>
      <c r="AF1" s="229">
        <f t="shared" si="0"/>
        <v>0</v>
      </c>
      <c r="AG1" s="229">
        <f t="shared" si="0"/>
        <v>0</v>
      </c>
      <c r="AH1" s="229">
        <f t="shared" si="0"/>
        <v>0</v>
      </c>
      <c r="AI1" s="229">
        <f t="shared" si="0"/>
        <v>0</v>
      </c>
      <c r="AJ1" s="229">
        <f t="shared" si="0"/>
        <v>0</v>
      </c>
      <c r="AK1" s="229">
        <f t="shared" si="0"/>
        <v>0</v>
      </c>
    </row>
    <row r="2" spans="2:37" s="32" customFormat="1" ht="12.75">
      <c r="B2" s="312" t="s">
        <v>137</v>
      </c>
      <c r="C2" s="312"/>
      <c r="D2" s="312"/>
      <c r="E2" s="312"/>
      <c r="F2" s="312"/>
      <c r="G2" s="312"/>
      <c r="I2" s="129"/>
      <c r="J2" s="129"/>
      <c r="K2" s="229">
        <f>+K8+K14</f>
        <v>68.298349</v>
      </c>
      <c r="L2" s="229">
        <f aca="true" t="shared" si="1" ref="L2:AK2">+L8+L14</f>
        <v>0</v>
      </c>
      <c r="M2" s="229">
        <f t="shared" si="1"/>
        <v>0</v>
      </c>
      <c r="N2" s="229">
        <f t="shared" si="1"/>
        <v>0</v>
      </c>
      <c r="O2" s="229">
        <f t="shared" si="1"/>
        <v>0</v>
      </c>
      <c r="P2" s="229">
        <f t="shared" si="1"/>
        <v>68.298349</v>
      </c>
      <c r="Q2" s="228"/>
      <c r="R2" s="229">
        <f t="shared" si="1"/>
        <v>72.39624994000002</v>
      </c>
      <c r="S2" s="229">
        <f t="shared" si="1"/>
        <v>0</v>
      </c>
      <c r="T2" s="229">
        <f t="shared" si="1"/>
        <v>0</v>
      </c>
      <c r="U2" s="229">
        <f t="shared" si="1"/>
        <v>0</v>
      </c>
      <c r="V2" s="229">
        <f t="shared" si="1"/>
        <v>0</v>
      </c>
      <c r="W2" s="229">
        <f t="shared" si="1"/>
        <v>72.39624994000002</v>
      </c>
      <c r="X2" s="228"/>
      <c r="Y2" s="229">
        <f>+PROYECCIONES!F106</f>
        <v>76.74002493640002</v>
      </c>
      <c r="Z2" s="229">
        <f t="shared" si="1"/>
        <v>0</v>
      </c>
      <c r="AA2" s="229">
        <f t="shared" si="1"/>
        <v>0</v>
      </c>
      <c r="AB2" s="229">
        <f t="shared" si="1"/>
        <v>0</v>
      </c>
      <c r="AC2" s="229">
        <f t="shared" si="1"/>
        <v>0</v>
      </c>
      <c r="AD2" s="229">
        <f t="shared" si="1"/>
        <v>76.74002493640002</v>
      </c>
      <c r="AE2" s="228"/>
      <c r="AF2" s="229">
        <f t="shared" si="1"/>
        <v>81.34442643258402</v>
      </c>
      <c r="AG2" s="229">
        <f t="shared" si="1"/>
        <v>0</v>
      </c>
      <c r="AH2" s="229">
        <f t="shared" si="1"/>
        <v>0</v>
      </c>
      <c r="AI2" s="229">
        <f t="shared" si="1"/>
        <v>0</v>
      </c>
      <c r="AJ2" s="229">
        <f t="shared" si="1"/>
        <v>0</v>
      </c>
      <c r="AK2" s="229">
        <f t="shared" si="1"/>
        <v>81.34442643258402</v>
      </c>
    </row>
    <row r="3" spans="2:37" s="32" customFormat="1" ht="12.75">
      <c r="B3" s="313" t="s">
        <v>136</v>
      </c>
      <c r="C3" s="313"/>
      <c r="D3" s="313"/>
      <c r="E3" s="313"/>
      <c r="F3" s="313"/>
      <c r="G3" s="313"/>
      <c r="I3" s="129"/>
      <c r="J3" s="129"/>
      <c r="K3" s="229">
        <f>+PROYECCIONES!D106</f>
        <v>68.298349</v>
      </c>
      <c r="L3" s="229">
        <v>0</v>
      </c>
      <c r="M3" s="229">
        <v>0</v>
      </c>
      <c r="N3" s="229">
        <v>0</v>
      </c>
      <c r="O3" s="229">
        <v>0</v>
      </c>
      <c r="P3" s="229">
        <f>SUM(K3:O3)</f>
        <v>68.298349</v>
      </c>
      <c r="Q3" s="228"/>
      <c r="R3" s="229">
        <f>+PROYECCIONES!E106</f>
        <v>72.39624994000002</v>
      </c>
      <c r="S3" s="229">
        <v>0</v>
      </c>
      <c r="T3" s="229">
        <v>0</v>
      </c>
      <c r="U3" s="229">
        <v>0</v>
      </c>
      <c r="V3" s="229">
        <v>0</v>
      </c>
      <c r="W3" s="229">
        <f>SUM(R3:V3)</f>
        <v>72.39624994000002</v>
      </c>
      <c r="X3" s="228"/>
      <c r="Y3" s="229">
        <f>+PROYECCIONES!F106</f>
        <v>76.74002493640002</v>
      </c>
      <c r="Z3" s="229">
        <v>0</v>
      </c>
      <c r="AA3" s="229">
        <v>0</v>
      </c>
      <c r="AB3" s="229">
        <v>0</v>
      </c>
      <c r="AC3" s="229">
        <v>0</v>
      </c>
      <c r="AD3" s="229">
        <f>SUM(Y3:AC3)</f>
        <v>76.74002493640002</v>
      </c>
      <c r="AE3" s="228"/>
      <c r="AF3" s="229">
        <f>+PROYECCIONES!G106</f>
        <v>81.34442643258402</v>
      </c>
      <c r="AG3" s="229">
        <v>0</v>
      </c>
      <c r="AH3" s="229">
        <v>0</v>
      </c>
      <c r="AI3" s="229">
        <v>0</v>
      </c>
      <c r="AJ3" s="229">
        <v>0</v>
      </c>
      <c r="AK3" s="229">
        <f>SUM(AF3:AJ3)</f>
        <v>81.34442643258402</v>
      </c>
    </row>
    <row r="4" spans="1:37" s="11" customFormat="1" ht="12.75">
      <c r="A4" s="391" t="s">
        <v>35</v>
      </c>
      <c r="B4" s="391" t="s">
        <v>47</v>
      </c>
      <c r="C4" s="391" t="s">
        <v>0</v>
      </c>
      <c r="D4" s="391" t="s">
        <v>2</v>
      </c>
      <c r="E4" s="391" t="s">
        <v>39</v>
      </c>
      <c r="F4" s="391" t="s">
        <v>37</v>
      </c>
      <c r="G4" s="391" t="s">
        <v>10</v>
      </c>
      <c r="H4" s="421" t="s">
        <v>267</v>
      </c>
      <c r="I4" s="425" t="s">
        <v>266</v>
      </c>
      <c r="J4" s="249"/>
      <c r="K4" s="390">
        <v>2012</v>
      </c>
      <c r="L4" s="390"/>
      <c r="M4" s="390"/>
      <c r="N4" s="390"/>
      <c r="O4" s="390"/>
      <c r="P4" s="390"/>
      <c r="Q4" s="249"/>
      <c r="R4" s="390">
        <v>2013</v>
      </c>
      <c r="S4" s="390"/>
      <c r="T4" s="390"/>
      <c r="U4" s="390"/>
      <c r="V4" s="390"/>
      <c r="W4" s="390"/>
      <c r="X4" s="249"/>
      <c r="Y4" s="390">
        <v>2014</v>
      </c>
      <c r="Z4" s="390"/>
      <c r="AA4" s="390"/>
      <c r="AB4" s="390"/>
      <c r="AC4" s="390"/>
      <c r="AD4" s="390"/>
      <c r="AE4" s="249"/>
      <c r="AF4" s="390">
        <v>2015</v>
      </c>
      <c r="AG4" s="390"/>
      <c r="AH4" s="390"/>
      <c r="AI4" s="390"/>
      <c r="AJ4" s="390"/>
      <c r="AK4" s="390"/>
    </row>
    <row r="5" spans="1:37" s="11" customFormat="1" ht="12.75">
      <c r="A5" s="392"/>
      <c r="B5" s="392"/>
      <c r="C5" s="392"/>
      <c r="D5" s="392"/>
      <c r="E5" s="420"/>
      <c r="F5" s="420"/>
      <c r="G5" s="420"/>
      <c r="H5" s="422"/>
      <c r="I5" s="426"/>
      <c r="J5" s="250"/>
      <c r="K5" s="248" t="s">
        <v>40</v>
      </c>
      <c r="L5" s="5" t="s">
        <v>41</v>
      </c>
      <c r="M5" s="248" t="s">
        <v>42</v>
      </c>
      <c r="N5" s="248" t="s">
        <v>43</v>
      </c>
      <c r="O5" s="248" t="s">
        <v>1</v>
      </c>
      <c r="P5" s="248" t="s">
        <v>44</v>
      </c>
      <c r="Q5" s="250"/>
      <c r="R5" s="248" t="s">
        <v>40</v>
      </c>
      <c r="S5" s="5" t="s">
        <v>41</v>
      </c>
      <c r="T5" s="248" t="s">
        <v>42</v>
      </c>
      <c r="U5" s="248" t="s">
        <v>43</v>
      </c>
      <c r="V5" s="248" t="s">
        <v>1</v>
      </c>
      <c r="W5" s="248" t="s">
        <v>44</v>
      </c>
      <c r="X5" s="250"/>
      <c r="Y5" s="248" t="s">
        <v>40</v>
      </c>
      <c r="Z5" s="5" t="s">
        <v>41</v>
      </c>
      <c r="AA5" s="248" t="s">
        <v>42</v>
      </c>
      <c r="AB5" s="248" t="s">
        <v>43</v>
      </c>
      <c r="AC5" s="248" t="s">
        <v>1</v>
      </c>
      <c r="AD5" s="248" t="s">
        <v>44</v>
      </c>
      <c r="AE5" s="250"/>
      <c r="AF5" s="248" t="s">
        <v>40</v>
      </c>
      <c r="AG5" s="5" t="s">
        <v>41</v>
      </c>
      <c r="AH5" s="248" t="s">
        <v>42</v>
      </c>
      <c r="AI5" s="248" t="s">
        <v>43</v>
      </c>
      <c r="AJ5" s="248" t="s">
        <v>1</v>
      </c>
      <c r="AK5" s="248" t="s">
        <v>44</v>
      </c>
    </row>
    <row r="6" spans="1:37" ht="25.5">
      <c r="A6" s="409" t="s">
        <v>46</v>
      </c>
      <c r="B6" s="409" t="s">
        <v>3</v>
      </c>
      <c r="C6" s="347" t="s">
        <v>36</v>
      </c>
      <c r="D6" s="346" t="s">
        <v>38</v>
      </c>
      <c r="E6" s="20" t="s">
        <v>268</v>
      </c>
      <c r="F6" s="20" t="s">
        <v>269</v>
      </c>
      <c r="G6" s="124" t="s">
        <v>270</v>
      </c>
      <c r="H6" s="108">
        <f aca="true" t="shared" si="2" ref="H6:H13">+P6+W6+AD6+AK6</f>
        <v>13.659669800000001</v>
      </c>
      <c r="I6" s="115"/>
      <c r="J6" s="133"/>
      <c r="K6" s="7">
        <f>+K3*0.2</f>
        <v>13.659669800000001</v>
      </c>
      <c r="L6" s="7"/>
      <c r="M6" s="7"/>
      <c r="N6" s="7"/>
      <c r="O6" s="7"/>
      <c r="P6" s="7">
        <f aca="true" t="shared" si="3" ref="P6:P13">SUM(K6:O6)</f>
        <v>13.659669800000001</v>
      </c>
      <c r="Q6" s="133"/>
      <c r="R6" s="7"/>
      <c r="S6" s="7"/>
      <c r="T6" s="7"/>
      <c r="U6" s="7"/>
      <c r="V6" s="7"/>
      <c r="W6" s="7">
        <f aca="true" t="shared" si="4" ref="W6:W13">SUM(R6:V6)</f>
        <v>0</v>
      </c>
      <c r="X6" s="133"/>
      <c r="Y6" s="7"/>
      <c r="Z6" s="7"/>
      <c r="AA6" s="7"/>
      <c r="AB6" s="7"/>
      <c r="AC6" s="7"/>
      <c r="AD6" s="7">
        <f aca="true" t="shared" si="5" ref="AD6:AD13">SUM(Y6:AC6)</f>
        <v>0</v>
      </c>
      <c r="AE6" s="133"/>
      <c r="AF6" s="7"/>
      <c r="AG6" s="7"/>
      <c r="AH6" s="7"/>
      <c r="AI6" s="7"/>
      <c r="AJ6" s="7"/>
      <c r="AK6" s="7">
        <f aca="true" t="shared" si="6" ref="AK6:AK13">SUM(AF6:AJ6)</f>
        <v>0</v>
      </c>
    </row>
    <row r="7" spans="1:37" ht="40.5" customHeight="1">
      <c r="A7" s="423"/>
      <c r="B7" s="423"/>
      <c r="C7" s="386"/>
      <c r="D7" s="419"/>
      <c r="E7" s="20" t="s">
        <v>271</v>
      </c>
      <c r="F7" s="20" t="s">
        <v>602</v>
      </c>
      <c r="G7" s="124" t="s">
        <v>272</v>
      </c>
      <c r="H7" s="108">
        <f t="shared" si="2"/>
        <v>56.34089261179682</v>
      </c>
      <c r="I7" s="117"/>
      <c r="J7" s="133"/>
      <c r="K7" s="7">
        <f>+K3*0.15</f>
        <v>10.24475235</v>
      </c>
      <c r="L7" s="7"/>
      <c r="M7" s="7"/>
      <c r="N7" s="7"/>
      <c r="O7" s="7"/>
      <c r="P7" s="7">
        <f t="shared" si="3"/>
        <v>10.24475235</v>
      </c>
      <c r="Q7" s="133"/>
      <c r="R7" s="7">
        <f>+R3*0.2</f>
        <v>14.479249988000005</v>
      </c>
      <c r="S7" s="7"/>
      <c r="T7" s="7"/>
      <c r="U7" s="7"/>
      <c r="V7" s="7"/>
      <c r="W7" s="7">
        <f t="shared" si="4"/>
        <v>14.479249988000005</v>
      </c>
      <c r="X7" s="133"/>
      <c r="Y7" s="7">
        <f>+Y3*0.2</f>
        <v>15.348004987280005</v>
      </c>
      <c r="Z7" s="7"/>
      <c r="AA7" s="7"/>
      <c r="AB7" s="7"/>
      <c r="AC7" s="7"/>
      <c r="AD7" s="7">
        <f t="shared" si="5"/>
        <v>15.348004987280005</v>
      </c>
      <c r="AE7" s="133"/>
      <c r="AF7" s="7">
        <f>+AF3*0.2</f>
        <v>16.268885286516802</v>
      </c>
      <c r="AG7" s="7"/>
      <c r="AH7" s="7"/>
      <c r="AI7" s="7"/>
      <c r="AJ7" s="7"/>
      <c r="AK7" s="7">
        <f t="shared" si="6"/>
        <v>16.268885286516802</v>
      </c>
    </row>
    <row r="8" spans="1:37" s="95" customFormat="1" ht="12.75">
      <c r="A8" s="423"/>
      <c r="B8" s="423"/>
      <c r="C8" s="386"/>
      <c r="D8" s="130"/>
      <c r="E8" s="102"/>
      <c r="F8" s="135"/>
      <c r="G8" s="128" t="s">
        <v>235</v>
      </c>
      <c r="H8" s="93">
        <f>SUM(H6:H7)</f>
        <v>70.00056241179682</v>
      </c>
      <c r="I8" s="113">
        <f>+H8/H16</f>
        <v>0.23428872385599106</v>
      </c>
      <c r="J8" s="134"/>
      <c r="K8" s="93">
        <f aca="true" t="shared" si="7" ref="K8:AK8">SUM(K6:K7)</f>
        <v>23.904422150000002</v>
      </c>
      <c r="L8" s="93">
        <f t="shared" si="7"/>
        <v>0</v>
      </c>
      <c r="M8" s="93">
        <f t="shared" si="7"/>
        <v>0</v>
      </c>
      <c r="N8" s="93">
        <f t="shared" si="7"/>
        <v>0</v>
      </c>
      <c r="O8" s="93">
        <f t="shared" si="7"/>
        <v>0</v>
      </c>
      <c r="P8" s="93">
        <f t="shared" si="7"/>
        <v>23.904422150000002</v>
      </c>
      <c r="Q8" s="134"/>
      <c r="R8" s="93">
        <f t="shared" si="7"/>
        <v>14.479249988000005</v>
      </c>
      <c r="S8" s="93">
        <f t="shared" si="7"/>
        <v>0</v>
      </c>
      <c r="T8" s="93">
        <f t="shared" si="7"/>
        <v>0</v>
      </c>
      <c r="U8" s="93">
        <f t="shared" si="7"/>
        <v>0</v>
      </c>
      <c r="V8" s="93">
        <f t="shared" si="7"/>
        <v>0</v>
      </c>
      <c r="W8" s="93">
        <f t="shared" si="7"/>
        <v>14.479249988000005</v>
      </c>
      <c r="X8" s="134"/>
      <c r="Y8" s="93">
        <f t="shared" si="7"/>
        <v>15.348004987280005</v>
      </c>
      <c r="Z8" s="93">
        <f t="shared" si="7"/>
        <v>0</v>
      </c>
      <c r="AA8" s="93">
        <f t="shared" si="7"/>
        <v>0</v>
      </c>
      <c r="AB8" s="93">
        <f t="shared" si="7"/>
        <v>0</v>
      </c>
      <c r="AC8" s="93">
        <f t="shared" si="7"/>
        <v>0</v>
      </c>
      <c r="AD8" s="93">
        <f t="shared" si="7"/>
        <v>15.348004987280005</v>
      </c>
      <c r="AE8" s="134"/>
      <c r="AF8" s="93">
        <f t="shared" si="7"/>
        <v>16.268885286516802</v>
      </c>
      <c r="AG8" s="93">
        <f t="shared" si="7"/>
        <v>0</v>
      </c>
      <c r="AH8" s="93">
        <f t="shared" si="7"/>
        <v>0</v>
      </c>
      <c r="AI8" s="93">
        <f t="shared" si="7"/>
        <v>0</v>
      </c>
      <c r="AJ8" s="93">
        <f t="shared" si="7"/>
        <v>0</v>
      </c>
      <c r="AK8" s="93">
        <f t="shared" si="7"/>
        <v>16.268885286516802</v>
      </c>
    </row>
    <row r="9" spans="1:31" ht="7.5" customHeight="1">
      <c r="A9" s="423"/>
      <c r="B9" s="423"/>
      <c r="C9" s="386"/>
      <c r="J9" s="18"/>
      <c r="Q9" s="18"/>
      <c r="X9" s="18"/>
      <c r="AE9" s="18"/>
    </row>
    <row r="10" spans="1:37" ht="38.25">
      <c r="A10" s="423"/>
      <c r="B10" s="423"/>
      <c r="C10" s="386"/>
      <c r="D10" s="346" t="s">
        <v>273</v>
      </c>
      <c r="E10" s="20" t="s">
        <v>274</v>
      </c>
      <c r="F10" s="247" t="s">
        <v>275</v>
      </c>
      <c r="G10" s="20" t="s">
        <v>12</v>
      </c>
      <c r="H10" s="108">
        <f t="shared" si="2"/>
        <v>23.048070130898406</v>
      </c>
      <c r="I10" s="115"/>
      <c r="J10" s="133"/>
      <c r="K10" s="7"/>
      <c r="L10" s="7"/>
      <c r="M10" s="7"/>
      <c r="N10" s="7"/>
      <c r="O10" s="7"/>
      <c r="P10" s="7">
        <f t="shared" si="3"/>
        <v>0</v>
      </c>
      <c r="Q10" s="133"/>
      <c r="R10" s="7">
        <f>+R3*0.1</f>
        <v>7.239624994000002</v>
      </c>
      <c r="S10" s="7"/>
      <c r="T10" s="7"/>
      <c r="U10" s="7"/>
      <c r="V10" s="7"/>
      <c r="W10" s="7">
        <f t="shared" si="4"/>
        <v>7.239624994000002</v>
      </c>
      <c r="X10" s="133"/>
      <c r="Y10" s="7">
        <f>+Y3*0.1</f>
        <v>7.674002493640002</v>
      </c>
      <c r="Z10" s="7"/>
      <c r="AA10" s="7"/>
      <c r="AB10" s="7"/>
      <c r="AC10" s="7"/>
      <c r="AD10" s="7">
        <f t="shared" si="5"/>
        <v>7.674002493640002</v>
      </c>
      <c r="AE10" s="133"/>
      <c r="AF10" s="7">
        <f>+AF3*0.1</f>
        <v>8.134442643258401</v>
      </c>
      <c r="AG10" s="7"/>
      <c r="AH10" s="7"/>
      <c r="AI10" s="7"/>
      <c r="AJ10" s="7"/>
      <c r="AK10" s="7">
        <f t="shared" si="6"/>
        <v>8.134442643258401</v>
      </c>
    </row>
    <row r="11" spans="1:37" ht="38.25">
      <c r="A11" s="423"/>
      <c r="B11" s="423"/>
      <c r="C11" s="386"/>
      <c r="D11" s="419"/>
      <c r="E11" s="20" t="s">
        <v>276</v>
      </c>
      <c r="F11" s="247" t="s">
        <v>277</v>
      </c>
      <c r="G11" s="20" t="s">
        <v>278</v>
      </c>
      <c r="H11" s="108">
        <f t="shared" si="2"/>
        <v>41.40194009634761</v>
      </c>
      <c r="I11" s="116"/>
      <c r="J11" s="133"/>
      <c r="K11" s="7">
        <f>+K3*0.1</f>
        <v>6.829834900000001</v>
      </c>
      <c r="L11" s="7"/>
      <c r="M11" s="7"/>
      <c r="N11" s="7"/>
      <c r="O11" s="7"/>
      <c r="P11" s="7">
        <f t="shared" si="3"/>
        <v>6.829834900000001</v>
      </c>
      <c r="Q11" s="133"/>
      <c r="R11" s="7">
        <f>+R3*0.15</f>
        <v>10.859437491000003</v>
      </c>
      <c r="S11" s="7"/>
      <c r="T11" s="7"/>
      <c r="U11" s="7"/>
      <c r="V11" s="7"/>
      <c r="W11" s="7">
        <f t="shared" si="4"/>
        <v>10.859437491000003</v>
      </c>
      <c r="X11" s="133"/>
      <c r="Y11" s="7">
        <f>+Y3*0.15</f>
        <v>11.511003740460003</v>
      </c>
      <c r="Z11" s="7"/>
      <c r="AA11" s="7"/>
      <c r="AB11" s="7"/>
      <c r="AC11" s="7"/>
      <c r="AD11" s="7">
        <f t="shared" si="5"/>
        <v>11.511003740460003</v>
      </c>
      <c r="AE11" s="133"/>
      <c r="AF11" s="7">
        <f>+AF3*0.15</f>
        <v>12.201663964887603</v>
      </c>
      <c r="AG11" s="7"/>
      <c r="AH11" s="7"/>
      <c r="AI11" s="7"/>
      <c r="AJ11" s="7"/>
      <c r="AK11" s="7">
        <f t="shared" si="6"/>
        <v>12.201663964887603</v>
      </c>
    </row>
    <row r="12" spans="1:37" ht="63.75">
      <c r="A12" s="423"/>
      <c r="B12" s="423"/>
      <c r="C12" s="386"/>
      <c r="D12" s="419"/>
      <c r="E12" s="20" t="s">
        <v>279</v>
      </c>
      <c r="F12" s="20" t="s">
        <v>284</v>
      </c>
      <c r="G12" s="20" t="s">
        <v>280</v>
      </c>
      <c r="H12" s="108">
        <f t="shared" si="2"/>
        <v>59.75581006179681</v>
      </c>
      <c r="I12" s="116"/>
      <c r="J12" s="133"/>
      <c r="K12" s="7">
        <f>+K3*0.2</f>
        <v>13.659669800000001</v>
      </c>
      <c r="L12" s="7"/>
      <c r="M12" s="7"/>
      <c r="N12" s="7"/>
      <c r="O12" s="7"/>
      <c r="P12" s="7">
        <f t="shared" si="3"/>
        <v>13.659669800000001</v>
      </c>
      <c r="Q12" s="133"/>
      <c r="R12" s="7">
        <f>+R3*0.2</f>
        <v>14.479249988000005</v>
      </c>
      <c r="S12" s="7"/>
      <c r="T12" s="7"/>
      <c r="U12" s="7"/>
      <c r="V12" s="7"/>
      <c r="W12" s="7">
        <f t="shared" si="4"/>
        <v>14.479249988000005</v>
      </c>
      <c r="X12" s="133"/>
      <c r="Y12" s="7">
        <f>+Y3*0.2</f>
        <v>15.348004987280005</v>
      </c>
      <c r="Z12" s="7"/>
      <c r="AA12" s="7"/>
      <c r="AB12" s="7"/>
      <c r="AC12" s="7"/>
      <c r="AD12" s="7">
        <f t="shared" si="5"/>
        <v>15.348004987280005</v>
      </c>
      <c r="AE12" s="133"/>
      <c r="AF12" s="7">
        <f>+AF3*0.2</f>
        <v>16.268885286516802</v>
      </c>
      <c r="AG12" s="7"/>
      <c r="AH12" s="7"/>
      <c r="AI12" s="7"/>
      <c r="AJ12" s="7"/>
      <c r="AK12" s="7">
        <f t="shared" si="6"/>
        <v>16.268885286516802</v>
      </c>
    </row>
    <row r="13" spans="1:37" ht="38.25">
      <c r="A13" s="424"/>
      <c r="B13" s="424"/>
      <c r="C13" s="387"/>
      <c r="D13" s="419"/>
      <c r="E13" s="20" t="s">
        <v>281</v>
      </c>
      <c r="F13" s="247" t="s">
        <v>282</v>
      </c>
      <c r="G13" s="20" t="s">
        <v>283</v>
      </c>
      <c r="H13" s="108">
        <f t="shared" si="2"/>
        <v>104.57266760814441</v>
      </c>
      <c r="I13" s="117"/>
      <c r="J13" s="133"/>
      <c r="K13" s="7">
        <f>+K3*0.35</f>
        <v>23.90442215</v>
      </c>
      <c r="L13" s="7"/>
      <c r="M13" s="7"/>
      <c r="N13" s="7"/>
      <c r="O13" s="7"/>
      <c r="P13" s="7">
        <f t="shared" si="3"/>
        <v>23.90442215</v>
      </c>
      <c r="Q13" s="133"/>
      <c r="R13" s="7">
        <f>+R3*0.35</f>
        <v>25.338687479000004</v>
      </c>
      <c r="S13" s="7"/>
      <c r="T13" s="7"/>
      <c r="U13" s="7"/>
      <c r="V13" s="7"/>
      <c r="W13" s="7">
        <f t="shared" si="4"/>
        <v>25.338687479000004</v>
      </c>
      <c r="X13" s="133"/>
      <c r="Y13" s="7">
        <f>+Y3*0.35</f>
        <v>26.859008727740004</v>
      </c>
      <c r="Z13" s="7"/>
      <c r="AA13" s="7"/>
      <c r="AB13" s="7"/>
      <c r="AC13" s="7"/>
      <c r="AD13" s="7">
        <f t="shared" si="5"/>
        <v>26.859008727740004</v>
      </c>
      <c r="AE13" s="133"/>
      <c r="AF13" s="7">
        <f>+AF3*0.35</f>
        <v>28.470549251404403</v>
      </c>
      <c r="AG13" s="7"/>
      <c r="AH13" s="7"/>
      <c r="AI13" s="7"/>
      <c r="AJ13" s="7"/>
      <c r="AK13" s="7">
        <f t="shared" si="6"/>
        <v>28.470549251404403</v>
      </c>
    </row>
    <row r="14" spans="1:37" s="95" customFormat="1" ht="12.75">
      <c r="A14" s="125"/>
      <c r="B14" s="125"/>
      <c r="C14" s="126"/>
      <c r="D14" s="101"/>
      <c r="E14" s="102"/>
      <c r="F14" s="102"/>
      <c r="G14" s="128" t="s">
        <v>235</v>
      </c>
      <c r="H14" s="93">
        <f>SUM(H10:H13)</f>
        <v>228.77848789718723</v>
      </c>
      <c r="I14" s="113">
        <f>+H14/H16</f>
        <v>0.765711276144009</v>
      </c>
      <c r="J14" s="134"/>
      <c r="K14" s="93">
        <f>SUM(K10:K13)</f>
        <v>44.39392685</v>
      </c>
      <c r="L14" s="93">
        <f aca="true" t="shared" si="8" ref="L14:AK14">SUM(L10:L13)</f>
        <v>0</v>
      </c>
      <c r="M14" s="93">
        <f t="shared" si="8"/>
        <v>0</v>
      </c>
      <c r="N14" s="93">
        <f t="shared" si="8"/>
        <v>0</v>
      </c>
      <c r="O14" s="93">
        <f t="shared" si="8"/>
        <v>0</v>
      </c>
      <c r="P14" s="93">
        <f t="shared" si="8"/>
        <v>44.39392685</v>
      </c>
      <c r="Q14" s="134"/>
      <c r="R14" s="93">
        <f t="shared" si="8"/>
        <v>57.91699995200001</v>
      </c>
      <c r="S14" s="93">
        <f t="shared" si="8"/>
        <v>0</v>
      </c>
      <c r="T14" s="93">
        <f t="shared" si="8"/>
        <v>0</v>
      </c>
      <c r="U14" s="93">
        <f t="shared" si="8"/>
        <v>0</v>
      </c>
      <c r="V14" s="93">
        <f t="shared" si="8"/>
        <v>0</v>
      </c>
      <c r="W14" s="93">
        <f t="shared" si="8"/>
        <v>57.91699995200001</v>
      </c>
      <c r="X14" s="134"/>
      <c r="Y14" s="93">
        <f t="shared" si="8"/>
        <v>61.39201994912001</v>
      </c>
      <c r="Z14" s="93">
        <f t="shared" si="8"/>
        <v>0</v>
      </c>
      <c r="AA14" s="93">
        <f t="shared" si="8"/>
        <v>0</v>
      </c>
      <c r="AB14" s="93">
        <f t="shared" si="8"/>
        <v>0</v>
      </c>
      <c r="AC14" s="93">
        <f t="shared" si="8"/>
        <v>0</v>
      </c>
      <c r="AD14" s="93">
        <f t="shared" si="8"/>
        <v>61.39201994912001</v>
      </c>
      <c r="AE14" s="134"/>
      <c r="AF14" s="93">
        <f t="shared" si="8"/>
        <v>65.07554114606721</v>
      </c>
      <c r="AG14" s="93">
        <f t="shared" si="8"/>
        <v>0</v>
      </c>
      <c r="AH14" s="93">
        <f t="shared" si="8"/>
        <v>0</v>
      </c>
      <c r="AI14" s="93">
        <f t="shared" si="8"/>
        <v>0</v>
      </c>
      <c r="AJ14" s="93">
        <f t="shared" si="8"/>
        <v>0</v>
      </c>
      <c r="AK14" s="93">
        <f t="shared" si="8"/>
        <v>65.07554114606721</v>
      </c>
    </row>
    <row r="15" spans="1:31" ht="7.5" customHeight="1">
      <c r="A15" s="132"/>
      <c r="B15" s="132"/>
      <c r="C15" s="132"/>
      <c r="J15" s="18"/>
      <c r="Q15" s="18"/>
      <c r="X15" s="18"/>
      <c r="AE15" s="18"/>
    </row>
    <row r="16" spans="1:37" s="95" customFormat="1" ht="12.75">
      <c r="A16" s="132"/>
      <c r="B16" s="132"/>
      <c r="C16" s="132"/>
      <c r="D16" s="132"/>
      <c r="E16" s="132"/>
      <c r="F16" s="132"/>
      <c r="G16" s="127" t="s">
        <v>44</v>
      </c>
      <c r="H16" s="93">
        <f>+H8+H14</f>
        <v>298.77905030898404</v>
      </c>
      <c r="I16" s="113">
        <f aca="true" t="shared" si="9" ref="I16:AK16">+I8+I14</f>
        <v>1</v>
      </c>
      <c r="J16" s="134"/>
      <c r="K16" s="93">
        <f t="shared" si="9"/>
        <v>68.298349</v>
      </c>
      <c r="L16" s="93">
        <f t="shared" si="9"/>
        <v>0</v>
      </c>
      <c r="M16" s="93">
        <f t="shared" si="9"/>
        <v>0</v>
      </c>
      <c r="N16" s="93">
        <f t="shared" si="9"/>
        <v>0</v>
      </c>
      <c r="O16" s="93">
        <f t="shared" si="9"/>
        <v>0</v>
      </c>
      <c r="P16" s="93">
        <f t="shared" si="9"/>
        <v>68.298349</v>
      </c>
      <c r="Q16" s="134"/>
      <c r="R16" s="93">
        <f t="shared" si="9"/>
        <v>72.39624994000002</v>
      </c>
      <c r="S16" s="93">
        <f t="shared" si="9"/>
        <v>0</v>
      </c>
      <c r="T16" s="93">
        <f t="shared" si="9"/>
        <v>0</v>
      </c>
      <c r="U16" s="93">
        <f t="shared" si="9"/>
        <v>0</v>
      </c>
      <c r="V16" s="93">
        <f t="shared" si="9"/>
        <v>0</v>
      </c>
      <c r="W16" s="93">
        <f t="shared" si="9"/>
        <v>72.39624994000002</v>
      </c>
      <c r="X16" s="134"/>
      <c r="Y16" s="93">
        <f t="shared" si="9"/>
        <v>76.74002493640002</v>
      </c>
      <c r="Z16" s="93">
        <f t="shared" si="9"/>
        <v>0</v>
      </c>
      <c r="AA16" s="93">
        <f t="shared" si="9"/>
        <v>0</v>
      </c>
      <c r="AB16" s="93">
        <f t="shared" si="9"/>
        <v>0</v>
      </c>
      <c r="AC16" s="93">
        <f t="shared" si="9"/>
        <v>0</v>
      </c>
      <c r="AD16" s="93">
        <f t="shared" si="9"/>
        <v>76.74002493640002</v>
      </c>
      <c r="AE16" s="134"/>
      <c r="AF16" s="93">
        <f t="shared" si="9"/>
        <v>81.34442643258402</v>
      </c>
      <c r="AG16" s="93">
        <f t="shared" si="9"/>
        <v>0</v>
      </c>
      <c r="AH16" s="93">
        <f t="shared" si="9"/>
        <v>0</v>
      </c>
      <c r="AI16" s="93">
        <f t="shared" si="9"/>
        <v>0</v>
      </c>
      <c r="AJ16" s="93">
        <f t="shared" si="9"/>
        <v>0</v>
      </c>
      <c r="AK16" s="93">
        <f t="shared" si="9"/>
        <v>81.34442643258402</v>
      </c>
    </row>
  </sheetData>
  <sheetProtection/>
  <mergeCells count="21">
    <mergeCell ref="B1:G1"/>
    <mergeCell ref="B2:G2"/>
    <mergeCell ref="B3:G3"/>
    <mergeCell ref="B4:B5"/>
    <mergeCell ref="C6:C13"/>
    <mergeCell ref="I4:I5"/>
    <mergeCell ref="A6:A13"/>
    <mergeCell ref="A4:A5"/>
    <mergeCell ref="C4:C5"/>
    <mergeCell ref="D4:D5"/>
    <mergeCell ref="B6:B13"/>
    <mergeCell ref="D10:D13"/>
    <mergeCell ref="AF4:AK4"/>
    <mergeCell ref="D6:D7"/>
    <mergeCell ref="F4:F5"/>
    <mergeCell ref="E4:E5"/>
    <mergeCell ref="H4:H5"/>
    <mergeCell ref="Y4:AD4"/>
    <mergeCell ref="K4:P4"/>
    <mergeCell ref="R4:W4"/>
    <mergeCell ref="G4:G5"/>
  </mergeCells>
  <conditionalFormatting sqref="K1:P1 R1:W1 Y1:AD1 AF1:AK1">
    <cfRule type="cellIs" priority="1" dxfId="9" operator="greaterThan" stopIfTrue="1">
      <formula>2</formula>
    </cfRule>
  </conditionalFormatting>
  <printOptions horizontalCentered="1"/>
  <pageMargins left="0.3937007874015748" right="1.1811023622047245" top="0.984251968503937" bottom="0.984251968503937" header="0.5118110236220472" footer="0.5118110236220472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18"/>
  <sheetViews>
    <sheetView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1.57421875" style="89" customWidth="1"/>
    <col min="2" max="2" width="13.140625" style="138" customWidth="1"/>
    <col min="3" max="3" width="15.421875" style="138" customWidth="1"/>
    <col min="4" max="4" width="15.8515625" style="138" customWidth="1"/>
    <col min="5" max="6" width="19.28125" style="138" customWidth="1"/>
    <col min="7" max="7" width="29.28125" style="138" customWidth="1"/>
    <col min="8" max="8" width="11.00390625" style="139" bestFit="1" customWidth="1"/>
    <col min="9" max="9" width="7.7109375" style="161" customWidth="1"/>
    <col min="10" max="10" width="1.7109375" style="161" customWidth="1"/>
    <col min="11" max="16" width="11.421875" style="89" customWidth="1"/>
    <col min="17" max="17" width="1.7109375" style="161" customWidth="1"/>
    <col min="18" max="23" width="11.421875" style="89" customWidth="1"/>
    <col min="24" max="24" width="1.7109375" style="161" customWidth="1"/>
    <col min="25" max="30" width="11.421875" style="89" customWidth="1"/>
    <col min="31" max="31" width="1.7109375" style="161" customWidth="1"/>
    <col min="32" max="16384" width="11.421875" style="89" customWidth="1"/>
  </cols>
  <sheetData>
    <row r="1" spans="2:37" s="32" customFormat="1" ht="12.75">
      <c r="B1" s="311" t="s">
        <v>134</v>
      </c>
      <c r="C1" s="311"/>
      <c r="D1" s="311"/>
      <c r="E1" s="311"/>
      <c r="F1" s="311"/>
      <c r="G1" s="311"/>
      <c r="I1" s="129"/>
      <c r="J1" s="129"/>
      <c r="K1" s="239">
        <f aca="true" t="shared" si="0" ref="K1:AJ1">+K3-K2</f>
        <v>0</v>
      </c>
      <c r="L1" s="239">
        <f t="shared" si="0"/>
        <v>0</v>
      </c>
      <c r="M1" s="239">
        <f t="shared" si="0"/>
        <v>0</v>
      </c>
      <c r="N1" s="239">
        <f t="shared" si="0"/>
        <v>0</v>
      </c>
      <c r="O1" s="239">
        <f t="shared" si="0"/>
        <v>0</v>
      </c>
      <c r="P1" s="239">
        <f t="shared" si="0"/>
        <v>0</v>
      </c>
      <c r="Q1" s="129"/>
      <c r="R1" s="239">
        <f t="shared" si="0"/>
        <v>0</v>
      </c>
      <c r="S1" s="239">
        <f t="shared" si="0"/>
        <v>0</v>
      </c>
      <c r="T1" s="239">
        <f t="shared" si="0"/>
        <v>0</v>
      </c>
      <c r="U1" s="239">
        <f t="shared" si="0"/>
        <v>0</v>
      </c>
      <c r="V1" s="239">
        <f t="shared" si="0"/>
        <v>0</v>
      </c>
      <c r="W1" s="239">
        <f>+W3-W2</f>
        <v>0</v>
      </c>
      <c r="X1" s="129"/>
      <c r="Y1" s="239">
        <f t="shared" si="0"/>
        <v>0</v>
      </c>
      <c r="Z1" s="239">
        <f t="shared" si="0"/>
        <v>0</v>
      </c>
      <c r="AA1" s="239">
        <f t="shared" si="0"/>
        <v>0</v>
      </c>
      <c r="AB1" s="239">
        <f t="shared" si="0"/>
        <v>0</v>
      </c>
      <c r="AC1" s="239">
        <f t="shared" si="0"/>
        <v>0</v>
      </c>
      <c r="AD1" s="239">
        <f>+AD3-AD2</f>
        <v>0</v>
      </c>
      <c r="AE1" s="129"/>
      <c r="AF1" s="239">
        <f t="shared" si="0"/>
        <v>0</v>
      </c>
      <c r="AG1" s="239">
        <f t="shared" si="0"/>
        <v>0</v>
      </c>
      <c r="AH1" s="239">
        <f t="shared" si="0"/>
        <v>0</v>
      </c>
      <c r="AI1" s="239">
        <f t="shared" si="0"/>
        <v>0</v>
      </c>
      <c r="AJ1" s="239">
        <f t="shared" si="0"/>
        <v>0</v>
      </c>
      <c r="AK1" s="239">
        <f>+AK3-AK2</f>
        <v>0</v>
      </c>
    </row>
    <row r="2" spans="2:37" s="32" customFormat="1" ht="12.75">
      <c r="B2" s="312" t="s">
        <v>137</v>
      </c>
      <c r="C2" s="312"/>
      <c r="D2" s="312"/>
      <c r="E2" s="312"/>
      <c r="F2" s="312"/>
      <c r="G2" s="312"/>
      <c r="I2" s="129"/>
      <c r="J2" s="129"/>
      <c r="K2" s="239">
        <f>+K12+K16</f>
        <v>39.027628</v>
      </c>
      <c r="L2" s="239">
        <f aca="true" t="shared" si="1" ref="L2:AK2">+L12+L16</f>
        <v>0</v>
      </c>
      <c r="M2" s="239">
        <f t="shared" si="1"/>
        <v>0</v>
      </c>
      <c r="N2" s="239">
        <f t="shared" si="1"/>
        <v>0</v>
      </c>
      <c r="O2" s="239">
        <f t="shared" si="1"/>
        <v>0</v>
      </c>
      <c r="P2" s="239">
        <f t="shared" si="1"/>
        <v>39.027628</v>
      </c>
      <c r="Q2" s="129"/>
      <c r="R2" s="239">
        <f t="shared" si="1"/>
        <v>41.36928568000001</v>
      </c>
      <c r="S2" s="239">
        <f t="shared" si="1"/>
        <v>0</v>
      </c>
      <c r="T2" s="239">
        <f t="shared" si="1"/>
        <v>0</v>
      </c>
      <c r="U2" s="239">
        <f t="shared" si="1"/>
        <v>0</v>
      </c>
      <c r="V2" s="239">
        <f t="shared" si="1"/>
        <v>0</v>
      </c>
      <c r="W2" s="239">
        <f t="shared" si="1"/>
        <v>41.36928568000001</v>
      </c>
      <c r="X2" s="129"/>
      <c r="Y2" s="239">
        <f t="shared" si="1"/>
        <v>43.8514428208</v>
      </c>
      <c r="Z2" s="239">
        <f t="shared" si="1"/>
        <v>0</v>
      </c>
      <c r="AA2" s="239">
        <f t="shared" si="1"/>
        <v>0</v>
      </c>
      <c r="AB2" s="239">
        <f t="shared" si="1"/>
        <v>0</v>
      </c>
      <c r="AC2" s="239">
        <f t="shared" si="1"/>
        <v>0</v>
      </c>
      <c r="AD2" s="239">
        <f t="shared" si="1"/>
        <v>43.8514428208</v>
      </c>
      <c r="AE2" s="129"/>
      <c r="AF2" s="239">
        <f t="shared" si="1"/>
        <v>46.482529390048</v>
      </c>
      <c r="AG2" s="239">
        <f t="shared" si="1"/>
        <v>0</v>
      </c>
      <c r="AH2" s="239">
        <f t="shared" si="1"/>
        <v>0</v>
      </c>
      <c r="AI2" s="239">
        <f t="shared" si="1"/>
        <v>0</v>
      </c>
      <c r="AJ2" s="239">
        <f t="shared" si="1"/>
        <v>0</v>
      </c>
      <c r="AK2" s="239">
        <f t="shared" si="1"/>
        <v>46.482529390048</v>
      </c>
    </row>
    <row r="3" spans="2:37" s="32" customFormat="1" ht="12.75">
      <c r="B3" s="313" t="s">
        <v>136</v>
      </c>
      <c r="C3" s="313"/>
      <c r="D3" s="313"/>
      <c r="E3" s="313"/>
      <c r="F3" s="313"/>
      <c r="G3" s="313"/>
      <c r="I3" s="129"/>
      <c r="J3" s="129"/>
      <c r="K3" s="239">
        <f>+PROYECCIONES!D107</f>
        <v>39.027628</v>
      </c>
      <c r="L3" s="239">
        <v>0</v>
      </c>
      <c r="M3" s="239">
        <v>0</v>
      </c>
      <c r="N3" s="239">
        <v>0</v>
      </c>
      <c r="O3" s="239">
        <v>0</v>
      </c>
      <c r="P3" s="239">
        <f>SUM(K3:O3)</f>
        <v>39.027628</v>
      </c>
      <c r="Q3" s="129"/>
      <c r="R3" s="239">
        <f>+PROYECCIONES!E107</f>
        <v>41.369285680000004</v>
      </c>
      <c r="S3" s="239">
        <v>0</v>
      </c>
      <c r="T3" s="239">
        <v>0</v>
      </c>
      <c r="U3" s="239">
        <v>0</v>
      </c>
      <c r="V3" s="239">
        <v>0</v>
      </c>
      <c r="W3" s="239">
        <f>SUM(R3:V3)</f>
        <v>41.369285680000004</v>
      </c>
      <c r="X3" s="129"/>
      <c r="Y3" s="239">
        <f>+PROYECCIONES!F107</f>
        <v>43.8514428208</v>
      </c>
      <c r="Z3" s="239">
        <v>0</v>
      </c>
      <c r="AA3" s="239">
        <v>0</v>
      </c>
      <c r="AB3" s="239">
        <v>0</v>
      </c>
      <c r="AC3" s="239">
        <v>0</v>
      </c>
      <c r="AD3" s="239">
        <f>SUM(Y3:AC3)</f>
        <v>43.8514428208</v>
      </c>
      <c r="AE3" s="129"/>
      <c r="AF3" s="239">
        <f>+PROYECCIONES!G107</f>
        <v>46.482529390048</v>
      </c>
      <c r="AG3" s="239">
        <v>0</v>
      </c>
      <c r="AH3" s="239">
        <v>0</v>
      </c>
      <c r="AI3" s="239">
        <v>0</v>
      </c>
      <c r="AJ3" s="239">
        <v>0</v>
      </c>
      <c r="AK3" s="239">
        <f>SUM(AF3:AJ3)</f>
        <v>46.482529390048</v>
      </c>
    </row>
    <row r="4" spans="1:37" s="136" customFormat="1" ht="15" customHeight="1">
      <c r="A4" s="307" t="s">
        <v>35</v>
      </c>
      <c r="B4" s="307" t="s">
        <v>47</v>
      </c>
      <c r="C4" s="307" t="s">
        <v>0</v>
      </c>
      <c r="D4" s="307" t="s">
        <v>2</v>
      </c>
      <c r="E4" s="307" t="s">
        <v>39</v>
      </c>
      <c r="F4" s="307" t="s">
        <v>37</v>
      </c>
      <c r="G4" s="307" t="s">
        <v>10</v>
      </c>
      <c r="H4" s="307" t="s">
        <v>45</v>
      </c>
      <c r="I4" s="309" t="s">
        <v>266</v>
      </c>
      <c r="J4" s="299"/>
      <c r="K4" s="354">
        <v>2012</v>
      </c>
      <c r="L4" s="354"/>
      <c r="M4" s="354"/>
      <c r="N4" s="354"/>
      <c r="O4" s="354"/>
      <c r="P4" s="354"/>
      <c r="Q4" s="299"/>
      <c r="R4" s="354">
        <v>2013</v>
      </c>
      <c r="S4" s="354"/>
      <c r="T4" s="354"/>
      <c r="U4" s="354"/>
      <c r="V4" s="354"/>
      <c r="W4" s="354"/>
      <c r="X4" s="299"/>
      <c r="Y4" s="354">
        <v>2014</v>
      </c>
      <c r="Z4" s="354"/>
      <c r="AA4" s="354"/>
      <c r="AB4" s="354"/>
      <c r="AC4" s="354"/>
      <c r="AD4" s="354"/>
      <c r="AE4" s="299"/>
      <c r="AF4" s="354">
        <v>2015</v>
      </c>
      <c r="AG4" s="354"/>
      <c r="AH4" s="354"/>
      <c r="AI4" s="354"/>
      <c r="AJ4" s="354"/>
      <c r="AK4" s="354"/>
    </row>
    <row r="5" spans="1:37" s="136" customFormat="1" ht="12.75">
      <c r="A5" s="308"/>
      <c r="B5" s="308"/>
      <c r="C5" s="308"/>
      <c r="D5" s="308"/>
      <c r="E5" s="314"/>
      <c r="F5" s="314"/>
      <c r="G5" s="314"/>
      <c r="H5" s="308"/>
      <c r="I5" s="310"/>
      <c r="J5" s="300"/>
      <c r="K5" s="28" t="s">
        <v>40</v>
      </c>
      <c r="L5" s="29" t="s">
        <v>41</v>
      </c>
      <c r="M5" s="28" t="s">
        <v>42</v>
      </c>
      <c r="N5" s="28" t="s">
        <v>43</v>
      </c>
      <c r="O5" s="28" t="s">
        <v>1</v>
      </c>
      <c r="P5" s="28" t="s">
        <v>44</v>
      </c>
      <c r="Q5" s="300"/>
      <c r="R5" s="28" t="s">
        <v>40</v>
      </c>
      <c r="S5" s="29" t="s">
        <v>41</v>
      </c>
      <c r="T5" s="28" t="s">
        <v>42</v>
      </c>
      <c r="U5" s="28" t="s">
        <v>43</v>
      </c>
      <c r="V5" s="28" t="s">
        <v>1</v>
      </c>
      <c r="W5" s="28" t="s">
        <v>44</v>
      </c>
      <c r="X5" s="300"/>
      <c r="Y5" s="28" t="s">
        <v>40</v>
      </c>
      <c r="Z5" s="29" t="s">
        <v>41</v>
      </c>
      <c r="AA5" s="28" t="s">
        <v>42</v>
      </c>
      <c r="AB5" s="28" t="s">
        <v>43</v>
      </c>
      <c r="AC5" s="28" t="s">
        <v>1</v>
      </c>
      <c r="AD5" s="28" t="s">
        <v>44</v>
      </c>
      <c r="AE5" s="300"/>
      <c r="AF5" s="28" t="s">
        <v>40</v>
      </c>
      <c r="AG5" s="29" t="s">
        <v>41</v>
      </c>
      <c r="AH5" s="28" t="s">
        <v>42</v>
      </c>
      <c r="AI5" s="28" t="s">
        <v>43</v>
      </c>
      <c r="AJ5" s="28" t="s">
        <v>1</v>
      </c>
      <c r="AK5" s="28" t="s">
        <v>44</v>
      </c>
    </row>
    <row r="6" spans="1:37" ht="36" customHeight="1">
      <c r="A6" s="430" t="s">
        <v>101</v>
      </c>
      <c r="B6" s="427" t="s">
        <v>104</v>
      </c>
      <c r="C6" s="427" t="s">
        <v>110</v>
      </c>
      <c r="D6" s="427" t="s">
        <v>112</v>
      </c>
      <c r="E6" s="427" t="s">
        <v>537</v>
      </c>
      <c r="F6" s="427" t="s">
        <v>538</v>
      </c>
      <c r="G6" s="245" t="s">
        <v>539</v>
      </c>
      <c r="H6" s="31">
        <f aca="true" t="shared" si="2" ref="H6:H11">+P6+W6+AD6+AK6</f>
        <v>25.6096328836272</v>
      </c>
      <c r="I6" s="121"/>
      <c r="J6" s="172"/>
      <c r="K6" s="30">
        <f>+K3*0.15</f>
        <v>5.8541441999999995</v>
      </c>
      <c r="L6" s="30"/>
      <c r="M6" s="30"/>
      <c r="N6" s="30"/>
      <c r="O6" s="30"/>
      <c r="P6" s="30">
        <f>SUM(K6:O6)</f>
        <v>5.8541441999999995</v>
      </c>
      <c r="Q6" s="172"/>
      <c r="R6" s="30">
        <f>+R3*0.15</f>
        <v>6.205392852</v>
      </c>
      <c r="S6" s="30"/>
      <c r="T6" s="30"/>
      <c r="U6" s="30"/>
      <c r="V6" s="30"/>
      <c r="W6" s="30">
        <f>SUM(R6:V6)</f>
        <v>6.205392852</v>
      </c>
      <c r="X6" s="172"/>
      <c r="Y6" s="30">
        <f>+Y3*0.15</f>
        <v>6.57771642312</v>
      </c>
      <c r="Z6" s="30"/>
      <c r="AA6" s="30"/>
      <c r="AB6" s="30"/>
      <c r="AC6" s="30"/>
      <c r="AD6" s="30">
        <f>SUM(Y6:AC6)</f>
        <v>6.57771642312</v>
      </c>
      <c r="AE6" s="172"/>
      <c r="AF6" s="30">
        <f>+AF3*0.15</f>
        <v>6.9723794085072</v>
      </c>
      <c r="AG6" s="30"/>
      <c r="AH6" s="30"/>
      <c r="AI6" s="30"/>
      <c r="AJ6" s="30"/>
      <c r="AK6" s="30">
        <f>SUM(AF6:AJ6)</f>
        <v>6.9723794085072</v>
      </c>
    </row>
    <row r="7" spans="1:37" ht="37.5" customHeight="1">
      <c r="A7" s="410"/>
      <c r="B7" s="429"/>
      <c r="C7" s="429"/>
      <c r="D7" s="429"/>
      <c r="E7" s="428"/>
      <c r="F7" s="428"/>
      <c r="G7" s="245" t="s">
        <v>542</v>
      </c>
      <c r="H7" s="31">
        <f t="shared" si="2"/>
        <v>34.14617717816961</v>
      </c>
      <c r="I7" s="122"/>
      <c r="J7" s="173"/>
      <c r="K7" s="30">
        <f>+K3*0.2</f>
        <v>7.8055256</v>
      </c>
      <c r="L7" s="30"/>
      <c r="M7" s="30"/>
      <c r="N7" s="30"/>
      <c r="O7" s="30"/>
      <c r="P7" s="30">
        <f>SUM(K7:O7)</f>
        <v>7.8055256</v>
      </c>
      <c r="Q7" s="173"/>
      <c r="R7" s="30">
        <f>+R3*0.2</f>
        <v>8.273857136000002</v>
      </c>
      <c r="S7" s="30"/>
      <c r="T7" s="30"/>
      <c r="U7" s="30"/>
      <c r="V7" s="30"/>
      <c r="W7" s="30">
        <f>SUM(R7:V7)</f>
        <v>8.273857136000002</v>
      </c>
      <c r="X7" s="173"/>
      <c r="Y7" s="30">
        <f>+Y3*0.2</f>
        <v>8.770288564160001</v>
      </c>
      <c r="Z7" s="30"/>
      <c r="AA7" s="30"/>
      <c r="AB7" s="30"/>
      <c r="AC7" s="30"/>
      <c r="AD7" s="30">
        <f>SUM(Y7:AC7)</f>
        <v>8.770288564160001</v>
      </c>
      <c r="AE7" s="173"/>
      <c r="AF7" s="30">
        <f>+AF3*0.2</f>
        <v>9.2965058780096</v>
      </c>
      <c r="AG7" s="30"/>
      <c r="AH7" s="30"/>
      <c r="AI7" s="30"/>
      <c r="AJ7" s="30"/>
      <c r="AK7" s="30">
        <f>SUM(AF7:AJ7)</f>
        <v>9.2965058780096</v>
      </c>
    </row>
    <row r="8" spans="1:37" ht="51.75" customHeight="1">
      <c r="A8" s="410"/>
      <c r="B8" s="429"/>
      <c r="C8" s="429"/>
      <c r="D8" s="429"/>
      <c r="E8" s="427" t="s">
        <v>544</v>
      </c>
      <c r="F8" s="427" t="s">
        <v>545</v>
      </c>
      <c r="G8" s="245" t="s">
        <v>105</v>
      </c>
      <c r="H8" s="31">
        <f t="shared" si="2"/>
        <v>30.243414378169604</v>
      </c>
      <c r="I8" s="122"/>
      <c r="J8" s="173"/>
      <c r="K8" s="30">
        <f>+K3*0.1</f>
        <v>3.9027628</v>
      </c>
      <c r="L8" s="30"/>
      <c r="M8" s="30"/>
      <c r="N8" s="30"/>
      <c r="O8" s="30"/>
      <c r="P8" s="30">
        <f>SUM(K8:O8)</f>
        <v>3.9027628</v>
      </c>
      <c r="Q8" s="173"/>
      <c r="R8" s="30">
        <f>+R3*0.2</f>
        <v>8.273857136000002</v>
      </c>
      <c r="S8" s="30"/>
      <c r="T8" s="30"/>
      <c r="U8" s="30"/>
      <c r="V8" s="30"/>
      <c r="W8" s="30">
        <f>SUM(R8:V8)</f>
        <v>8.273857136000002</v>
      </c>
      <c r="X8" s="173"/>
      <c r="Y8" s="30">
        <f>+Y3*0.2</f>
        <v>8.770288564160001</v>
      </c>
      <c r="Z8" s="30"/>
      <c r="AA8" s="30"/>
      <c r="AB8" s="30"/>
      <c r="AC8" s="30"/>
      <c r="AD8" s="30">
        <f>SUM(Y8:AC8)</f>
        <v>8.770288564160001</v>
      </c>
      <c r="AE8" s="173"/>
      <c r="AF8" s="30">
        <f>+AF3*0.2</f>
        <v>9.2965058780096</v>
      </c>
      <c r="AG8" s="30"/>
      <c r="AH8" s="30"/>
      <c r="AI8" s="30"/>
      <c r="AJ8" s="30"/>
      <c r="AK8" s="30">
        <f>SUM(AF8:AJ8)</f>
        <v>9.2965058780096</v>
      </c>
    </row>
    <row r="9" spans="1:37" ht="25.5">
      <c r="A9" s="410"/>
      <c r="B9" s="429"/>
      <c r="C9" s="429"/>
      <c r="D9" s="429"/>
      <c r="E9" s="429"/>
      <c r="F9" s="429"/>
      <c r="G9" s="245" t="s">
        <v>139</v>
      </c>
      <c r="H9" s="31">
        <f t="shared" si="2"/>
        <v>17.073088589084804</v>
      </c>
      <c r="I9" s="122"/>
      <c r="J9" s="173"/>
      <c r="K9" s="30">
        <f>+K3*0.1</f>
        <v>3.9027628</v>
      </c>
      <c r="L9" s="30"/>
      <c r="M9" s="30"/>
      <c r="N9" s="30"/>
      <c r="O9" s="30"/>
      <c r="P9" s="30">
        <f>SUM(K9:O9)</f>
        <v>3.9027628</v>
      </c>
      <c r="Q9" s="173"/>
      <c r="R9" s="30">
        <f>+R3*0.1</f>
        <v>4.136928568000001</v>
      </c>
      <c r="S9" s="30"/>
      <c r="T9" s="30"/>
      <c r="U9" s="30"/>
      <c r="V9" s="30"/>
      <c r="W9" s="30">
        <f>SUM(R9:V9)</f>
        <v>4.136928568000001</v>
      </c>
      <c r="X9" s="173"/>
      <c r="Y9" s="30">
        <f>+Y3*0.1</f>
        <v>4.385144282080001</v>
      </c>
      <c r="Z9" s="30"/>
      <c r="AA9" s="30"/>
      <c r="AB9" s="30"/>
      <c r="AC9" s="30"/>
      <c r="AD9" s="30">
        <f>SUM(Y9:AC9)</f>
        <v>4.385144282080001</v>
      </c>
      <c r="AE9" s="173"/>
      <c r="AF9" s="30">
        <f>+AF3*0.1</f>
        <v>4.6482529390048</v>
      </c>
      <c r="AG9" s="30"/>
      <c r="AH9" s="30"/>
      <c r="AI9" s="30"/>
      <c r="AJ9" s="30"/>
      <c r="AK9" s="30">
        <f>SUM(AF9:AJ9)</f>
        <v>4.6482529390048</v>
      </c>
    </row>
    <row r="10" spans="1:37" ht="25.5">
      <c r="A10" s="410"/>
      <c r="B10" s="429"/>
      <c r="C10" s="429"/>
      <c r="D10" s="429"/>
      <c r="E10" s="428"/>
      <c r="F10" s="428"/>
      <c r="G10" s="245" t="s">
        <v>138</v>
      </c>
      <c r="H10" s="31">
        <f t="shared" si="2"/>
        <v>21.7068700836272</v>
      </c>
      <c r="I10" s="122"/>
      <c r="J10" s="173"/>
      <c r="K10" s="30">
        <f>+K3*0.05</f>
        <v>1.9513814</v>
      </c>
      <c r="L10" s="30"/>
      <c r="M10" s="30"/>
      <c r="N10" s="30"/>
      <c r="O10" s="30"/>
      <c r="P10" s="30">
        <f aca="true" t="shared" si="3" ref="P10:P15">SUM(K10:O10)</f>
        <v>1.9513814</v>
      </c>
      <c r="Q10" s="173"/>
      <c r="R10" s="30">
        <f>+R3*0.15</f>
        <v>6.205392852</v>
      </c>
      <c r="S10" s="30"/>
      <c r="T10" s="30"/>
      <c r="U10" s="30"/>
      <c r="V10" s="30"/>
      <c r="W10" s="30">
        <f aca="true" t="shared" si="4" ref="W10:W15">SUM(R10:V10)</f>
        <v>6.205392852</v>
      </c>
      <c r="X10" s="173"/>
      <c r="Y10" s="30">
        <f>+Y3*0.15</f>
        <v>6.57771642312</v>
      </c>
      <c r="Z10" s="30"/>
      <c r="AA10" s="30"/>
      <c r="AB10" s="30"/>
      <c r="AC10" s="30"/>
      <c r="AD10" s="30">
        <f aca="true" t="shared" si="5" ref="AD10:AD15">SUM(Y10:AC10)</f>
        <v>6.57771642312</v>
      </c>
      <c r="AE10" s="173"/>
      <c r="AF10" s="30">
        <f>+AF3*0.15</f>
        <v>6.9723794085072</v>
      </c>
      <c r="AG10" s="30"/>
      <c r="AH10" s="30"/>
      <c r="AI10" s="30"/>
      <c r="AJ10" s="30"/>
      <c r="AK10" s="30">
        <f aca="true" t="shared" si="6" ref="AK10:AK15">SUM(AF10:AJ10)</f>
        <v>6.9723794085072</v>
      </c>
    </row>
    <row r="11" spans="1:37" ht="38.25">
      <c r="A11" s="410"/>
      <c r="B11" s="429"/>
      <c r="C11" s="429"/>
      <c r="D11" s="428"/>
      <c r="E11" s="245" t="s">
        <v>540</v>
      </c>
      <c r="F11" s="245" t="s">
        <v>541</v>
      </c>
      <c r="G11" s="245" t="s">
        <v>26</v>
      </c>
      <c r="H11" s="31">
        <f t="shared" si="2"/>
        <v>34.14617717816961</v>
      </c>
      <c r="I11" s="123"/>
      <c r="J11" s="174"/>
      <c r="K11" s="30">
        <f>+K3*0.2</f>
        <v>7.8055256</v>
      </c>
      <c r="L11" s="30"/>
      <c r="M11" s="30"/>
      <c r="N11" s="30"/>
      <c r="O11" s="30"/>
      <c r="P11" s="30">
        <f t="shared" si="3"/>
        <v>7.8055256</v>
      </c>
      <c r="Q11" s="174"/>
      <c r="R11" s="30">
        <f>+R3*0.2</f>
        <v>8.273857136000002</v>
      </c>
      <c r="S11" s="30"/>
      <c r="T11" s="30"/>
      <c r="U11" s="30"/>
      <c r="V11" s="30"/>
      <c r="W11" s="30">
        <f t="shared" si="4"/>
        <v>8.273857136000002</v>
      </c>
      <c r="X11" s="174"/>
      <c r="Y11" s="30">
        <f>+Y3*0.2</f>
        <v>8.770288564160001</v>
      </c>
      <c r="Z11" s="30"/>
      <c r="AA11" s="30"/>
      <c r="AB11" s="30"/>
      <c r="AC11" s="30"/>
      <c r="AD11" s="30">
        <f t="shared" si="5"/>
        <v>8.770288564160001</v>
      </c>
      <c r="AE11" s="174"/>
      <c r="AF11" s="30">
        <f>+AF3*0.2</f>
        <v>9.2965058780096</v>
      </c>
      <c r="AG11" s="30"/>
      <c r="AH11" s="30"/>
      <c r="AI11" s="30"/>
      <c r="AJ11" s="30"/>
      <c r="AK11" s="30">
        <f t="shared" si="6"/>
        <v>9.2965058780096</v>
      </c>
    </row>
    <row r="12" spans="1:37" s="98" customFormat="1" ht="12.75">
      <c r="A12" s="410"/>
      <c r="B12" s="429"/>
      <c r="C12" s="429"/>
      <c r="D12" s="155"/>
      <c r="E12" s="155"/>
      <c r="F12" s="155"/>
      <c r="G12" s="142" t="s">
        <v>235</v>
      </c>
      <c r="H12" s="96">
        <f>SUM(H6:H11)</f>
        <v>162.92536029084803</v>
      </c>
      <c r="I12" s="119">
        <f>+H12/H18</f>
        <v>0.9542817015253453</v>
      </c>
      <c r="J12" s="151"/>
      <c r="K12" s="96">
        <f aca="true" t="shared" si="7" ref="K12:P12">SUM(K6:K11)</f>
        <v>31.2221024</v>
      </c>
      <c r="L12" s="96">
        <f t="shared" si="7"/>
        <v>0</v>
      </c>
      <c r="M12" s="96">
        <f t="shared" si="7"/>
        <v>0</v>
      </c>
      <c r="N12" s="96">
        <f t="shared" si="7"/>
        <v>0</v>
      </c>
      <c r="O12" s="96">
        <f t="shared" si="7"/>
        <v>0</v>
      </c>
      <c r="P12" s="96">
        <f t="shared" si="7"/>
        <v>31.2221024</v>
      </c>
      <c r="Q12" s="151"/>
      <c r="R12" s="96">
        <f aca="true" t="shared" si="8" ref="R12:W12">SUM(R6:R11)</f>
        <v>41.36928568000001</v>
      </c>
      <c r="S12" s="96">
        <f t="shared" si="8"/>
        <v>0</v>
      </c>
      <c r="T12" s="96">
        <f t="shared" si="8"/>
        <v>0</v>
      </c>
      <c r="U12" s="96">
        <f t="shared" si="8"/>
        <v>0</v>
      </c>
      <c r="V12" s="96">
        <f t="shared" si="8"/>
        <v>0</v>
      </c>
      <c r="W12" s="96">
        <f t="shared" si="8"/>
        <v>41.36928568000001</v>
      </c>
      <c r="X12" s="151"/>
      <c r="Y12" s="96">
        <f aca="true" t="shared" si="9" ref="Y12:AD12">SUM(Y6:Y11)</f>
        <v>43.8514428208</v>
      </c>
      <c r="Z12" s="96">
        <f t="shared" si="9"/>
        <v>0</v>
      </c>
      <c r="AA12" s="96">
        <f t="shared" si="9"/>
        <v>0</v>
      </c>
      <c r="AB12" s="96">
        <f t="shared" si="9"/>
        <v>0</v>
      </c>
      <c r="AC12" s="96">
        <f t="shared" si="9"/>
        <v>0</v>
      </c>
      <c r="AD12" s="96">
        <f t="shared" si="9"/>
        <v>43.8514428208</v>
      </c>
      <c r="AE12" s="151"/>
      <c r="AF12" s="96">
        <f aca="true" t="shared" si="10" ref="AF12:AK12">SUM(AF6:AF11)</f>
        <v>46.482529390048</v>
      </c>
      <c r="AG12" s="96">
        <f t="shared" si="10"/>
        <v>0</v>
      </c>
      <c r="AH12" s="96">
        <f t="shared" si="10"/>
        <v>0</v>
      </c>
      <c r="AI12" s="96">
        <f t="shared" si="10"/>
        <v>0</v>
      </c>
      <c r="AJ12" s="96">
        <f t="shared" si="10"/>
        <v>0</v>
      </c>
      <c r="AK12" s="96">
        <f t="shared" si="10"/>
        <v>46.482529390048</v>
      </c>
    </row>
    <row r="13" spans="1:3" ht="4.5" customHeight="1">
      <c r="A13" s="410"/>
      <c r="B13" s="429"/>
      <c r="C13" s="429"/>
    </row>
    <row r="14" spans="1:37" ht="37.5" customHeight="1">
      <c r="A14" s="410"/>
      <c r="B14" s="429"/>
      <c r="C14" s="429"/>
      <c r="D14" s="431" t="s">
        <v>116</v>
      </c>
      <c r="E14" s="246" t="s">
        <v>543</v>
      </c>
      <c r="F14" s="246" t="s">
        <v>546</v>
      </c>
      <c r="G14" s="245" t="s">
        <v>117</v>
      </c>
      <c r="H14" s="31">
        <f>+P14+W14+AD14+AK14</f>
        <v>3.9027628</v>
      </c>
      <c r="I14" s="121"/>
      <c r="J14" s="172"/>
      <c r="K14" s="30">
        <f>+K3*0.1</f>
        <v>3.9027628</v>
      </c>
      <c r="L14" s="30"/>
      <c r="M14" s="30"/>
      <c r="N14" s="30"/>
      <c r="O14" s="30"/>
      <c r="P14" s="30">
        <f t="shared" si="3"/>
        <v>3.9027628</v>
      </c>
      <c r="Q14" s="172"/>
      <c r="R14" s="30">
        <v>0</v>
      </c>
      <c r="S14" s="30"/>
      <c r="T14" s="30"/>
      <c r="U14" s="30"/>
      <c r="V14" s="30"/>
      <c r="W14" s="30">
        <f t="shared" si="4"/>
        <v>0</v>
      </c>
      <c r="X14" s="172"/>
      <c r="Y14" s="30">
        <v>0</v>
      </c>
      <c r="Z14" s="30"/>
      <c r="AA14" s="30"/>
      <c r="AB14" s="30"/>
      <c r="AC14" s="30"/>
      <c r="AD14" s="30">
        <f t="shared" si="5"/>
        <v>0</v>
      </c>
      <c r="AE14" s="172"/>
      <c r="AF14" s="30">
        <v>0</v>
      </c>
      <c r="AG14" s="30"/>
      <c r="AH14" s="30"/>
      <c r="AI14" s="30"/>
      <c r="AJ14" s="30"/>
      <c r="AK14" s="30">
        <f t="shared" si="6"/>
        <v>0</v>
      </c>
    </row>
    <row r="15" spans="1:37" ht="27" customHeight="1">
      <c r="A15" s="411"/>
      <c r="B15" s="428"/>
      <c r="C15" s="428"/>
      <c r="D15" s="432"/>
      <c r="E15" s="245" t="s">
        <v>548</v>
      </c>
      <c r="F15" s="245" t="s">
        <v>547</v>
      </c>
      <c r="G15" s="245" t="s">
        <v>140</v>
      </c>
      <c r="H15" s="31">
        <f>+P15+W15+AD15+AK15</f>
        <v>3.9027628</v>
      </c>
      <c r="I15" s="123"/>
      <c r="J15" s="174"/>
      <c r="K15" s="30">
        <f>+K3*0.1</f>
        <v>3.9027628</v>
      </c>
      <c r="L15" s="30"/>
      <c r="M15" s="30"/>
      <c r="N15" s="30"/>
      <c r="O15" s="30"/>
      <c r="P15" s="30">
        <f t="shared" si="3"/>
        <v>3.9027628</v>
      </c>
      <c r="Q15" s="174"/>
      <c r="R15" s="30">
        <v>0</v>
      </c>
      <c r="S15" s="30"/>
      <c r="T15" s="30"/>
      <c r="U15" s="30"/>
      <c r="V15" s="30"/>
      <c r="W15" s="30">
        <f t="shared" si="4"/>
        <v>0</v>
      </c>
      <c r="X15" s="174"/>
      <c r="Y15" s="30">
        <v>0</v>
      </c>
      <c r="Z15" s="30"/>
      <c r="AA15" s="30"/>
      <c r="AB15" s="30"/>
      <c r="AC15" s="30"/>
      <c r="AD15" s="30">
        <f t="shared" si="5"/>
        <v>0</v>
      </c>
      <c r="AE15" s="174"/>
      <c r="AF15" s="30">
        <v>0</v>
      </c>
      <c r="AG15" s="30"/>
      <c r="AH15" s="30"/>
      <c r="AI15" s="30"/>
      <c r="AJ15" s="30"/>
      <c r="AK15" s="30">
        <f t="shared" si="6"/>
        <v>0</v>
      </c>
    </row>
    <row r="16" spans="1:37" s="98" customFormat="1" ht="12.75">
      <c r="A16" s="240"/>
      <c r="B16" s="241"/>
      <c r="C16" s="241"/>
      <c r="D16" s="155"/>
      <c r="E16" s="155"/>
      <c r="F16" s="155"/>
      <c r="G16" s="142" t="s">
        <v>235</v>
      </c>
      <c r="H16" s="96">
        <f>SUM(H14:H15)</f>
        <v>7.8055256</v>
      </c>
      <c r="I16" s="119">
        <f>+H16/H18</f>
        <v>0.04571829847465468</v>
      </c>
      <c r="J16" s="151"/>
      <c r="K16" s="96">
        <f aca="true" t="shared" si="11" ref="K16:AK16">SUM(K14:K15)</f>
        <v>7.8055256</v>
      </c>
      <c r="L16" s="96">
        <f t="shared" si="11"/>
        <v>0</v>
      </c>
      <c r="M16" s="96">
        <f t="shared" si="11"/>
        <v>0</v>
      </c>
      <c r="N16" s="96">
        <f t="shared" si="11"/>
        <v>0</v>
      </c>
      <c r="O16" s="96">
        <f t="shared" si="11"/>
        <v>0</v>
      </c>
      <c r="P16" s="96">
        <f t="shared" si="11"/>
        <v>7.8055256</v>
      </c>
      <c r="Q16" s="151"/>
      <c r="R16" s="96">
        <f t="shared" si="11"/>
        <v>0</v>
      </c>
      <c r="S16" s="96">
        <f t="shared" si="11"/>
        <v>0</v>
      </c>
      <c r="T16" s="96">
        <f t="shared" si="11"/>
        <v>0</v>
      </c>
      <c r="U16" s="96">
        <f t="shared" si="11"/>
        <v>0</v>
      </c>
      <c r="V16" s="96">
        <f t="shared" si="11"/>
        <v>0</v>
      </c>
      <c r="W16" s="96">
        <f t="shared" si="11"/>
        <v>0</v>
      </c>
      <c r="X16" s="151"/>
      <c r="Y16" s="96">
        <f t="shared" si="11"/>
        <v>0</v>
      </c>
      <c r="Z16" s="96">
        <f t="shared" si="11"/>
        <v>0</v>
      </c>
      <c r="AA16" s="96">
        <f t="shared" si="11"/>
        <v>0</v>
      </c>
      <c r="AB16" s="96">
        <f t="shared" si="11"/>
        <v>0</v>
      </c>
      <c r="AC16" s="96">
        <f t="shared" si="11"/>
        <v>0</v>
      </c>
      <c r="AD16" s="96">
        <f t="shared" si="11"/>
        <v>0</v>
      </c>
      <c r="AE16" s="151"/>
      <c r="AF16" s="96">
        <f t="shared" si="11"/>
        <v>0</v>
      </c>
      <c r="AG16" s="96">
        <f t="shared" si="11"/>
        <v>0</v>
      </c>
      <c r="AH16" s="96">
        <f t="shared" si="11"/>
        <v>0</v>
      </c>
      <c r="AI16" s="96">
        <f t="shared" si="11"/>
        <v>0</v>
      </c>
      <c r="AJ16" s="96">
        <f t="shared" si="11"/>
        <v>0</v>
      </c>
      <c r="AK16" s="96">
        <f t="shared" si="11"/>
        <v>0</v>
      </c>
    </row>
    <row r="17" spans="1:3" ht="4.5" customHeight="1">
      <c r="A17" s="242"/>
      <c r="B17" s="243"/>
      <c r="C17" s="243"/>
    </row>
    <row r="18" spans="1:37" s="98" customFormat="1" ht="12.75">
      <c r="A18" s="244"/>
      <c r="B18" s="14"/>
      <c r="C18" s="163"/>
      <c r="D18" s="163"/>
      <c r="E18" s="163"/>
      <c r="F18" s="163"/>
      <c r="G18" s="148" t="s">
        <v>44</v>
      </c>
      <c r="H18" s="96">
        <f>+H12+H16</f>
        <v>170.73088589084804</v>
      </c>
      <c r="I18" s="119">
        <f>+I12+I16</f>
        <v>1</v>
      </c>
      <c r="J18" s="151"/>
      <c r="K18" s="96">
        <f aca="true" t="shared" si="12" ref="K18:AK18">+K12+K16</f>
        <v>39.027628</v>
      </c>
      <c r="L18" s="96">
        <f t="shared" si="12"/>
        <v>0</v>
      </c>
      <c r="M18" s="96">
        <f t="shared" si="12"/>
        <v>0</v>
      </c>
      <c r="N18" s="96">
        <f t="shared" si="12"/>
        <v>0</v>
      </c>
      <c r="O18" s="96">
        <f t="shared" si="12"/>
        <v>0</v>
      </c>
      <c r="P18" s="96">
        <f t="shared" si="12"/>
        <v>39.027628</v>
      </c>
      <c r="Q18" s="151"/>
      <c r="R18" s="96">
        <f t="shared" si="12"/>
        <v>41.36928568000001</v>
      </c>
      <c r="S18" s="96">
        <f t="shared" si="12"/>
        <v>0</v>
      </c>
      <c r="T18" s="96">
        <f t="shared" si="12"/>
        <v>0</v>
      </c>
      <c r="U18" s="96">
        <f t="shared" si="12"/>
        <v>0</v>
      </c>
      <c r="V18" s="96">
        <f t="shared" si="12"/>
        <v>0</v>
      </c>
      <c r="W18" s="96">
        <f t="shared" si="12"/>
        <v>41.36928568000001</v>
      </c>
      <c r="X18" s="151"/>
      <c r="Y18" s="96">
        <f t="shared" si="12"/>
        <v>43.8514428208</v>
      </c>
      <c r="Z18" s="96">
        <f t="shared" si="12"/>
        <v>0</v>
      </c>
      <c r="AA18" s="96">
        <f t="shared" si="12"/>
        <v>0</v>
      </c>
      <c r="AB18" s="96">
        <f t="shared" si="12"/>
        <v>0</v>
      </c>
      <c r="AC18" s="96">
        <f t="shared" si="12"/>
        <v>0</v>
      </c>
      <c r="AD18" s="96">
        <f t="shared" si="12"/>
        <v>43.8514428208</v>
      </c>
      <c r="AE18" s="151"/>
      <c r="AF18" s="96">
        <f t="shared" si="12"/>
        <v>46.482529390048</v>
      </c>
      <c r="AG18" s="96">
        <f t="shared" si="12"/>
        <v>0</v>
      </c>
      <c r="AH18" s="96">
        <f t="shared" si="12"/>
        <v>0</v>
      </c>
      <c r="AI18" s="96">
        <f t="shared" si="12"/>
        <v>0</v>
      </c>
      <c r="AJ18" s="96">
        <f t="shared" si="12"/>
        <v>0</v>
      </c>
      <c r="AK18" s="96">
        <f t="shared" si="12"/>
        <v>46.482529390048</v>
      </c>
    </row>
  </sheetData>
  <sheetProtection/>
  <mergeCells count="29">
    <mergeCell ref="E6:E7"/>
    <mergeCell ref="F6:F7"/>
    <mergeCell ref="E8:E10"/>
    <mergeCell ref="F8:F10"/>
    <mergeCell ref="A6:A15"/>
    <mergeCell ref="B6:B15"/>
    <mergeCell ref="C6:C15"/>
    <mergeCell ref="D6:D11"/>
    <mergeCell ref="D14:D15"/>
    <mergeCell ref="AF4:AK4"/>
    <mergeCell ref="A4:A5"/>
    <mergeCell ref="B4:B5"/>
    <mergeCell ref="C4:C5"/>
    <mergeCell ref="D4:D5"/>
    <mergeCell ref="E4:E5"/>
    <mergeCell ref="F4:F5"/>
    <mergeCell ref="I4:I5"/>
    <mergeCell ref="AE4:AE5"/>
    <mergeCell ref="R4:W4"/>
    <mergeCell ref="Y4:AD4"/>
    <mergeCell ref="X4:X5"/>
    <mergeCell ref="J4:J5"/>
    <mergeCell ref="Q4:Q5"/>
    <mergeCell ref="B1:G1"/>
    <mergeCell ref="B2:G2"/>
    <mergeCell ref="B3:G3"/>
    <mergeCell ref="K4:P4"/>
    <mergeCell ref="H4:H5"/>
    <mergeCell ref="G4:G5"/>
  </mergeCells>
  <printOptions horizontalCentered="1"/>
  <pageMargins left="0.3937007874015748" right="1.1811023622047245" top="0.984251968503937" bottom="0.984251968503937" header="0.5118110236220472" footer="0.5118110236220472"/>
  <pageSetup fitToHeight="1" fitToWidth="1" horizontalDpi="600" verticalDpi="600" orientation="landscape" scale="29" r:id="rId1"/>
  <colBreaks count="1" manualBreakCount="1">
    <brk id="2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34"/>
  <sheetViews>
    <sheetView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0.28125" style="3" customWidth="1"/>
    <col min="2" max="2" width="11.00390625" style="3" customWidth="1"/>
    <col min="3" max="3" width="12.7109375" style="3" customWidth="1"/>
    <col min="4" max="4" width="15.8515625" style="3" customWidth="1"/>
    <col min="5" max="5" width="27.140625" style="3" customWidth="1"/>
    <col min="6" max="6" width="32.8515625" style="3" customWidth="1"/>
    <col min="7" max="7" width="39.00390625" style="3" customWidth="1"/>
    <col min="8" max="8" width="10.7109375" style="12" customWidth="1"/>
    <col min="9" max="9" width="7.00390625" style="120" bestFit="1" customWidth="1"/>
    <col min="10" max="10" width="1.7109375" style="3" customWidth="1"/>
    <col min="11" max="16" width="10.7109375" style="3" customWidth="1"/>
    <col min="17" max="17" width="1.7109375" style="3" customWidth="1"/>
    <col min="18" max="23" width="10.7109375" style="3" customWidth="1"/>
    <col min="24" max="24" width="1.7109375" style="3" customWidth="1"/>
    <col min="25" max="30" width="10.7109375" style="3" customWidth="1"/>
    <col min="31" max="31" width="1.7109375" style="3" customWidth="1"/>
    <col min="32" max="37" width="10.7109375" style="3" customWidth="1"/>
    <col min="38" max="16384" width="11.421875" style="3" customWidth="1"/>
  </cols>
  <sheetData>
    <row r="1" spans="2:37" s="24" customFormat="1" ht="15">
      <c r="B1" s="341" t="s">
        <v>134</v>
      </c>
      <c r="C1" s="341"/>
      <c r="D1" s="341"/>
      <c r="E1" s="341"/>
      <c r="F1" s="341"/>
      <c r="G1" s="341"/>
      <c r="I1" s="114"/>
      <c r="J1" s="27"/>
      <c r="K1" s="23">
        <f>+K3-K2</f>
        <v>-0.00033020000000760774</v>
      </c>
      <c r="L1" s="23">
        <f aca="true" t="shared" si="0" ref="L1:AK1">+L3-L2</f>
        <v>0</v>
      </c>
      <c r="M1" s="23">
        <f t="shared" si="0"/>
        <v>0</v>
      </c>
      <c r="N1" s="23">
        <f t="shared" si="0"/>
        <v>0</v>
      </c>
      <c r="O1" s="23">
        <f t="shared" si="0"/>
        <v>0</v>
      </c>
      <c r="P1" s="23">
        <f t="shared" si="0"/>
        <v>-0.00033020000000760774</v>
      </c>
      <c r="Q1" s="23"/>
      <c r="R1" s="23">
        <f t="shared" si="0"/>
        <v>0</v>
      </c>
      <c r="S1" s="23">
        <f t="shared" si="0"/>
        <v>0</v>
      </c>
      <c r="T1" s="23">
        <f t="shared" si="0"/>
        <v>0</v>
      </c>
      <c r="U1" s="23">
        <f t="shared" si="0"/>
        <v>0</v>
      </c>
      <c r="V1" s="23">
        <f t="shared" si="0"/>
        <v>0</v>
      </c>
      <c r="W1" s="23">
        <f t="shared" si="0"/>
        <v>0</v>
      </c>
      <c r="X1" s="23"/>
      <c r="Y1" s="23">
        <f t="shared" si="0"/>
        <v>0</v>
      </c>
      <c r="Z1" s="23">
        <f t="shared" si="0"/>
        <v>0</v>
      </c>
      <c r="AA1" s="23">
        <f t="shared" si="0"/>
        <v>0</v>
      </c>
      <c r="AB1" s="23">
        <f t="shared" si="0"/>
        <v>0</v>
      </c>
      <c r="AC1" s="23">
        <f t="shared" si="0"/>
        <v>0</v>
      </c>
      <c r="AD1" s="23">
        <f t="shared" si="0"/>
        <v>0</v>
      </c>
      <c r="AE1" s="23"/>
      <c r="AF1" s="23">
        <f t="shared" si="0"/>
        <v>0</v>
      </c>
      <c r="AG1" s="23">
        <f t="shared" si="0"/>
        <v>0</v>
      </c>
      <c r="AH1" s="23">
        <f t="shared" si="0"/>
        <v>0</v>
      </c>
      <c r="AI1" s="23">
        <f t="shared" si="0"/>
        <v>0</v>
      </c>
      <c r="AJ1" s="23">
        <f t="shared" si="0"/>
        <v>0</v>
      </c>
      <c r="AK1" s="23">
        <f t="shared" si="0"/>
        <v>0</v>
      </c>
    </row>
    <row r="2" spans="2:37" s="24" customFormat="1" ht="15">
      <c r="B2" s="342" t="s">
        <v>137</v>
      </c>
      <c r="C2" s="342"/>
      <c r="D2" s="342"/>
      <c r="E2" s="342"/>
      <c r="F2" s="342"/>
      <c r="G2" s="342"/>
      <c r="I2" s="114"/>
      <c r="J2" s="27"/>
      <c r="K2" s="23">
        <f>+K11+K16+K21+K27+K32</f>
        <v>136.5970282</v>
      </c>
      <c r="L2" s="23">
        <f aca="true" t="shared" si="1" ref="L2:AK2">+L11+L16+L21+L27+L32</f>
        <v>0</v>
      </c>
      <c r="M2" s="23">
        <f t="shared" si="1"/>
        <v>0</v>
      </c>
      <c r="N2" s="23">
        <f t="shared" si="1"/>
        <v>25</v>
      </c>
      <c r="O2" s="23">
        <f t="shared" si="1"/>
        <v>0</v>
      </c>
      <c r="P2" s="23">
        <f t="shared" si="1"/>
        <v>161.5970282</v>
      </c>
      <c r="Q2" s="23"/>
      <c r="R2" s="23">
        <f t="shared" si="1"/>
        <v>144.79249988000004</v>
      </c>
      <c r="S2" s="23">
        <f t="shared" si="1"/>
        <v>115.28071824351679</v>
      </c>
      <c r="T2" s="23">
        <f t="shared" si="1"/>
        <v>0</v>
      </c>
      <c r="U2" s="23">
        <f t="shared" si="1"/>
        <v>25.75</v>
      </c>
      <c r="V2" s="23">
        <f t="shared" si="1"/>
        <v>0</v>
      </c>
      <c r="W2" s="23">
        <f t="shared" si="1"/>
        <v>285.8232181235168</v>
      </c>
      <c r="X2" s="23"/>
      <c r="Y2" s="23">
        <f t="shared" si="1"/>
        <v>153.48004987280004</v>
      </c>
      <c r="Z2" s="23">
        <f t="shared" si="1"/>
        <v>0</v>
      </c>
      <c r="AA2" s="23">
        <f t="shared" si="1"/>
        <v>0</v>
      </c>
      <c r="AB2" s="23">
        <f t="shared" si="1"/>
        <v>26.5225</v>
      </c>
      <c r="AC2" s="23">
        <f t="shared" si="1"/>
        <v>0</v>
      </c>
      <c r="AD2" s="23">
        <f t="shared" si="1"/>
        <v>180.00254987280005</v>
      </c>
      <c r="AE2" s="23"/>
      <c r="AF2" s="23">
        <f t="shared" si="1"/>
        <v>162.68885286516803</v>
      </c>
      <c r="AG2" s="23">
        <f t="shared" si="1"/>
        <v>0</v>
      </c>
      <c r="AH2" s="23">
        <f t="shared" si="1"/>
        <v>0</v>
      </c>
      <c r="AI2" s="23">
        <f t="shared" si="1"/>
        <v>27.318175</v>
      </c>
      <c r="AJ2" s="23">
        <f t="shared" si="1"/>
        <v>0</v>
      </c>
      <c r="AK2" s="23">
        <f t="shared" si="1"/>
        <v>190.00702786516803</v>
      </c>
    </row>
    <row r="3" spans="2:37" s="24" customFormat="1" ht="15">
      <c r="B3" s="343" t="s">
        <v>136</v>
      </c>
      <c r="C3" s="343"/>
      <c r="D3" s="343"/>
      <c r="E3" s="343"/>
      <c r="F3" s="343"/>
      <c r="G3" s="343"/>
      <c r="I3" s="114"/>
      <c r="J3" s="27"/>
      <c r="K3" s="23">
        <f>+PROYECCIONES!D108</f>
        <v>136.596698</v>
      </c>
      <c r="L3" s="23">
        <v>0</v>
      </c>
      <c r="M3" s="23">
        <v>0</v>
      </c>
      <c r="N3" s="23">
        <f>+PROYECCIONES!D35</f>
        <v>25</v>
      </c>
      <c r="O3" s="23">
        <v>0</v>
      </c>
      <c r="P3" s="23">
        <f>SUM(K3:O3)</f>
        <v>161.596698</v>
      </c>
      <c r="Q3" s="23"/>
      <c r="R3" s="23">
        <f>+PROYECCIONES!E108</f>
        <v>144.79249988000004</v>
      </c>
      <c r="S3" s="23">
        <f>+PROYECCIONES!E13+PROYECCIONES!E14</f>
        <v>115.28071824351679</v>
      </c>
      <c r="T3" s="23">
        <v>0</v>
      </c>
      <c r="U3" s="23">
        <f>+PROYECCIONES!E35</f>
        <v>25.75</v>
      </c>
      <c r="V3" s="23">
        <v>0</v>
      </c>
      <c r="W3" s="23">
        <f>SUM(R3:V3)</f>
        <v>285.8232181235168</v>
      </c>
      <c r="X3" s="23"/>
      <c r="Y3" s="23">
        <f>+PROYECCIONES!F108</f>
        <v>153.48004987280004</v>
      </c>
      <c r="Z3" s="23">
        <v>0</v>
      </c>
      <c r="AA3" s="23">
        <v>0</v>
      </c>
      <c r="AB3" s="23">
        <f>+PROYECCIONES!F35</f>
        <v>26.5225</v>
      </c>
      <c r="AC3" s="23">
        <v>0</v>
      </c>
      <c r="AD3" s="23">
        <f>SUM(Y3:AC3)</f>
        <v>180.00254987280005</v>
      </c>
      <c r="AE3" s="23"/>
      <c r="AF3" s="23">
        <f>+PROYECCIONES!G108</f>
        <v>162.68885286516803</v>
      </c>
      <c r="AG3" s="23">
        <v>0</v>
      </c>
      <c r="AH3" s="23">
        <v>0</v>
      </c>
      <c r="AI3" s="23">
        <f>+PROYECCIONES!G35</f>
        <v>27.318175</v>
      </c>
      <c r="AJ3" s="23">
        <v>0</v>
      </c>
      <c r="AK3" s="23">
        <f>SUM(AF3:AJ3)</f>
        <v>190.00702786516803</v>
      </c>
    </row>
    <row r="4" spans="1:37" s="11" customFormat="1" ht="12.75">
      <c r="A4" s="391" t="s">
        <v>35</v>
      </c>
      <c r="B4" s="391" t="s">
        <v>47</v>
      </c>
      <c r="C4" s="391" t="s">
        <v>0</v>
      </c>
      <c r="D4" s="391" t="s">
        <v>2</v>
      </c>
      <c r="E4" s="391" t="s">
        <v>39</v>
      </c>
      <c r="F4" s="391" t="s">
        <v>37</v>
      </c>
      <c r="G4" s="391" t="s">
        <v>10</v>
      </c>
      <c r="H4" s="391" t="s">
        <v>45</v>
      </c>
      <c r="I4" s="433" t="s">
        <v>266</v>
      </c>
      <c r="J4" s="88"/>
      <c r="K4" s="390">
        <v>2012</v>
      </c>
      <c r="L4" s="390"/>
      <c r="M4" s="390"/>
      <c r="N4" s="390"/>
      <c r="O4" s="390"/>
      <c r="P4" s="390"/>
      <c r="Q4" s="88"/>
      <c r="R4" s="390">
        <v>2013</v>
      </c>
      <c r="S4" s="390"/>
      <c r="T4" s="390"/>
      <c r="U4" s="390"/>
      <c r="V4" s="390"/>
      <c r="W4" s="390"/>
      <c r="X4" s="88"/>
      <c r="Y4" s="390">
        <v>2014</v>
      </c>
      <c r="Z4" s="390"/>
      <c r="AA4" s="390"/>
      <c r="AB4" s="390"/>
      <c r="AC4" s="390"/>
      <c r="AD4" s="390"/>
      <c r="AE4" s="88"/>
      <c r="AF4" s="390">
        <v>2015</v>
      </c>
      <c r="AG4" s="390"/>
      <c r="AH4" s="390"/>
      <c r="AI4" s="390"/>
      <c r="AJ4" s="390"/>
      <c r="AK4" s="390"/>
    </row>
    <row r="5" spans="1:37" s="11" customFormat="1" ht="12.75">
      <c r="A5" s="392"/>
      <c r="B5" s="392"/>
      <c r="C5" s="392"/>
      <c r="D5" s="392"/>
      <c r="E5" s="392"/>
      <c r="F5" s="392"/>
      <c r="G5" s="392"/>
      <c r="H5" s="392"/>
      <c r="I5" s="434"/>
      <c r="J5" s="88"/>
      <c r="K5" s="4" t="s">
        <v>40</v>
      </c>
      <c r="L5" s="5" t="s">
        <v>41</v>
      </c>
      <c r="M5" s="4" t="s">
        <v>42</v>
      </c>
      <c r="N5" s="4" t="s">
        <v>141</v>
      </c>
      <c r="O5" s="4" t="s">
        <v>1</v>
      </c>
      <c r="P5" s="4" t="s">
        <v>44</v>
      </c>
      <c r="Q5" s="88"/>
      <c r="R5" s="25" t="s">
        <v>40</v>
      </c>
      <c r="S5" s="5" t="s">
        <v>41</v>
      </c>
      <c r="T5" s="25" t="s">
        <v>42</v>
      </c>
      <c r="U5" s="25" t="s">
        <v>141</v>
      </c>
      <c r="V5" s="25" t="s">
        <v>1</v>
      </c>
      <c r="W5" s="4" t="s">
        <v>44</v>
      </c>
      <c r="X5" s="88"/>
      <c r="Y5" s="25" t="s">
        <v>40</v>
      </c>
      <c r="Z5" s="5" t="s">
        <v>41</v>
      </c>
      <c r="AA5" s="25" t="s">
        <v>42</v>
      </c>
      <c r="AB5" s="25" t="s">
        <v>141</v>
      </c>
      <c r="AC5" s="25" t="s">
        <v>1</v>
      </c>
      <c r="AD5" s="4" t="s">
        <v>44</v>
      </c>
      <c r="AE5" s="88"/>
      <c r="AF5" s="25" t="s">
        <v>40</v>
      </c>
      <c r="AG5" s="5" t="s">
        <v>41</v>
      </c>
      <c r="AH5" s="25" t="s">
        <v>42</v>
      </c>
      <c r="AI5" s="25" t="s">
        <v>141</v>
      </c>
      <c r="AJ5" s="25" t="s">
        <v>1</v>
      </c>
      <c r="AK5" s="4" t="s">
        <v>44</v>
      </c>
    </row>
    <row r="6" spans="1:37" ht="25.5" customHeight="1">
      <c r="A6" s="435" t="s">
        <v>216</v>
      </c>
      <c r="B6" s="435" t="s">
        <v>217</v>
      </c>
      <c r="C6" s="435" t="s">
        <v>99</v>
      </c>
      <c r="D6" s="437" t="s">
        <v>218</v>
      </c>
      <c r="E6" s="6" t="s">
        <v>231</v>
      </c>
      <c r="F6" s="86" t="s">
        <v>234</v>
      </c>
      <c r="G6" s="34" t="s">
        <v>222</v>
      </c>
      <c r="H6" s="7">
        <f>+P6+W6+AD6+AK6</f>
        <v>7.5</v>
      </c>
      <c r="I6" s="115"/>
      <c r="J6" s="90"/>
      <c r="K6" s="7">
        <v>7.5</v>
      </c>
      <c r="L6" s="7"/>
      <c r="M6" s="7"/>
      <c r="N6" s="7"/>
      <c r="O6" s="7"/>
      <c r="P6" s="7">
        <f>SUM(K6:O6)</f>
        <v>7.5</v>
      </c>
      <c r="Q6" s="90"/>
      <c r="R6" s="7"/>
      <c r="S6" s="7"/>
      <c r="T6" s="7"/>
      <c r="U6" s="7"/>
      <c r="V6" s="7"/>
      <c r="W6" s="7">
        <f>SUM(R6:V6)</f>
        <v>0</v>
      </c>
      <c r="X6" s="90"/>
      <c r="Y6" s="7"/>
      <c r="Z6" s="7"/>
      <c r="AA6" s="7"/>
      <c r="AB6" s="7"/>
      <c r="AC6" s="7"/>
      <c r="AD6" s="7">
        <f>SUM(Y6:AC6)</f>
        <v>0</v>
      </c>
      <c r="AE6" s="90"/>
      <c r="AF6" s="7"/>
      <c r="AG6" s="7"/>
      <c r="AH6" s="7"/>
      <c r="AI6" s="7"/>
      <c r="AJ6" s="7"/>
      <c r="AK6" s="7">
        <f>SUM(AF6:AJ6)</f>
        <v>0</v>
      </c>
    </row>
    <row r="7" spans="1:37" ht="21.75" customHeight="1">
      <c r="A7" s="436"/>
      <c r="B7" s="436"/>
      <c r="C7" s="436"/>
      <c r="D7" s="438"/>
      <c r="E7" s="427" t="s">
        <v>227</v>
      </c>
      <c r="F7" s="446" t="s">
        <v>228</v>
      </c>
      <c r="G7" s="34" t="s">
        <v>223</v>
      </c>
      <c r="H7" s="7">
        <f>+P7+W7+AD7+AK7</f>
        <v>59.75581006179681</v>
      </c>
      <c r="I7" s="116"/>
      <c r="J7" s="90"/>
      <c r="K7" s="7">
        <f>+K3*0.1</f>
        <v>13.659669800000001</v>
      </c>
      <c r="L7" s="7"/>
      <c r="M7" s="7"/>
      <c r="N7" s="7"/>
      <c r="O7" s="7"/>
      <c r="P7" s="7">
        <f>SUM(K7:O7)</f>
        <v>13.659669800000001</v>
      </c>
      <c r="Q7" s="90"/>
      <c r="R7" s="7">
        <f>+R3*0.1</f>
        <v>14.479249988000005</v>
      </c>
      <c r="S7" s="7"/>
      <c r="T7" s="7"/>
      <c r="U7" s="7"/>
      <c r="V7" s="7"/>
      <c r="W7" s="7">
        <f>SUM(R7:V7)</f>
        <v>14.479249988000005</v>
      </c>
      <c r="X7" s="90"/>
      <c r="Y7" s="7">
        <f>+Y3*0.1</f>
        <v>15.348004987280005</v>
      </c>
      <c r="Z7" s="7"/>
      <c r="AA7" s="7"/>
      <c r="AB7" s="7"/>
      <c r="AC7" s="7"/>
      <c r="AD7" s="7">
        <f>SUM(Y7:AC7)</f>
        <v>15.348004987280005</v>
      </c>
      <c r="AE7" s="90"/>
      <c r="AF7" s="7">
        <f>+AF3*0.1</f>
        <v>16.268885286516802</v>
      </c>
      <c r="AG7" s="7"/>
      <c r="AH7" s="7"/>
      <c r="AI7" s="7"/>
      <c r="AJ7" s="7"/>
      <c r="AK7" s="7">
        <f>SUM(AF7:AJ7)</f>
        <v>16.268885286516802</v>
      </c>
    </row>
    <row r="8" spans="1:37" ht="21.75" customHeight="1">
      <c r="A8" s="436"/>
      <c r="B8" s="436"/>
      <c r="C8" s="436"/>
      <c r="D8" s="438"/>
      <c r="E8" s="448"/>
      <c r="F8" s="353"/>
      <c r="G8" s="34" t="s">
        <v>224</v>
      </c>
      <c r="H8" s="7">
        <f>+P8+W8+AD8+AK8</f>
        <v>29.877905030898404</v>
      </c>
      <c r="I8" s="116"/>
      <c r="J8" s="90"/>
      <c r="K8" s="7">
        <f>+K3*0.05</f>
        <v>6.829834900000001</v>
      </c>
      <c r="L8" s="7"/>
      <c r="M8" s="7"/>
      <c r="N8" s="7"/>
      <c r="O8" s="7"/>
      <c r="P8" s="7">
        <f>SUM(K8:O8)</f>
        <v>6.829834900000001</v>
      </c>
      <c r="Q8" s="90"/>
      <c r="R8" s="7">
        <f>+R3*0.05</f>
        <v>7.239624994000002</v>
      </c>
      <c r="S8" s="7"/>
      <c r="T8" s="7"/>
      <c r="U8" s="7"/>
      <c r="V8" s="7"/>
      <c r="W8" s="7">
        <f>SUM(R8:V8)</f>
        <v>7.239624994000002</v>
      </c>
      <c r="X8" s="90"/>
      <c r="Y8" s="7">
        <f>+Y3*0.05</f>
        <v>7.674002493640002</v>
      </c>
      <c r="Z8" s="7"/>
      <c r="AA8" s="7"/>
      <c r="AB8" s="7"/>
      <c r="AC8" s="7"/>
      <c r="AD8" s="7">
        <f>SUM(Y8:AC8)</f>
        <v>7.674002493640002</v>
      </c>
      <c r="AE8" s="90"/>
      <c r="AF8" s="7">
        <f>+AF3*0.05</f>
        <v>8.134442643258401</v>
      </c>
      <c r="AG8" s="7"/>
      <c r="AH8" s="7"/>
      <c r="AI8" s="7"/>
      <c r="AJ8" s="7"/>
      <c r="AK8" s="7">
        <f>SUM(AF8:AJ8)</f>
        <v>8.134442643258401</v>
      </c>
    </row>
    <row r="9" spans="1:37" ht="21.75" customHeight="1">
      <c r="A9" s="436"/>
      <c r="B9" s="436"/>
      <c r="C9" s="436"/>
      <c r="D9" s="438"/>
      <c r="E9" s="448"/>
      <c r="F9" s="353"/>
      <c r="G9" s="34" t="s">
        <v>225</v>
      </c>
      <c r="H9" s="7">
        <f>+P9+W9+AD9+AK9</f>
        <v>14.938952515449202</v>
      </c>
      <c r="I9" s="116"/>
      <c r="J9" s="90"/>
      <c r="K9" s="7">
        <f>+K3*0.025</f>
        <v>3.4149174500000004</v>
      </c>
      <c r="L9" s="7"/>
      <c r="M9" s="7"/>
      <c r="N9" s="7"/>
      <c r="O9" s="7"/>
      <c r="P9" s="7">
        <f>SUM(K9:O9)</f>
        <v>3.4149174500000004</v>
      </c>
      <c r="Q9" s="90"/>
      <c r="R9" s="7">
        <f>+R3*0.025</f>
        <v>3.619812497000001</v>
      </c>
      <c r="S9" s="7"/>
      <c r="T9" s="7"/>
      <c r="U9" s="7"/>
      <c r="V9" s="7"/>
      <c r="W9" s="7">
        <f>SUM(R9:V9)</f>
        <v>3.619812497000001</v>
      </c>
      <c r="X9" s="90"/>
      <c r="Y9" s="7">
        <f>+Y3*0.025</f>
        <v>3.837001246820001</v>
      </c>
      <c r="Z9" s="7"/>
      <c r="AA9" s="7"/>
      <c r="AB9" s="7"/>
      <c r="AC9" s="7"/>
      <c r="AD9" s="7">
        <f>SUM(Y9:AC9)</f>
        <v>3.837001246820001</v>
      </c>
      <c r="AE9" s="90"/>
      <c r="AF9" s="7">
        <f>+AF3*0.025</f>
        <v>4.067221321629201</v>
      </c>
      <c r="AG9" s="7"/>
      <c r="AH9" s="7"/>
      <c r="AI9" s="7"/>
      <c r="AJ9" s="7"/>
      <c r="AK9" s="7">
        <f>SUM(AF9:AJ9)</f>
        <v>4.067221321629201</v>
      </c>
    </row>
    <row r="10" spans="1:37" ht="21.75" customHeight="1">
      <c r="A10" s="436"/>
      <c r="B10" s="436"/>
      <c r="C10" s="436"/>
      <c r="D10" s="439"/>
      <c r="E10" s="449"/>
      <c r="F10" s="348"/>
      <c r="G10" s="34" t="s">
        <v>226</v>
      </c>
      <c r="H10" s="7">
        <f>+P10+W10+AD10+AK10</f>
        <v>14.938952515449202</v>
      </c>
      <c r="I10" s="117"/>
      <c r="J10" s="90"/>
      <c r="K10" s="7">
        <f>+K3*0.025</f>
        <v>3.4149174500000004</v>
      </c>
      <c r="L10" s="7"/>
      <c r="M10" s="7"/>
      <c r="N10" s="7"/>
      <c r="O10" s="7"/>
      <c r="P10" s="7">
        <f>SUM(K10:O10)</f>
        <v>3.4149174500000004</v>
      </c>
      <c r="Q10" s="90"/>
      <c r="R10" s="7">
        <f>+R3*0.025</f>
        <v>3.619812497000001</v>
      </c>
      <c r="S10" s="7"/>
      <c r="T10" s="7"/>
      <c r="U10" s="7"/>
      <c r="V10" s="7"/>
      <c r="W10" s="7">
        <f>SUM(R10:V10)</f>
        <v>3.619812497000001</v>
      </c>
      <c r="X10" s="90"/>
      <c r="Y10" s="7">
        <f>+Y3*0.025</f>
        <v>3.837001246820001</v>
      </c>
      <c r="Z10" s="7"/>
      <c r="AA10" s="7"/>
      <c r="AB10" s="7"/>
      <c r="AC10" s="7"/>
      <c r="AD10" s="7">
        <f>SUM(Y10:AC10)</f>
        <v>3.837001246820001</v>
      </c>
      <c r="AE10" s="90"/>
      <c r="AF10" s="7">
        <f>+AF3*0.025</f>
        <v>4.067221321629201</v>
      </c>
      <c r="AG10" s="7"/>
      <c r="AH10" s="7"/>
      <c r="AI10" s="7"/>
      <c r="AJ10" s="7"/>
      <c r="AK10" s="7">
        <f>SUM(AF10:AJ10)</f>
        <v>4.067221321629201</v>
      </c>
    </row>
    <row r="11" spans="1:37" s="95" customFormat="1" ht="12.75" customHeight="1">
      <c r="A11" s="436"/>
      <c r="B11" s="436"/>
      <c r="C11" s="436"/>
      <c r="D11" s="105"/>
      <c r="E11" s="106"/>
      <c r="F11" s="107"/>
      <c r="G11" s="92" t="s">
        <v>235</v>
      </c>
      <c r="H11" s="93">
        <f>SUM(H6:H10)</f>
        <v>127.01162012359362</v>
      </c>
      <c r="I11" s="113">
        <f>+H11/H34</f>
        <v>0.15537923425955175</v>
      </c>
      <c r="J11" s="94"/>
      <c r="K11" s="93">
        <f aca="true" t="shared" si="2" ref="K11:P11">SUM(K6:K10)</f>
        <v>34.819339600000006</v>
      </c>
      <c r="L11" s="93">
        <f t="shared" si="2"/>
        <v>0</v>
      </c>
      <c r="M11" s="93">
        <f t="shared" si="2"/>
        <v>0</v>
      </c>
      <c r="N11" s="93">
        <f t="shared" si="2"/>
        <v>0</v>
      </c>
      <c r="O11" s="93">
        <f t="shared" si="2"/>
        <v>0</v>
      </c>
      <c r="P11" s="93">
        <f t="shared" si="2"/>
        <v>34.819339600000006</v>
      </c>
      <c r="Q11" s="94"/>
      <c r="R11" s="93">
        <f aca="true" t="shared" si="3" ref="R11:W11">SUM(R6:R10)</f>
        <v>28.95849997600001</v>
      </c>
      <c r="S11" s="93">
        <f t="shared" si="3"/>
        <v>0</v>
      </c>
      <c r="T11" s="93">
        <f t="shared" si="3"/>
        <v>0</v>
      </c>
      <c r="U11" s="93">
        <f t="shared" si="3"/>
        <v>0</v>
      </c>
      <c r="V11" s="93">
        <f t="shared" si="3"/>
        <v>0</v>
      </c>
      <c r="W11" s="93">
        <f t="shared" si="3"/>
        <v>28.95849997600001</v>
      </c>
      <c r="X11" s="94"/>
      <c r="Y11" s="93">
        <f aca="true" t="shared" si="4" ref="Y11:AK11">SUM(Y6:Y10)</f>
        <v>30.69600997456001</v>
      </c>
      <c r="Z11" s="93">
        <f t="shared" si="4"/>
        <v>0</v>
      </c>
      <c r="AA11" s="93">
        <f t="shared" si="4"/>
        <v>0</v>
      </c>
      <c r="AB11" s="93">
        <f t="shared" si="4"/>
        <v>0</v>
      </c>
      <c r="AC11" s="93">
        <f t="shared" si="4"/>
        <v>0</v>
      </c>
      <c r="AD11" s="93">
        <f t="shared" si="4"/>
        <v>30.69600997456001</v>
      </c>
      <c r="AE11" s="94"/>
      <c r="AF11" s="93">
        <f t="shared" si="4"/>
        <v>32.537770573033605</v>
      </c>
      <c r="AG11" s="93">
        <f t="shared" si="4"/>
        <v>0</v>
      </c>
      <c r="AH11" s="93">
        <f t="shared" si="4"/>
        <v>0</v>
      </c>
      <c r="AI11" s="93">
        <f t="shared" si="4"/>
        <v>0</v>
      </c>
      <c r="AJ11" s="93">
        <f t="shared" si="4"/>
        <v>0</v>
      </c>
      <c r="AK11" s="93">
        <f t="shared" si="4"/>
        <v>32.537770573033605</v>
      </c>
    </row>
    <row r="12" spans="1:37" s="95" customFormat="1" ht="6.75" customHeight="1">
      <c r="A12" s="436"/>
      <c r="B12" s="436"/>
      <c r="C12" s="436"/>
      <c r="D12" s="101"/>
      <c r="E12" s="102"/>
      <c r="F12" s="102"/>
      <c r="G12" s="109"/>
      <c r="H12" s="104"/>
      <c r="I12" s="118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</row>
    <row r="13" spans="1:37" ht="42.75" customHeight="1">
      <c r="A13" s="436"/>
      <c r="B13" s="436"/>
      <c r="C13" s="436"/>
      <c r="D13" s="440" t="s">
        <v>108</v>
      </c>
      <c r="E13" s="20" t="s">
        <v>236</v>
      </c>
      <c r="F13" s="20" t="s">
        <v>237</v>
      </c>
      <c r="G13" s="26" t="s">
        <v>31</v>
      </c>
      <c r="H13" s="108">
        <f>+P13+W13+AD13+AK13</f>
        <v>14.938952515449202</v>
      </c>
      <c r="I13" s="115"/>
      <c r="J13" s="90"/>
      <c r="K13" s="7">
        <f>+K3*0.025</f>
        <v>3.4149174500000004</v>
      </c>
      <c r="L13" s="7"/>
      <c r="M13" s="7"/>
      <c r="N13" s="7"/>
      <c r="O13" s="7"/>
      <c r="P13" s="7">
        <f aca="true" t="shared" si="5" ref="P13:P26">SUM(K13:O13)</f>
        <v>3.4149174500000004</v>
      </c>
      <c r="Q13" s="90"/>
      <c r="R13" s="7">
        <f>+R3*0.025</f>
        <v>3.619812497000001</v>
      </c>
      <c r="S13" s="7"/>
      <c r="T13" s="7"/>
      <c r="U13" s="7"/>
      <c r="V13" s="7"/>
      <c r="W13" s="7">
        <f aca="true" t="shared" si="6" ref="W13:W26">SUM(R13:V13)</f>
        <v>3.619812497000001</v>
      </c>
      <c r="X13" s="90"/>
      <c r="Y13" s="7">
        <f>+Y3*0.025</f>
        <v>3.837001246820001</v>
      </c>
      <c r="Z13" s="7"/>
      <c r="AA13" s="7"/>
      <c r="AB13" s="7"/>
      <c r="AC13" s="7"/>
      <c r="AD13" s="7">
        <f aca="true" t="shared" si="7" ref="AD13:AD26">SUM(Y13:AC13)</f>
        <v>3.837001246820001</v>
      </c>
      <c r="AE13" s="90"/>
      <c r="AF13" s="7">
        <f>+AF3*0.025</f>
        <v>4.067221321629201</v>
      </c>
      <c r="AG13" s="7"/>
      <c r="AH13" s="7"/>
      <c r="AI13" s="7"/>
      <c r="AJ13" s="7"/>
      <c r="AK13" s="7">
        <f aca="true" t="shared" si="8" ref="AK13:AK26">SUM(AF13:AJ13)</f>
        <v>4.067221321629201</v>
      </c>
    </row>
    <row r="14" spans="1:37" ht="51">
      <c r="A14" s="436"/>
      <c r="B14" s="436"/>
      <c r="C14" s="436"/>
      <c r="D14" s="441"/>
      <c r="E14" s="20" t="s">
        <v>238</v>
      </c>
      <c r="F14" s="20" t="s">
        <v>239</v>
      </c>
      <c r="G14" s="26" t="s">
        <v>107</v>
      </c>
      <c r="H14" s="108">
        <f>+P14+W14+AD14+AK14</f>
        <v>29.877905030898404</v>
      </c>
      <c r="I14" s="116"/>
      <c r="J14" s="90"/>
      <c r="K14" s="7">
        <f>+K3*0.05</f>
        <v>6.829834900000001</v>
      </c>
      <c r="L14" s="7"/>
      <c r="M14" s="7"/>
      <c r="N14" s="7"/>
      <c r="O14" s="7"/>
      <c r="P14" s="7">
        <f t="shared" si="5"/>
        <v>6.829834900000001</v>
      </c>
      <c r="Q14" s="90"/>
      <c r="R14" s="7">
        <f>+R3*0.05</f>
        <v>7.239624994000002</v>
      </c>
      <c r="S14" s="7"/>
      <c r="T14" s="7"/>
      <c r="U14" s="7"/>
      <c r="V14" s="7"/>
      <c r="W14" s="7">
        <f t="shared" si="6"/>
        <v>7.239624994000002</v>
      </c>
      <c r="X14" s="90"/>
      <c r="Y14" s="7">
        <f>+Y3*0.05</f>
        <v>7.674002493640002</v>
      </c>
      <c r="Z14" s="7"/>
      <c r="AA14" s="7"/>
      <c r="AB14" s="7"/>
      <c r="AC14" s="7"/>
      <c r="AD14" s="7">
        <f t="shared" si="7"/>
        <v>7.674002493640002</v>
      </c>
      <c r="AE14" s="90"/>
      <c r="AF14" s="7">
        <f>+AF3*0.05</f>
        <v>8.134442643258401</v>
      </c>
      <c r="AG14" s="7"/>
      <c r="AH14" s="7"/>
      <c r="AI14" s="7"/>
      <c r="AJ14" s="7"/>
      <c r="AK14" s="7">
        <f t="shared" si="8"/>
        <v>8.134442643258401</v>
      </c>
    </row>
    <row r="15" spans="1:37" ht="38.25">
      <c r="A15" s="436"/>
      <c r="B15" s="436"/>
      <c r="C15" s="436"/>
      <c r="D15" s="442"/>
      <c r="E15" s="20" t="s">
        <v>240</v>
      </c>
      <c r="F15" s="20" t="s">
        <v>241</v>
      </c>
      <c r="G15" s="26" t="s">
        <v>242</v>
      </c>
      <c r="H15" s="108">
        <f>+P15+W15+AD15+AK15</f>
        <v>14.938952515449202</v>
      </c>
      <c r="I15" s="117"/>
      <c r="J15" s="90"/>
      <c r="K15" s="7">
        <f>+K3*0.025</f>
        <v>3.4149174500000004</v>
      </c>
      <c r="L15" s="7"/>
      <c r="M15" s="7"/>
      <c r="N15" s="7"/>
      <c r="O15" s="7"/>
      <c r="P15" s="7">
        <f t="shared" si="5"/>
        <v>3.4149174500000004</v>
      </c>
      <c r="Q15" s="90"/>
      <c r="R15" s="7">
        <f>+R3*0.025</f>
        <v>3.619812497000001</v>
      </c>
      <c r="S15" s="7"/>
      <c r="T15" s="7"/>
      <c r="U15" s="7"/>
      <c r="V15" s="7"/>
      <c r="W15" s="7">
        <f t="shared" si="6"/>
        <v>3.619812497000001</v>
      </c>
      <c r="X15" s="90"/>
      <c r="Y15" s="7">
        <f>+Y3*0.025</f>
        <v>3.837001246820001</v>
      </c>
      <c r="Z15" s="7"/>
      <c r="AA15" s="7"/>
      <c r="AB15" s="7"/>
      <c r="AC15" s="7"/>
      <c r="AD15" s="7">
        <f t="shared" si="7"/>
        <v>3.837001246820001</v>
      </c>
      <c r="AE15" s="90"/>
      <c r="AF15" s="7">
        <f>+AF3*0.025</f>
        <v>4.067221321629201</v>
      </c>
      <c r="AG15" s="7"/>
      <c r="AH15" s="7"/>
      <c r="AI15" s="7"/>
      <c r="AJ15" s="7"/>
      <c r="AK15" s="7">
        <f t="shared" si="8"/>
        <v>4.067221321629201</v>
      </c>
    </row>
    <row r="16" spans="1:37" s="95" customFormat="1" ht="12.75" customHeight="1">
      <c r="A16" s="436"/>
      <c r="B16" s="436"/>
      <c r="C16" s="436"/>
      <c r="D16" s="105"/>
      <c r="E16" s="110"/>
      <c r="F16" s="111"/>
      <c r="G16" s="112" t="s">
        <v>235</v>
      </c>
      <c r="H16" s="93">
        <f>SUM(H13:H15)</f>
        <v>59.75581006179681</v>
      </c>
      <c r="I16" s="113">
        <f>+H16/H34</f>
        <v>0.073102067361445</v>
      </c>
      <c r="J16" s="94"/>
      <c r="K16" s="93">
        <f aca="true" t="shared" si="9" ref="K16:P16">SUM(K13:K15)</f>
        <v>13.659669800000001</v>
      </c>
      <c r="L16" s="93">
        <f t="shared" si="9"/>
        <v>0</v>
      </c>
      <c r="M16" s="93">
        <f t="shared" si="9"/>
        <v>0</v>
      </c>
      <c r="N16" s="93">
        <f t="shared" si="9"/>
        <v>0</v>
      </c>
      <c r="O16" s="93">
        <f t="shared" si="9"/>
        <v>0</v>
      </c>
      <c r="P16" s="93">
        <f t="shared" si="9"/>
        <v>13.659669800000001</v>
      </c>
      <c r="Q16" s="94"/>
      <c r="R16" s="93">
        <f aca="true" t="shared" si="10" ref="R16:W16">SUM(R13:R15)</f>
        <v>14.479249988000005</v>
      </c>
      <c r="S16" s="93">
        <f t="shared" si="10"/>
        <v>0</v>
      </c>
      <c r="T16" s="93">
        <f t="shared" si="10"/>
        <v>0</v>
      </c>
      <c r="U16" s="93">
        <f t="shared" si="10"/>
        <v>0</v>
      </c>
      <c r="V16" s="93">
        <f t="shared" si="10"/>
        <v>0</v>
      </c>
      <c r="W16" s="93">
        <f t="shared" si="10"/>
        <v>14.479249988000005</v>
      </c>
      <c r="X16" s="94"/>
      <c r="Y16" s="93">
        <f aca="true" t="shared" si="11" ref="Y16:AK16">SUM(Y13:Y15)</f>
        <v>15.348004987280005</v>
      </c>
      <c r="Z16" s="93">
        <f t="shared" si="11"/>
        <v>0</v>
      </c>
      <c r="AA16" s="93">
        <f t="shared" si="11"/>
        <v>0</v>
      </c>
      <c r="AB16" s="93">
        <f t="shared" si="11"/>
        <v>0</v>
      </c>
      <c r="AC16" s="93">
        <f t="shared" si="11"/>
        <v>0</v>
      </c>
      <c r="AD16" s="93">
        <f t="shared" si="11"/>
        <v>15.348004987280005</v>
      </c>
      <c r="AE16" s="94"/>
      <c r="AF16" s="93">
        <f t="shared" si="11"/>
        <v>16.268885286516802</v>
      </c>
      <c r="AG16" s="93">
        <f t="shared" si="11"/>
        <v>0</v>
      </c>
      <c r="AH16" s="93">
        <f t="shared" si="11"/>
        <v>0</v>
      </c>
      <c r="AI16" s="93">
        <f t="shared" si="11"/>
        <v>0</v>
      </c>
      <c r="AJ16" s="93">
        <f t="shared" si="11"/>
        <v>0</v>
      </c>
      <c r="AK16" s="93">
        <f t="shared" si="11"/>
        <v>16.268885286516802</v>
      </c>
    </row>
    <row r="17" spans="1:37" s="95" customFormat="1" ht="6.75" customHeight="1">
      <c r="A17" s="436"/>
      <c r="B17" s="436"/>
      <c r="C17" s="436"/>
      <c r="D17" s="101"/>
      <c r="E17" s="102"/>
      <c r="F17" s="102"/>
      <c r="G17" s="109"/>
      <c r="H17" s="104"/>
      <c r="I17" s="118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</row>
    <row r="18" spans="1:37" s="89" customFormat="1" ht="42.75" customHeight="1">
      <c r="A18" s="436"/>
      <c r="B18" s="436"/>
      <c r="C18" s="436"/>
      <c r="D18" s="440" t="s">
        <v>109</v>
      </c>
      <c r="E18" s="20" t="s">
        <v>243</v>
      </c>
      <c r="F18" s="20" t="s">
        <v>244</v>
      </c>
      <c r="G18" s="20" t="s">
        <v>250</v>
      </c>
      <c r="H18" s="31">
        <f>+P18+W18+AD18+AK18</f>
        <v>67.10115058107525</v>
      </c>
      <c r="I18" s="121"/>
      <c r="J18" s="91"/>
      <c r="K18" s="30"/>
      <c r="L18" s="30"/>
      <c r="M18" s="30"/>
      <c r="N18" s="30"/>
      <c r="O18" s="30"/>
      <c r="P18" s="30">
        <f>SUM(K18:O18)</f>
        <v>0</v>
      </c>
      <c r="Q18" s="91"/>
      <c r="R18" s="30"/>
      <c r="S18" s="30">
        <f>+PROYECCIONES!E53</f>
        <v>67.10115058107525</v>
      </c>
      <c r="T18" s="30"/>
      <c r="U18" s="30"/>
      <c r="V18" s="30"/>
      <c r="W18" s="30">
        <f>SUM(R18:V18)</f>
        <v>67.10115058107525</v>
      </c>
      <c r="X18" s="91"/>
      <c r="Y18" s="30"/>
      <c r="Z18" s="30"/>
      <c r="AA18" s="30"/>
      <c r="AB18" s="30"/>
      <c r="AC18" s="30"/>
      <c r="AD18" s="30">
        <f>SUM(Y18:AC18)</f>
        <v>0</v>
      </c>
      <c r="AE18" s="91"/>
      <c r="AF18" s="30"/>
      <c r="AG18" s="30"/>
      <c r="AH18" s="30"/>
      <c r="AI18" s="30"/>
      <c r="AJ18" s="30"/>
      <c r="AK18" s="30">
        <f>SUM(AF18:AJ18)</f>
        <v>0</v>
      </c>
    </row>
    <row r="19" spans="1:37" s="89" customFormat="1" ht="42.75" customHeight="1">
      <c r="A19" s="436"/>
      <c r="B19" s="436"/>
      <c r="C19" s="436"/>
      <c r="D19" s="441"/>
      <c r="E19" s="20" t="s">
        <v>245</v>
      </c>
      <c r="F19" s="20" t="s">
        <v>246</v>
      </c>
      <c r="G19" s="20" t="s">
        <v>251</v>
      </c>
      <c r="H19" s="31">
        <f>+P19+W19+AD19+AK19</f>
        <v>48.179567662441535</v>
      </c>
      <c r="I19" s="122"/>
      <c r="J19" s="91"/>
      <c r="K19" s="30"/>
      <c r="L19" s="30"/>
      <c r="M19" s="30"/>
      <c r="N19" s="30"/>
      <c r="O19" s="30"/>
      <c r="P19" s="30">
        <f>SUM(K19:O19)</f>
        <v>0</v>
      </c>
      <c r="Q19" s="91"/>
      <c r="R19" s="30"/>
      <c r="S19" s="30">
        <f>+PROYECCIONES!E52</f>
        <v>48.179567662441535</v>
      </c>
      <c r="T19" s="30"/>
      <c r="U19" s="30"/>
      <c r="V19" s="30"/>
      <c r="W19" s="30">
        <f>SUM(R19:V19)</f>
        <v>48.179567662441535</v>
      </c>
      <c r="X19" s="91"/>
      <c r="Y19" s="30"/>
      <c r="Z19" s="30"/>
      <c r="AA19" s="30"/>
      <c r="AB19" s="30"/>
      <c r="AC19" s="30"/>
      <c r="AD19" s="30">
        <f>SUM(Y19:AC19)</f>
        <v>0</v>
      </c>
      <c r="AE19" s="91"/>
      <c r="AF19" s="30"/>
      <c r="AG19" s="30"/>
      <c r="AH19" s="30"/>
      <c r="AI19" s="30"/>
      <c r="AJ19" s="30"/>
      <c r="AK19" s="30">
        <f>SUM(AF19:AJ19)</f>
        <v>0</v>
      </c>
    </row>
    <row r="20" spans="1:37" s="89" customFormat="1" ht="54.75" customHeight="1">
      <c r="A20" s="436"/>
      <c r="B20" s="436"/>
      <c r="C20" s="436"/>
      <c r="D20" s="442"/>
      <c r="E20" s="20" t="s">
        <v>247</v>
      </c>
      <c r="F20" s="20" t="s">
        <v>248</v>
      </c>
      <c r="G20" s="20" t="s">
        <v>249</v>
      </c>
      <c r="H20" s="31">
        <f>+P20+W20+AD20+AK20</f>
        <v>157.5166501617968</v>
      </c>
      <c r="I20" s="123"/>
      <c r="J20" s="91"/>
      <c r="K20" s="30">
        <f>+K3*0.05</f>
        <v>6.829834900000001</v>
      </c>
      <c r="L20" s="30"/>
      <c r="M20" s="30"/>
      <c r="N20" s="30">
        <f>+N3</f>
        <v>25</v>
      </c>
      <c r="O20" s="30"/>
      <c r="P20" s="30">
        <f t="shared" si="5"/>
        <v>31.8298349</v>
      </c>
      <c r="Q20" s="91"/>
      <c r="R20" s="30">
        <f>+R3*0.1</f>
        <v>14.479249988000005</v>
      </c>
      <c r="S20" s="30"/>
      <c r="T20" s="30"/>
      <c r="U20" s="30">
        <f>+U3</f>
        <v>25.75</v>
      </c>
      <c r="V20" s="30"/>
      <c r="W20" s="30">
        <f t="shared" si="6"/>
        <v>40.22924998800001</v>
      </c>
      <c r="X20" s="91"/>
      <c r="Y20" s="30">
        <f>+Y3*0.1</f>
        <v>15.348004987280005</v>
      </c>
      <c r="Z20" s="30"/>
      <c r="AA20" s="30"/>
      <c r="AB20" s="30">
        <f>+AB3</f>
        <v>26.5225</v>
      </c>
      <c r="AC20" s="30"/>
      <c r="AD20" s="30">
        <f t="shared" si="7"/>
        <v>41.87050498728001</v>
      </c>
      <c r="AE20" s="91"/>
      <c r="AF20" s="30">
        <f>+AF3*0.1</f>
        <v>16.268885286516802</v>
      </c>
      <c r="AG20" s="30"/>
      <c r="AH20" s="30"/>
      <c r="AI20" s="30">
        <f>+AI3</f>
        <v>27.318175</v>
      </c>
      <c r="AJ20" s="30"/>
      <c r="AK20" s="30">
        <f t="shared" si="8"/>
        <v>43.5870602865168</v>
      </c>
    </row>
    <row r="21" spans="1:37" s="98" customFormat="1" ht="12.75" customHeight="1">
      <c r="A21" s="436"/>
      <c r="B21" s="436"/>
      <c r="C21" s="436"/>
      <c r="D21" s="105"/>
      <c r="E21" s="110"/>
      <c r="F21" s="111"/>
      <c r="G21" s="112" t="s">
        <v>235</v>
      </c>
      <c r="H21" s="96">
        <f>SUM(H18:H20)</f>
        <v>272.7973684053136</v>
      </c>
      <c r="I21" s="119">
        <f>+H21/H34</f>
        <v>0.33372573446108383</v>
      </c>
      <c r="J21" s="97"/>
      <c r="K21" s="96">
        <f aca="true" t="shared" si="12" ref="K21:P21">SUM(K18:K20)</f>
        <v>6.829834900000001</v>
      </c>
      <c r="L21" s="96">
        <f t="shared" si="12"/>
        <v>0</v>
      </c>
      <c r="M21" s="96">
        <f t="shared" si="12"/>
        <v>0</v>
      </c>
      <c r="N21" s="96">
        <f t="shared" si="12"/>
        <v>25</v>
      </c>
      <c r="O21" s="96">
        <f t="shared" si="12"/>
        <v>0</v>
      </c>
      <c r="P21" s="96">
        <f t="shared" si="12"/>
        <v>31.8298349</v>
      </c>
      <c r="Q21" s="97"/>
      <c r="R21" s="96">
        <f aca="true" t="shared" si="13" ref="R21:W21">SUM(R18:R20)</f>
        <v>14.479249988000005</v>
      </c>
      <c r="S21" s="96">
        <f t="shared" si="13"/>
        <v>115.28071824351679</v>
      </c>
      <c r="T21" s="96">
        <f t="shared" si="13"/>
        <v>0</v>
      </c>
      <c r="U21" s="96">
        <f t="shared" si="13"/>
        <v>25.75</v>
      </c>
      <c r="V21" s="96">
        <f t="shared" si="13"/>
        <v>0</v>
      </c>
      <c r="W21" s="96">
        <f t="shared" si="13"/>
        <v>155.50996823151678</v>
      </c>
      <c r="X21" s="97"/>
      <c r="Y21" s="96">
        <f aca="true" t="shared" si="14" ref="Y21:AK21">SUM(Y18:Y20)</f>
        <v>15.348004987280005</v>
      </c>
      <c r="Z21" s="96">
        <f t="shared" si="14"/>
        <v>0</v>
      </c>
      <c r="AA21" s="96">
        <f t="shared" si="14"/>
        <v>0</v>
      </c>
      <c r="AB21" s="96">
        <f t="shared" si="14"/>
        <v>26.5225</v>
      </c>
      <c r="AC21" s="96">
        <f t="shared" si="14"/>
        <v>0</v>
      </c>
      <c r="AD21" s="96">
        <f t="shared" si="14"/>
        <v>41.87050498728001</v>
      </c>
      <c r="AE21" s="97"/>
      <c r="AF21" s="96">
        <f t="shared" si="14"/>
        <v>16.268885286516802</v>
      </c>
      <c r="AG21" s="96">
        <f t="shared" si="14"/>
        <v>0</v>
      </c>
      <c r="AH21" s="96">
        <f t="shared" si="14"/>
        <v>0</v>
      </c>
      <c r="AI21" s="96">
        <f t="shared" si="14"/>
        <v>27.318175</v>
      </c>
      <c r="AJ21" s="96">
        <f t="shared" si="14"/>
        <v>0</v>
      </c>
      <c r="AK21" s="96">
        <f t="shared" si="14"/>
        <v>43.5870602865168</v>
      </c>
    </row>
    <row r="22" spans="1:37" s="95" customFormat="1" ht="6.75" customHeight="1">
      <c r="A22" s="436"/>
      <c r="B22" s="436"/>
      <c r="C22" s="436"/>
      <c r="D22" s="101"/>
      <c r="E22" s="102"/>
      <c r="F22" s="102"/>
      <c r="G22" s="109"/>
      <c r="H22" s="104"/>
      <c r="I22" s="118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</row>
    <row r="23" spans="1:37" ht="25.5" customHeight="1">
      <c r="A23" s="436"/>
      <c r="B23" s="436"/>
      <c r="C23" s="436"/>
      <c r="D23" s="443" t="s">
        <v>106</v>
      </c>
      <c r="E23" s="20" t="s">
        <v>252</v>
      </c>
      <c r="F23" s="26" t="s">
        <v>253</v>
      </c>
      <c r="G23" s="26" t="s">
        <v>254</v>
      </c>
      <c r="H23" s="108">
        <f>+P23+W23+AD23+AK23</f>
        <v>6.16</v>
      </c>
      <c r="I23" s="115"/>
      <c r="J23" s="90"/>
      <c r="K23" s="7">
        <v>6.16</v>
      </c>
      <c r="L23" s="7"/>
      <c r="M23" s="7"/>
      <c r="N23" s="7"/>
      <c r="O23" s="7"/>
      <c r="P23" s="7">
        <f>SUM(K23:O23)</f>
        <v>6.16</v>
      </c>
      <c r="Q23" s="90"/>
      <c r="R23" s="7"/>
      <c r="S23" s="7"/>
      <c r="T23" s="7"/>
      <c r="U23" s="7"/>
      <c r="V23" s="7"/>
      <c r="W23" s="7">
        <f>SUM(R23:V23)</f>
        <v>0</v>
      </c>
      <c r="X23" s="90"/>
      <c r="Y23" s="7"/>
      <c r="Z23" s="7"/>
      <c r="AA23" s="7"/>
      <c r="AB23" s="7"/>
      <c r="AC23" s="7"/>
      <c r="AD23" s="7">
        <f>SUM(Y23:AC23)</f>
        <v>0</v>
      </c>
      <c r="AE23" s="90"/>
      <c r="AF23" s="7"/>
      <c r="AG23" s="7"/>
      <c r="AH23" s="7"/>
      <c r="AI23" s="7"/>
      <c r="AJ23" s="7"/>
      <c r="AK23" s="7">
        <f>SUM(AF23:AJ23)</f>
        <v>0</v>
      </c>
    </row>
    <row r="24" spans="1:37" ht="76.5">
      <c r="A24" s="436"/>
      <c r="B24" s="436"/>
      <c r="C24" s="436"/>
      <c r="D24" s="444"/>
      <c r="E24" s="26" t="s">
        <v>255</v>
      </c>
      <c r="F24" s="26" t="s">
        <v>256</v>
      </c>
      <c r="G24" s="26" t="s">
        <v>30</v>
      </c>
      <c r="H24" s="108">
        <f>+P24+W24+AD24+AK24</f>
        <v>29.877905030898404</v>
      </c>
      <c r="I24" s="116"/>
      <c r="J24" s="90"/>
      <c r="K24" s="7">
        <f>+K3*0.05</f>
        <v>6.829834900000001</v>
      </c>
      <c r="L24" s="7"/>
      <c r="M24" s="7"/>
      <c r="N24" s="7"/>
      <c r="O24" s="7"/>
      <c r="P24" s="7">
        <f t="shared" si="5"/>
        <v>6.829834900000001</v>
      </c>
      <c r="Q24" s="90"/>
      <c r="R24" s="7">
        <f>+R3*0.05</f>
        <v>7.239624994000002</v>
      </c>
      <c r="S24" s="7"/>
      <c r="T24" s="7"/>
      <c r="U24" s="7"/>
      <c r="V24" s="7"/>
      <c r="W24" s="7">
        <f t="shared" si="6"/>
        <v>7.239624994000002</v>
      </c>
      <c r="X24" s="90"/>
      <c r="Y24" s="7">
        <f>+Y3*0.05</f>
        <v>7.674002493640002</v>
      </c>
      <c r="Z24" s="7"/>
      <c r="AA24" s="7"/>
      <c r="AB24" s="7"/>
      <c r="AC24" s="7"/>
      <c r="AD24" s="7">
        <f t="shared" si="7"/>
        <v>7.674002493640002</v>
      </c>
      <c r="AE24" s="90"/>
      <c r="AF24" s="7">
        <f>+AF3*0.05</f>
        <v>8.134442643258401</v>
      </c>
      <c r="AG24" s="7"/>
      <c r="AH24" s="7"/>
      <c r="AI24" s="7"/>
      <c r="AJ24" s="7"/>
      <c r="AK24" s="7">
        <f t="shared" si="8"/>
        <v>8.134442643258401</v>
      </c>
    </row>
    <row r="25" spans="1:37" ht="38.25">
      <c r="A25" s="436"/>
      <c r="B25" s="436"/>
      <c r="C25" s="436"/>
      <c r="D25" s="444"/>
      <c r="E25" s="26" t="s">
        <v>257</v>
      </c>
      <c r="F25" s="26" t="s">
        <v>258</v>
      </c>
      <c r="G25" s="26" t="s">
        <v>259</v>
      </c>
      <c r="H25" s="108">
        <f>+P25+W25+AD25+AK25</f>
        <v>0</v>
      </c>
      <c r="I25" s="116"/>
      <c r="J25" s="90"/>
      <c r="K25" s="7"/>
      <c r="L25" s="7"/>
      <c r="M25" s="7"/>
      <c r="N25" s="7"/>
      <c r="O25" s="7"/>
      <c r="P25" s="7">
        <f t="shared" si="5"/>
        <v>0</v>
      </c>
      <c r="Q25" s="90"/>
      <c r="R25" s="7"/>
      <c r="S25" s="7"/>
      <c r="T25" s="7"/>
      <c r="U25" s="7"/>
      <c r="V25" s="7"/>
      <c r="W25" s="7">
        <f t="shared" si="6"/>
        <v>0</v>
      </c>
      <c r="X25" s="90"/>
      <c r="Y25" s="7"/>
      <c r="Z25" s="7"/>
      <c r="AA25" s="7"/>
      <c r="AB25" s="7"/>
      <c r="AC25" s="7"/>
      <c r="AD25" s="7">
        <f t="shared" si="7"/>
        <v>0</v>
      </c>
      <c r="AE25" s="90"/>
      <c r="AF25" s="7"/>
      <c r="AG25" s="7"/>
      <c r="AH25" s="7"/>
      <c r="AI25" s="7"/>
      <c r="AJ25" s="7"/>
      <c r="AK25" s="7">
        <f t="shared" si="8"/>
        <v>0</v>
      </c>
    </row>
    <row r="26" spans="1:37" ht="38.25">
      <c r="A26" s="436"/>
      <c r="B26" s="436"/>
      <c r="C26" s="436"/>
      <c r="D26" s="445"/>
      <c r="E26" s="26" t="s">
        <v>260</v>
      </c>
      <c r="F26" s="26" t="s">
        <v>261</v>
      </c>
      <c r="G26" s="26" t="s">
        <v>262</v>
      </c>
      <c r="H26" s="108">
        <f>+P26+W26+AD26+AK26</f>
        <v>52.92597516179681</v>
      </c>
      <c r="I26" s="117"/>
      <c r="J26" s="90"/>
      <c r="K26" s="7">
        <f>+K3*0.05</f>
        <v>6.829834900000001</v>
      </c>
      <c r="L26" s="7"/>
      <c r="M26" s="7"/>
      <c r="N26" s="7"/>
      <c r="O26" s="7"/>
      <c r="P26" s="7">
        <f t="shared" si="5"/>
        <v>6.829834900000001</v>
      </c>
      <c r="Q26" s="90"/>
      <c r="R26" s="7">
        <f>+R3*0.1</f>
        <v>14.479249988000005</v>
      </c>
      <c r="S26" s="7"/>
      <c r="T26" s="7"/>
      <c r="U26" s="7"/>
      <c r="V26" s="7"/>
      <c r="W26" s="7">
        <f t="shared" si="6"/>
        <v>14.479249988000005</v>
      </c>
      <c r="X26" s="90"/>
      <c r="Y26" s="7">
        <f>+Y3*0.1</f>
        <v>15.348004987280005</v>
      </c>
      <c r="Z26" s="7"/>
      <c r="AA26" s="7"/>
      <c r="AB26" s="7"/>
      <c r="AC26" s="7"/>
      <c r="AD26" s="7">
        <f t="shared" si="7"/>
        <v>15.348004987280005</v>
      </c>
      <c r="AE26" s="90"/>
      <c r="AF26" s="7">
        <f>+AF3*0.1</f>
        <v>16.268885286516802</v>
      </c>
      <c r="AG26" s="7"/>
      <c r="AH26" s="7"/>
      <c r="AI26" s="7"/>
      <c r="AJ26" s="7"/>
      <c r="AK26" s="7">
        <f t="shared" si="8"/>
        <v>16.268885286516802</v>
      </c>
    </row>
    <row r="27" spans="1:37" s="95" customFormat="1" ht="12.75" customHeight="1">
      <c r="A27" s="436"/>
      <c r="B27" s="436"/>
      <c r="C27" s="436"/>
      <c r="D27" s="105"/>
      <c r="E27" s="110"/>
      <c r="F27" s="111"/>
      <c r="G27" s="112" t="s">
        <v>235</v>
      </c>
      <c r="H27" s="93">
        <f>SUM(H23:H26)</f>
        <v>88.96388019269521</v>
      </c>
      <c r="I27" s="113">
        <f>+H27/H34</f>
        <v>0.10883366079141688</v>
      </c>
      <c r="J27" s="94"/>
      <c r="K27" s="93">
        <f aca="true" t="shared" si="15" ref="K27:P27">SUM(K23:K26)</f>
        <v>19.819669800000003</v>
      </c>
      <c r="L27" s="93">
        <f t="shared" si="15"/>
        <v>0</v>
      </c>
      <c r="M27" s="93">
        <f t="shared" si="15"/>
        <v>0</v>
      </c>
      <c r="N27" s="93">
        <f t="shared" si="15"/>
        <v>0</v>
      </c>
      <c r="O27" s="93">
        <f t="shared" si="15"/>
        <v>0</v>
      </c>
      <c r="P27" s="93">
        <f t="shared" si="15"/>
        <v>19.819669800000003</v>
      </c>
      <c r="Q27" s="94"/>
      <c r="R27" s="93">
        <f aca="true" t="shared" si="16" ref="R27:W27">SUM(R23:R26)</f>
        <v>21.718874982000006</v>
      </c>
      <c r="S27" s="93">
        <f t="shared" si="16"/>
        <v>0</v>
      </c>
      <c r="T27" s="93">
        <f t="shared" si="16"/>
        <v>0</v>
      </c>
      <c r="U27" s="93">
        <f t="shared" si="16"/>
        <v>0</v>
      </c>
      <c r="V27" s="93">
        <f t="shared" si="16"/>
        <v>0</v>
      </c>
      <c r="W27" s="93">
        <f t="shared" si="16"/>
        <v>21.718874982000006</v>
      </c>
      <c r="X27" s="94"/>
      <c r="Y27" s="93">
        <f aca="true" t="shared" si="17" ref="Y27:AK27">SUM(Y23:Y26)</f>
        <v>23.022007480920006</v>
      </c>
      <c r="Z27" s="93">
        <f t="shared" si="17"/>
        <v>0</v>
      </c>
      <c r="AA27" s="93">
        <f t="shared" si="17"/>
        <v>0</v>
      </c>
      <c r="AB27" s="93">
        <f t="shared" si="17"/>
        <v>0</v>
      </c>
      <c r="AC27" s="93">
        <f t="shared" si="17"/>
        <v>0</v>
      </c>
      <c r="AD27" s="93">
        <f t="shared" si="17"/>
        <v>23.022007480920006</v>
      </c>
      <c r="AE27" s="94"/>
      <c r="AF27" s="93">
        <f t="shared" si="17"/>
        <v>24.4033279297752</v>
      </c>
      <c r="AG27" s="93">
        <f t="shared" si="17"/>
        <v>0</v>
      </c>
      <c r="AH27" s="93">
        <f t="shared" si="17"/>
        <v>0</v>
      </c>
      <c r="AI27" s="93">
        <f t="shared" si="17"/>
        <v>0</v>
      </c>
      <c r="AJ27" s="93">
        <f t="shared" si="17"/>
        <v>0</v>
      </c>
      <c r="AK27" s="93">
        <f t="shared" si="17"/>
        <v>24.4033279297752</v>
      </c>
    </row>
    <row r="28" spans="1:37" s="95" customFormat="1" ht="6.75" customHeight="1">
      <c r="A28" s="436"/>
      <c r="B28" s="436"/>
      <c r="C28" s="436"/>
      <c r="D28" s="101"/>
      <c r="E28" s="102"/>
      <c r="F28" s="102"/>
      <c r="G28" s="103"/>
      <c r="H28" s="104"/>
      <c r="I28" s="118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</row>
    <row r="29" spans="1:37" ht="12.75" customHeight="1">
      <c r="A29" s="436"/>
      <c r="B29" s="436"/>
      <c r="C29" s="436"/>
      <c r="D29" s="446" t="s">
        <v>229</v>
      </c>
      <c r="E29" s="382" t="s">
        <v>263</v>
      </c>
      <c r="F29" s="382" t="s">
        <v>241</v>
      </c>
      <c r="G29" s="8" t="s">
        <v>100</v>
      </c>
      <c r="H29" s="7">
        <f>+P29+W29+AD29+AK29</f>
        <v>59.75581006179681</v>
      </c>
      <c r="I29" s="115"/>
      <c r="J29" s="90"/>
      <c r="K29" s="7">
        <f>+K3*0.1</f>
        <v>13.659669800000001</v>
      </c>
      <c r="L29" s="7"/>
      <c r="M29" s="7"/>
      <c r="N29" s="7"/>
      <c r="O29" s="7"/>
      <c r="P29" s="7">
        <f>SUM(K29:O29)</f>
        <v>13.659669800000001</v>
      </c>
      <c r="Q29" s="90"/>
      <c r="R29" s="7">
        <f>+R3*0.1</f>
        <v>14.479249988000005</v>
      </c>
      <c r="S29" s="7"/>
      <c r="T29" s="7"/>
      <c r="U29" s="7"/>
      <c r="V29" s="7"/>
      <c r="W29" s="7">
        <f>SUM(R29:V29)</f>
        <v>14.479249988000005</v>
      </c>
      <c r="X29" s="90"/>
      <c r="Y29" s="7">
        <f>+Y3*0.1</f>
        <v>15.348004987280005</v>
      </c>
      <c r="Z29" s="7"/>
      <c r="AA29" s="7"/>
      <c r="AB29" s="7"/>
      <c r="AC29" s="7"/>
      <c r="AD29" s="7">
        <f>SUM(Y29:AC29)</f>
        <v>15.348004987280005</v>
      </c>
      <c r="AE29" s="90"/>
      <c r="AF29" s="7">
        <f>+AF3*0.1</f>
        <v>16.268885286516802</v>
      </c>
      <c r="AG29" s="7"/>
      <c r="AH29" s="7"/>
      <c r="AI29" s="7"/>
      <c r="AJ29" s="7"/>
      <c r="AK29" s="7">
        <f>SUM(AF29:AJ29)</f>
        <v>16.268885286516802</v>
      </c>
    </row>
    <row r="30" spans="1:37" ht="25.5">
      <c r="A30" s="436"/>
      <c r="B30" s="436"/>
      <c r="C30" s="436"/>
      <c r="D30" s="353"/>
      <c r="E30" s="447"/>
      <c r="F30" s="447"/>
      <c r="G30" s="8" t="s">
        <v>27</v>
      </c>
      <c r="H30" s="7">
        <f>+P30+W30+AD30+AK30</f>
        <v>149.38952515449205</v>
      </c>
      <c r="I30" s="116"/>
      <c r="J30" s="90"/>
      <c r="K30" s="7">
        <f>+K3*0.25</f>
        <v>34.1491745</v>
      </c>
      <c r="L30" s="7"/>
      <c r="M30" s="7"/>
      <c r="N30" s="7"/>
      <c r="O30" s="7"/>
      <c r="P30" s="7">
        <f>SUM(K30:O30)</f>
        <v>34.1491745</v>
      </c>
      <c r="Q30" s="90"/>
      <c r="R30" s="7">
        <f>+R3*0.25</f>
        <v>36.19812497000001</v>
      </c>
      <c r="S30" s="7"/>
      <c r="T30" s="7"/>
      <c r="U30" s="7"/>
      <c r="V30" s="7"/>
      <c r="W30" s="7">
        <f>SUM(R30:V30)</f>
        <v>36.19812497000001</v>
      </c>
      <c r="X30" s="90"/>
      <c r="Y30" s="7">
        <f>+Y3*0.25</f>
        <v>38.37001246820001</v>
      </c>
      <c r="Z30" s="7"/>
      <c r="AA30" s="7"/>
      <c r="AB30" s="7"/>
      <c r="AC30" s="7"/>
      <c r="AD30" s="7">
        <f>SUM(Y30:AC30)</f>
        <v>38.37001246820001</v>
      </c>
      <c r="AE30" s="90"/>
      <c r="AF30" s="7">
        <f>+AF3*0.25</f>
        <v>40.67221321629201</v>
      </c>
      <c r="AG30" s="7"/>
      <c r="AH30" s="7"/>
      <c r="AI30" s="7"/>
      <c r="AJ30" s="7"/>
      <c r="AK30" s="7">
        <f>SUM(AF30:AJ30)</f>
        <v>40.67221321629201</v>
      </c>
    </row>
    <row r="31" spans="1:37" ht="25.5" customHeight="1">
      <c r="A31" s="436"/>
      <c r="B31" s="436"/>
      <c r="C31" s="436"/>
      <c r="D31" s="348"/>
      <c r="E31" s="20" t="s">
        <v>264</v>
      </c>
      <c r="F31" s="20" t="s">
        <v>265</v>
      </c>
      <c r="G31" s="26" t="s">
        <v>230</v>
      </c>
      <c r="H31" s="108">
        <f>+P31+W31+AD31+AK31</f>
        <v>59.75581006179681</v>
      </c>
      <c r="I31" s="117"/>
      <c r="J31" s="90"/>
      <c r="K31" s="7">
        <f>+K3*0.1</f>
        <v>13.659669800000001</v>
      </c>
      <c r="L31" s="7"/>
      <c r="M31" s="7"/>
      <c r="N31" s="7"/>
      <c r="O31" s="7"/>
      <c r="P31" s="7">
        <f>SUM(K31:O31)</f>
        <v>13.659669800000001</v>
      </c>
      <c r="Q31" s="90"/>
      <c r="R31" s="7">
        <f>+R3*0.1</f>
        <v>14.479249988000005</v>
      </c>
      <c r="S31" s="7"/>
      <c r="T31" s="7"/>
      <c r="U31" s="7"/>
      <c r="V31" s="7"/>
      <c r="W31" s="7">
        <f>SUM(R31:V31)</f>
        <v>14.479249988000005</v>
      </c>
      <c r="X31" s="90"/>
      <c r="Y31" s="7">
        <f>+Y3*0.1</f>
        <v>15.348004987280005</v>
      </c>
      <c r="Z31" s="7"/>
      <c r="AA31" s="7"/>
      <c r="AB31" s="7"/>
      <c r="AC31" s="7"/>
      <c r="AD31" s="7">
        <f>SUM(Y31:AC31)</f>
        <v>15.348004987280005</v>
      </c>
      <c r="AE31" s="90"/>
      <c r="AF31" s="7">
        <f>+AF3*0.1</f>
        <v>16.268885286516802</v>
      </c>
      <c r="AG31" s="7"/>
      <c r="AH31" s="7"/>
      <c r="AI31" s="7"/>
      <c r="AJ31" s="7"/>
      <c r="AK31" s="7">
        <f>SUM(AF31:AJ31)</f>
        <v>16.268885286516802</v>
      </c>
    </row>
    <row r="32" spans="1:37" s="95" customFormat="1" ht="15">
      <c r="A32" s="99"/>
      <c r="B32" s="100"/>
      <c r="C32" s="99"/>
      <c r="D32" s="101"/>
      <c r="E32" s="102"/>
      <c r="F32" s="102"/>
      <c r="G32" s="112" t="s">
        <v>235</v>
      </c>
      <c r="H32" s="93">
        <f>SUM(H29:H31)</f>
        <v>268.90114527808566</v>
      </c>
      <c r="I32" s="113">
        <f>+H32/H34</f>
        <v>0.32895930312650257</v>
      </c>
      <c r="J32" s="94"/>
      <c r="K32" s="93">
        <f aca="true" t="shared" si="18" ref="K32:P32">SUM(K29:K31)</f>
        <v>61.46851410000001</v>
      </c>
      <c r="L32" s="93">
        <f t="shared" si="18"/>
        <v>0</v>
      </c>
      <c r="M32" s="93">
        <f t="shared" si="18"/>
        <v>0</v>
      </c>
      <c r="N32" s="93">
        <f t="shared" si="18"/>
        <v>0</v>
      </c>
      <c r="O32" s="93">
        <f t="shared" si="18"/>
        <v>0</v>
      </c>
      <c r="P32" s="93">
        <f t="shared" si="18"/>
        <v>61.46851410000001</v>
      </c>
      <c r="Q32" s="94"/>
      <c r="R32" s="93">
        <f aca="true" t="shared" si="19" ref="R32:W32">SUM(R29:R31)</f>
        <v>65.15662494600002</v>
      </c>
      <c r="S32" s="93">
        <f t="shared" si="19"/>
        <v>0</v>
      </c>
      <c r="T32" s="93">
        <f t="shared" si="19"/>
        <v>0</v>
      </c>
      <c r="U32" s="93">
        <f t="shared" si="19"/>
        <v>0</v>
      </c>
      <c r="V32" s="93">
        <f t="shared" si="19"/>
        <v>0</v>
      </c>
      <c r="W32" s="93">
        <f t="shared" si="19"/>
        <v>65.15662494600002</v>
      </c>
      <c r="X32" s="94"/>
      <c r="Y32" s="93">
        <f aca="true" t="shared" si="20" ref="Y32:AK32">SUM(Y29:Y31)</f>
        <v>69.06602244276002</v>
      </c>
      <c r="Z32" s="93">
        <f t="shared" si="20"/>
        <v>0</v>
      </c>
      <c r="AA32" s="93">
        <f t="shared" si="20"/>
        <v>0</v>
      </c>
      <c r="AB32" s="93">
        <f t="shared" si="20"/>
        <v>0</v>
      </c>
      <c r="AC32" s="93">
        <f t="shared" si="20"/>
        <v>0</v>
      </c>
      <c r="AD32" s="93">
        <f t="shared" si="20"/>
        <v>69.06602244276002</v>
      </c>
      <c r="AE32" s="94"/>
      <c r="AF32" s="93">
        <f t="shared" si="20"/>
        <v>73.20998378932562</v>
      </c>
      <c r="AG32" s="93">
        <f t="shared" si="20"/>
        <v>0</v>
      </c>
      <c r="AH32" s="93">
        <f t="shared" si="20"/>
        <v>0</v>
      </c>
      <c r="AI32" s="93">
        <f t="shared" si="20"/>
        <v>0</v>
      </c>
      <c r="AJ32" s="93">
        <f t="shared" si="20"/>
        <v>0</v>
      </c>
      <c r="AK32" s="93">
        <f t="shared" si="20"/>
        <v>73.20998378932562</v>
      </c>
    </row>
    <row r="33" spans="1:37" s="95" customFormat="1" ht="6.75" customHeight="1">
      <c r="A33" s="99"/>
      <c r="B33" s="100"/>
      <c r="C33" s="99"/>
      <c r="D33" s="101"/>
      <c r="E33" s="102"/>
      <c r="F33" s="102"/>
      <c r="G33" s="103"/>
      <c r="H33" s="104"/>
      <c r="I33" s="118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</row>
    <row r="34" spans="7:37" s="95" customFormat="1" ht="12.75">
      <c r="G34" s="92" t="s">
        <v>44</v>
      </c>
      <c r="H34" s="93">
        <f>+H11+H16+H21+H27+H32</f>
        <v>817.4298240614849</v>
      </c>
      <c r="I34" s="113">
        <f>+I11+I16+I21+I27+I32</f>
        <v>1</v>
      </c>
      <c r="J34" s="94"/>
      <c r="K34" s="93">
        <f aca="true" t="shared" si="21" ref="K34:P34">+K11+K16+K21+K27+K32</f>
        <v>136.5970282</v>
      </c>
      <c r="L34" s="93">
        <f t="shared" si="21"/>
        <v>0</v>
      </c>
      <c r="M34" s="93">
        <f t="shared" si="21"/>
        <v>0</v>
      </c>
      <c r="N34" s="93">
        <f t="shared" si="21"/>
        <v>25</v>
      </c>
      <c r="O34" s="93">
        <f t="shared" si="21"/>
        <v>0</v>
      </c>
      <c r="P34" s="93">
        <f t="shared" si="21"/>
        <v>161.5970282</v>
      </c>
      <c r="Q34" s="94"/>
      <c r="R34" s="93">
        <f aca="true" t="shared" si="22" ref="R34:W34">+R11+R16+R21+R27+R32</f>
        <v>144.79249988000004</v>
      </c>
      <c r="S34" s="93">
        <f t="shared" si="22"/>
        <v>115.28071824351679</v>
      </c>
      <c r="T34" s="93">
        <f t="shared" si="22"/>
        <v>0</v>
      </c>
      <c r="U34" s="93">
        <f t="shared" si="22"/>
        <v>25.75</v>
      </c>
      <c r="V34" s="93">
        <f t="shared" si="22"/>
        <v>0</v>
      </c>
      <c r="W34" s="93">
        <f t="shared" si="22"/>
        <v>285.8232181235168</v>
      </c>
      <c r="X34" s="94"/>
      <c r="Y34" s="93">
        <f aca="true" t="shared" si="23" ref="Y34:AK34">+Y11+Y16+Y21+Y27+Y32</f>
        <v>153.48004987280004</v>
      </c>
      <c r="Z34" s="93">
        <f t="shared" si="23"/>
        <v>0</v>
      </c>
      <c r="AA34" s="93">
        <f t="shared" si="23"/>
        <v>0</v>
      </c>
      <c r="AB34" s="93">
        <f t="shared" si="23"/>
        <v>26.5225</v>
      </c>
      <c r="AC34" s="93">
        <f t="shared" si="23"/>
        <v>0</v>
      </c>
      <c r="AD34" s="93">
        <f t="shared" si="23"/>
        <v>180.00254987280005</v>
      </c>
      <c r="AE34" s="94"/>
      <c r="AF34" s="93">
        <f t="shared" si="23"/>
        <v>162.68885286516803</v>
      </c>
      <c r="AG34" s="93">
        <f t="shared" si="23"/>
        <v>0</v>
      </c>
      <c r="AH34" s="93">
        <f t="shared" si="23"/>
        <v>0</v>
      </c>
      <c r="AI34" s="93">
        <f t="shared" si="23"/>
        <v>27.318175</v>
      </c>
      <c r="AJ34" s="93">
        <f t="shared" si="23"/>
        <v>0</v>
      </c>
      <c r="AK34" s="93">
        <f t="shared" si="23"/>
        <v>190.00702786516803</v>
      </c>
    </row>
  </sheetData>
  <sheetProtection/>
  <mergeCells count="28">
    <mergeCell ref="A4:A5"/>
    <mergeCell ref="B4:B5"/>
    <mergeCell ref="G4:G5"/>
    <mergeCell ref="C4:C5"/>
    <mergeCell ref="E4:E5"/>
    <mergeCell ref="F4:F5"/>
    <mergeCell ref="B1:G1"/>
    <mergeCell ref="B2:G2"/>
    <mergeCell ref="B3:G3"/>
    <mergeCell ref="E29:E30"/>
    <mergeCell ref="F29:F30"/>
    <mergeCell ref="E7:E10"/>
    <mergeCell ref="F7:F10"/>
    <mergeCell ref="A6:A31"/>
    <mergeCell ref="B6:B31"/>
    <mergeCell ref="C6:C31"/>
    <mergeCell ref="D6:D10"/>
    <mergeCell ref="D13:D15"/>
    <mergeCell ref="D18:D20"/>
    <mergeCell ref="D23:D26"/>
    <mergeCell ref="D29:D31"/>
    <mergeCell ref="Y4:AD4"/>
    <mergeCell ref="AF4:AK4"/>
    <mergeCell ref="K4:P4"/>
    <mergeCell ref="R4:W4"/>
    <mergeCell ref="H4:H5"/>
    <mergeCell ref="D4:D5"/>
    <mergeCell ref="I4:I5"/>
  </mergeCells>
  <conditionalFormatting sqref="K1:W1 Y1:AD1 AF1:AK1">
    <cfRule type="cellIs" priority="4" dxfId="10" operator="greaterThan" stopIfTrue="1">
      <formula>1</formula>
    </cfRule>
  </conditionalFormatting>
  <conditionalFormatting sqref="X1">
    <cfRule type="cellIs" priority="3" dxfId="10" operator="greaterThan" stopIfTrue="1">
      <formula>1</formula>
    </cfRule>
  </conditionalFormatting>
  <conditionalFormatting sqref="AE1">
    <cfRule type="cellIs" priority="2" dxfId="10" operator="greaterThan" stopIfTrue="1">
      <formula>1</formula>
    </cfRule>
  </conditionalFormatting>
  <conditionalFormatting sqref="J1">
    <cfRule type="cellIs" priority="1" dxfId="10" operator="greaterThan" stopIfTrue="1">
      <formula>1</formula>
    </cfRule>
  </conditionalFormatting>
  <printOptions horizontalCentered="1"/>
  <pageMargins left="0.3937007874015748" right="1.1811023622047245" top="0.984251968503937" bottom="0.984251968503937" header="0.5118110236220472" footer="0.5118110236220472"/>
  <pageSetup fitToHeight="1" fitToWidth="1" horizontalDpi="600" verticalDpi="600" orientation="landscape" scale="3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19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1.140625" style="138" customWidth="1"/>
    <col min="2" max="2" width="12.421875" style="138" customWidth="1"/>
    <col min="3" max="3" width="11.57421875" style="138" customWidth="1"/>
    <col min="4" max="4" width="15.421875" style="138" customWidth="1"/>
    <col min="5" max="5" width="25.7109375" style="138" customWidth="1"/>
    <col min="6" max="6" width="22.421875" style="138" customWidth="1"/>
    <col min="7" max="7" width="27.28125" style="138" customWidth="1"/>
    <col min="8" max="8" width="11.00390625" style="165" customWidth="1"/>
    <col min="9" max="9" width="7.00390625" style="161" bestFit="1" customWidth="1"/>
    <col min="10" max="10" width="1.7109375" style="161" customWidth="1"/>
    <col min="11" max="16" width="9.421875" style="89" customWidth="1"/>
    <col min="17" max="17" width="1.7109375" style="161" customWidth="1"/>
    <col min="18" max="23" width="9.421875" style="89" customWidth="1"/>
    <col min="24" max="24" width="1.7109375" style="161" customWidth="1"/>
    <col min="25" max="30" width="9.421875" style="89" customWidth="1"/>
    <col min="31" max="31" width="1.7109375" style="161" customWidth="1"/>
    <col min="32" max="37" width="9.421875" style="89" customWidth="1"/>
    <col min="38" max="16384" width="11.421875" style="89" customWidth="1"/>
  </cols>
  <sheetData>
    <row r="1" spans="2:37" s="32" customFormat="1" ht="12.75">
      <c r="B1" s="311" t="s">
        <v>134</v>
      </c>
      <c r="C1" s="311"/>
      <c r="D1" s="311"/>
      <c r="E1" s="311"/>
      <c r="F1" s="311"/>
      <c r="G1" s="311"/>
      <c r="I1" s="129"/>
      <c r="J1" s="129"/>
      <c r="K1" s="229">
        <f aca="true" t="shared" si="0" ref="K1:AK1">+K3-K2</f>
        <v>0</v>
      </c>
      <c r="L1" s="229">
        <f t="shared" si="0"/>
        <v>0</v>
      </c>
      <c r="M1" s="229">
        <f t="shared" si="0"/>
        <v>0</v>
      </c>
      <c r="N1" s="229">
        <f t="shared" si="0"/>
        <v>0</v>
      </c>
      <c r="O1" s="229">
        <f t="shared" si="0"/>
        <v>0</v>
      </c>
      <c r="P1" s="229">
        <f t="shared" si="0"/>
        <v>0</v>
      </c>
      <c r="Q1" s="253"/>
      <c r="R1" s="229">
        <f t="shared" si="0"/>
        <v>0</v>
      </c>
      <c r="S1" s="229">
        <f t="shared" si="0"/>
        <v>0</v>
      </c>
      <c r="T1" s="229">
        <f t="shared" si="0"/>
        <v>0</v>
      </c>
      <c r="U1" s="229">
        <f t="shared" si="0"/>
        <v>0</v>
      </c>
      <c r="V1" s="229">
        <f t="shared" si="0"/>
        <v>0</v>
      </c>
      <c r="W1" s="229">
        <f t="shared" si="0"/>
        <v>0</v>
      </c>
      <c r="X1" s="253"/>
      <c r="Y1" s="229">
        <f t="shared" si="0"/>
        <v>0</v>
      </c>
      <c r="Z1" s="229">
        <f t="shared" si="0"/>
        <v>0</v>
      </c>
      <c r="AA1" s="229">
        <f t="shared" si="0"/>
        <v>0</v>
      </c>
      <c r="AB1" s="229">
        <f t="shared" si="0"/>
        <v>0</v>
      </c>
      <c r="AC1" s="229">
        <f t="shared" si="0"/>
        <v>0</v>
      </c>
      <c r="AD1" s="229">
        <f t="shared" si="0"/>
        <v>0</v>
      </c>
      <c r="AE1" s="253"/>
      <c r="AF1" s="229">
        <f t="shared" si="0"/>
        <v>0</v>
      </c>
      <c r="AG1" s="229">
        <f t="shared" si="0"/>
        <v>0</v>
      </c>
      <c r="AH1" s="229">
        <f t="shared" si="0"/>
        <v>0</v>
      </c>
      <c r="AI1" s="229">
        <f t="shared" si="0"/>
        <v>0</v>
      </c>
      <c r="AJ1" s="229">
        <f t="shared" si="0"/>
        <v>0</v>
      </c>
      <c r="AK1" s="229">
        <f t="shared" si="0"/>
        <v>0</v>
      </c>
    </row>
    <row r="2" spans="2:37" s="32" customFormat="1" ht="12.75">
      <c r="B2" s="312" t="s">
        <v>137</v>
      </c>
      <c r="C2" s="312"/>
      <c r="D2" s="312"/>
      <c r="E2" s="312"/>
      <c r="F2" s="312"/>
      <c r="G2" s="312"/>
      <c r="I2" s="129"/>
      <c r="J2" s="129"/>
      <c r="K2" s="229">
        <f>+K9+K17</f>
        <v>48.784535000000005</v>
      </c>
      <c r="L2" s="229">
        <f aca="true" t="shared" si="1" ref="L2:AK2">+L9+L17</f>
        <v>0</v>
      </c>
      <c r="M2" s="229">
        <f t="shared" si="1"/>
        <v>0</v>
      </c>
      <c r="N2" s="229">
        <f t="shared" si="1"/>
        <v>0</v>
      </c>
      <c r="O2" s="229">
        <f t="shared" si="1"/>
        <v>0</v>
      </c>
      <c r="P2" s="229">
        <f>+P9+P17</f>
        <v>48.784535000000005</v>
      </c>
      <c r="Q2" s="229"/>
      <c r="R2" s="229">
        <f t="shared" si="1"/>
        <v>51.711607100000016</v>
      </c>
      <c r="S2" s="229">
        <f t="shared" si="1"/>
        <v>0</v>
      </c>
      <c r="T2" s="229">
        <f t="shared" si="1"/>
        <v>0</v>
      </c>
      <c r="U2" s="229">
        <f t="shared" si="1"/>
        <v>0</v>
      </c>
      <c r="V2" s="229">
        <f t="shared" si="1"/>
        <v>0</v>
      </c>
      <c r="W2" s="229">
        <f t="shared" si="1"/>
        <v>51.711607100000016</v>
      </c>
      <c r="X2" s="229"/>
      <c r="Y2" s="229">
        <f t="shared" si="1"/>
        <v>54.814303526</v>
      </c>
      <c r="Z2" s="229">
        <f t="shared" si="1"/>
        <v>0</v>
      </c>
      <c r="AA2" s="229">
        <f t="shared" si="1"/>
        <v>0</v>
      </c>
      <c r="AB2" s="229">
        <f t="shared" si="1"/>
        <v>0</v>
      </c>
      <c r="AC2" s="229">
        <f t="shared" si="1"/>
        <v>0</v>
      </c>
      <c r="AD2" s="229">
        <f t="shared" si="1"/>
        <v>54.814303526</v>
      </c>
      <c r="AE2" s="229"/>
      <c r="AF2" s="229">
        <f t="shared" si="1"/>
        <v>58.10316173756001</v>
      </c>
      <c r="AG2" s="229">
        <f t="shared" si="1"/>
        <v>0</v>
      </c>
      <c r="AH2" s="229">
        <f t="shared" si="1"/>
        <v>0</v>
      </c>
      <c r="AI2" s="229">
        <f t="shared" si="1"/>
        <v>0</v>
      </c>
      <c r="AJ2" s="229">
        <f t="shared" si="1"/>
        <v>0</v>
      </c>
      <c r="AK2" s="229">
        <f t="shared" si="1"/>
        <v>58.10316173756001</v>
      </c>
    </row>
    <row r="3" spans="2:37" s="32" customFormat="1" ht="12.75">
      <c r="B3" s="313" t="s">
        <v>136</v>
      </c>
      <c r="C3" s="313"/>
      <c r="D3" s="313"/>
      <c r="E3" s="313"/>
      <c r="F3" s="313"/>
      <c r="G3" s="313"/>
      <c r="I3" s="129"/>
      <c r="J3" s="129"/>
      <c r="K3" s="229">
        <f>+PROYECCIONES!D109</f>
        <v>48.784535000000005</v>
      </c>
      <c r="L3" s="229">
        <v>0</v>
      </c>
      <c r="M3" s="229">
        <v>0</v>
      </c>
      <c r="N3" s="229">
        <v>0</v>
      </c>
      <c r="O3" s="229">
        <v>0</v>
      </c>
      <c r="P3" s="229">
        <f>SUM(K3:O3)</f>
        <v>48.784535000000005</v>
      </c>
      <c r="Q3" s="253"/>
      <c r="R3" s="229">
        <f>+PROYECCIONES!E109</f>
        <v>51.71160710000001</v>
      </c>
      <c r="S3" s="229">
        <v>0</v>
      </c>
      <c r="T3" s="229">
        <v>0</v>
      </c>
      <c r="U3" s="229">
        <v>0</v>
      </c>
      <c r="V3" s="229">
        <v>0</v>
      </c>
      <c r="W3" s="229">
        <f>SUM(R3:V3)</f>
        <v>51.71160710000001</v>
      </c>
      <c r="X3" s="253"/>
      <c r="Y3" s="229">
        <f>+PROYECCIONES!F109</f>
        <v>54.814303526</v>
      </c>
      <c r="Z3" s="229">
        <v>0</v>
      </c>
      <c r="AA3" s="229">
        <v>0</v>
      </c>
      <c r="AB3" s="229">
        <v>0</v>
      </c>
      <c r="AC3" s="229">
        <v>0</v>
      </c>
      <c r="AD3" s="229">
        <f>SUM(Y3:AC3)</f>
        <v>54.814303526</v>
      </c>
      <c r="AE3" s="253"/>
      <c r="AF3" s="229">
        <f>+PROYECCIONES!G109</f>
        <v>58.10316173756001</v>
      </c>
      <c r="AG3" s="229">
        <v>0</v>
      </c>
      <c r="AH3" s="229">
        <v>0</v>
      </c>
      <c r="AI3" s="229">
        <v>0</v>
      </c>
      <c r="AJ3" s="229">
        <v>0</v>
      </c>
      <c r="AK3" s="229">
        <f>SUM(AF3:AJ3)</f>
        <v>58.10316173756001</v>
      </c>
    </row>
    <row r="4" spans="1:37" s="32" customFormat="1" ht="16.5" customHeight="1">
      <c r="A4" s="307" t="s">
        <v>35</v>
      </c>
      <c r="B4" s="307" t="s">
        <v>47</v>
      </c>
      <c r="C4" s="307" t="s">
        <v>0</v>
      </c>
      <c r="D4" s="307" t="s">
        <v>2</v>
      </c>
      <c r="E4" s="307" t="s">
        <v>39</v>
      </c>
      <c r="F4" s="307" t="s">
        <v>37</v>
      </c>
      <c r="G4" s="307" t="s">
        <v>10</v>
      </c>
      <c r="H4" s="307" t="s">
        <v>45</v>
      </c>
      <c r="I4" s="307" t="s">
        <v>266</v>
      </c>
      <c r="J4" s="450"/>
      <c r="K4" s="354">
        <v>2012</v>
      </c>
      <c r="L4" s="354"/>
      <c r="M4" s="354"/>
      <c r="N4" s="354"/>
      <c r="O4" s="354"/>
      <c r="P4" s="354"/>
      <c r="Q4" s="450"/>
      <c r="R4" s="354">
        <v>2013</v>
      </c>
      <c r="S4" s="354"/>
      <c r="T4" s="354"/>
      <c r="U4" s="354"/>
      <c r="V4" s="354"/>
      <c r="W4" s="354"/>
      <c r="X4" s="450"/>
      <c r="Y4" s="354">
        <v>2014</v>
      </c>
      <c r="Z4" s="354"/>
      <c r="AA4" s="354"/>
      <c r="AB4" s="354"/>
      <c r="AC4" s="354"/>
      <c r="AD4" s="354"/>
      <c r="AE4" s="450"/>
      <c r="AF4" s="354">
        <v>2015</v>
      </c>
      <c r="AG4" s="354"/>
      <c r="AH4" s="354"/>
      <c r="AI4" s="354"/>
      <c r="AJ4" s="354"/>
      <c r="AK4" s="354"/>
    </row>
    <row r="5" spans="1:37" s="32" customFormat="1" ht="12.75">
      <c r="A5" s="308"/>
      <c r="B5" s="308"/>
      <c r="C5" s="308"/>
      <c r="D5" s="308"/>
      <c r="E5" s="308"/>
      <c r="F5" s="308"/>
      <c r="G5" s="308"/>
      <c r="H5" s="308"/>
      <c r="I5" s="307"/>
      <c r="J5" s="450"/>
      <c r="K5" s="28" t="s">
        <v>40</v>
      </c>
      <c r="L5" s="29" t="s">
        <v>41</v>
      </c>
      <c r="M5" s="28" t="s">
        <v>42</v>
      </c>
      <c r="N5" s="28" t="s">
        <v>43</v>
      </c>
      <c r="O5" s="28" t="s">
        <v>1</v>
      </c>
      <c r="P5" s="28" t="s">
        <v>44</v>
      </c>
      <c r="Q5" s="450"/>
      <c r="R5" s="28" t="s">
        <v>40</v>
      </c>
      <c r="S5" s="29" t="s">
        <v>41</v>
      </c>
      <c r="T5" s="28" t="s">
        <v>42</v>
      </c>
      <c r="U5" s="28" t="s">
        <v>43</v>
      </c>
      <c r="V5" s="28" t="s">
        <v>1</v>
      </c>
      <c r="W5" s="28" t="s">
        <v>44</v>
      </c>
      <c r="X5" s="450"/>
      <c r="Y5" s="28" t="s">
        <v>40</v>
      </c>
      <c r="Z5" s="29" t="s">
        <v>41</v>
      </c>
      <c r="AA5" s="28" t="s">
        <v>42</v>
      </c>
      <c r="AB5" s="28" t="s">
        <v>43</v>
      </c>
      <c r="AC5" s="28" t="s">
        <v>1</v>
      </c>
      <c r="AD5" s="28" t="s">
        <v>44</v>
      </c>
      <c r="AE5" s="450"/>
      <c r="AF5" s="28" t="s">
        <v>40</v>
      </c>
      <c r="AG5" s="29" t="s">
        <v>41</v>
      </c>
      <c r="AH5" s="28" t="s">
        <v>42</v>
      </c>
      <c r="AI5" s="28" t="s">
        <v>43</v>
      </c>
      <c r="AJ5" s="28" t="s">
        <v>1</v>
      </c>
      <c r="AK5" s="28" t="s">
        <v>44</v>
      </c>
    </row>
    <row r="6" spans="1:37" ht="51">
      <c r="A6" s="389" t="s">
        <v>51</v>
      </c>
      <c r="B6" s="389" t="s">
        <v>54</v>
      </c>
      <c r="C6" s="359" t="s">
        <v>55</v>
      </c>
      <c r="D6" s="296" t="s">
        <v>323</v>
      </c>
      <c r="E6" s="20" t="s">
        <v>338</v>
      </c>
      <c r="F6" s="20" t="s">
        <v>324</v>
      </c>
      <c r="G6" s="20" t="s">
        <v>339</v>
      </c>
      <c r="H6" s="31">
        <f>+P6+W6+AD6+AK6</f>
        <v>9.756907000000002</v>
      </c>
      <c r="I6" s="121"/>
      <c r="J6" s="172"/>
      <c r="K6" s="30">
        <f>+K3*0.2</f>
        <v>9.756907000000002</v>
      </c>
      <c r="L6" s="30"/>
      <c r="M6" s="30"/>
      <c r="N6" s="30"/>
      <c r="O6" s="30"/>
      <c r="P6" s="30">
        <f aca="true" t="shared" si="2" ref="P6:P16">SUM(K6:O6)</f>
        <v>9.756907000000002</v>
      </c>
      <c r="Q6" s="172"/>
      <c r="R6" s="30">
        <v>0</v>
      </c>
      <c r="S6" s="30">
        <v>0</v>
      </c>
      <c r="T6" s="30"/>
      <c r="U6" s="30"/>
      <c r="V6" s="30"/>
      <c r="W6" s="30">
        <f aca="true" t="shared" si="3" ref="W6:W16">SUM(R6:V6)</f>
        <v>0</v>
      </c>
      <c r="X6" s="172"/>
      <c r="Y6" s="30">
        <v>0</v>
      </c>
      <c r="Z6" s="30"/>
      <c r="AA6" s="30">
        <v>0</v>
      </c>
      <c r="AB6" s="30"/>
      <c r="AC6" s="30"/>
      <c r="AD6" s="30">
        <f aca="true" t="shared" si="4" ref="AD6:AD16">SUM(Y6:AC6)</f>
        <v>0</v>
      </c>
      <c r="AE6" s="172"/>
      <c r="AF6" s="30">
        <v>0</v>
      </c>
      <c r="AG6" s="30"/>
      <c r="AH6" s="30"/>
      <c r="AI6" s="30">
        <v>0</v>
      </c>
      <c r="AJ6" s="30"/>
      <c r="AK6" s="30">
        <f aca="true" t="shared" si="5" ref="AK6:AK16">SUM(AF6:AJ6)</f>
        <v>0</v>
      </c>
    </row>
    <row r="7" spans="1:37" ht="67.5" customHeight="1">
      <c r="A7" s="453"/>
      <c r="B7" s="453"/>
      <c r="C7" s="453"/>
      <c r="D7" s="452"/>
      <c r="E7" s="346" t="s">
        <v>340</v>
      </c>
      <c r="F7" s="20" t="s">
        <v>341</v>
      </c>
      <c r="G7" s="20" t="s">
        <v>342</v>
      </c>
      <c r="H7" s="31">
        <f>+P7+W7+AD7+AK7</f>
        <v>40.855174736356005</v>
      </c>
      <c r="I7" s="122"/>
      <c r="J7" s="173"/>
      <c r="K7" s="30">
        <f>+K3*0.5</f>
        <v>24.392267500000003</v>
      </c>
      <c r="L7" s="30"/>
      <c r="M7" s="30"/>
      <c r="N7" s="30"/>
      <c r="O7" s="30"/>
      <c r="P7" s="30">
        <f t="shared" si="2"/>
        <v>24.392267500000003</v>
      </c>
      <c r="Q7" s="173"/>
      <c r="R7" s="30">
        <f>+R3*0.1</f>
        <v>5.171160710000001</v>
      </c>
      <c r="S7" s="30"/>
      <c r="T7" s="30"/>
      <c r="U7" s="30"/>
      <c r="V7" s="30"/>
      <c r="W7" s="30">
        <f t="shared" si="3"/>
        <v>5.171160710000001</v>
      </c>
      <c r="X7" s="173"/>
      <c r="Y7" s="30">
        <f>+Y3*0.1</f>
        <v>5.4814303526</v>
      </c>
      <c r="Z7" s="30"/>
      <c r="AA7" s="30"/>
      <c r="AB7" s="30"/>
      <c r="AC7" s="30"/>
      <c r="AD7" s="30">
        <f t="shared" si="4"/>
        <v>5.4814303526</v>
      </c>
      <c r="AE7" s="173"/>
      <c r="AF7" s="30">
        <f>+AF3*0.1</f>
        <v>5.810316173756001</v>
      </c>
      <c r="AG7" s="30"/>
      <c r="AH7" s="30"/>
      <c r="AI7" s="30"/>
      <c r="AJ7" s="30"/>
      <c r="AK7" s="30">
        <f t="shared" si="5"/>
        <v>5.810316173756001</v>
      </c>
    </row>
    <row r="8" spans="1:37" ht="63.75">
      <c r="A8" s="453"/>
      <c r="B8" s="453"/>
      <c r="C8" s="453"/>
      <c r="D8" s="452"/>
      <c r="E8" s="346"/>
      <c r="F8" s="20" t="s">
        <v>343</v>
      </c>
      <c r="G8" s="20" t="s">
        <v>344</v>
      </c>
      <c r="H8" s="31">
        <f>+P8+W8+AD8+AK8</f>
        <v>0</v>
      </c>
      <c r="I8" s="123"/>
      <c r="J8" s="174"/>
      <c r="K8" s="30">
        <v>0</v>
      </c>
      <c r="L8" s="30"/>
      <c r="M8" s="30"/>
      <c r="N8" s="30"/>
      <c r="O8" s="30"/>
      <c r="P8" s="30">
        <f>SUM(K8:O8)</f>
        <v>0</v>
      </c>
      <c r="Q8" s="174"/>
      <c r="R8" s="30">
        <v>0</v>
      </c>
      <c r="S8" s="30"/>
      <c r="T8" s="30"/>
      <c r="U8" s="30"/>
      <c r="V8" s="30"/>
      <c r="W8" s="30">
        <f>SUM(R8:V8)</f>
        <v>0</v>
      </c>
      <c r="X8" s="174"/>
      <c r="Y8" s="30">
        <v>0</v>
      </c>
      <c r="Z8" s="30"/>
      <c r="AA8" s="30"/>
      <c r="AB8" s="30"/>
      <c r="AC8" s="30"/>
      <c r="AD8" s="30">
        <f>SUM(Y8:AC8)</f>
        <v>0</v>
      </c>
      <c r="AE8" s="174"/>
      <c r="AF8" s="30">
        <v>0</v>
      </c>
      <c r="AG8" s="30"/>
      <c r="AH8" s="30"/>
      <c r="AI8" s="30"/>
      <c r="AJ8" s="30"/>
      <c r="AK8" s="30">
        <f>SUM(AF8:AJ8)</f>
        <v>0</v>
      </c>
    </row>
    <row r="9" spans="1:37" s="167" customFormat="1" ht="12.75">
      <c r="A9" s="453"/>
      <c r="B9" s="453"/>
      <c r="C9" s="453"/>
      <c r="D9" s="166"/>
      <c r="E9" s="166"/>
      <c r="F9" s="166"/>
      <c r="G9" s="170" t="s">
        <v>235</v>
      </c>
      <c r="H9" s="168">
        <f>SUM(H6:H8)</f>
        <v>50.612081736356004</v>
      </c>
      <c r="I9" s="169">
        <f>+H9/H19</f>
        <v>0.23715489542396406</v>
      </c>
      <c r="J9" s="175"/>
      <c r="K9" s="168">
        <f aca="true" t="shared" si="6" ref="K9:AK9">SUM(K6:K8)</f>
        <v>34.1491745</v>
      </c>
      <c r="L9" s="168">
        <f t="shared" si="6"/>
        <v>0</v>
      </c>
      <c r="M9" s="168">
        <f t="shared" si="6"/>
        <v>0</v>
      </c>
      <c r="N9" s="168">
        <f t="shared" si="6"/>
        <v>0</v>
      </c>
      <c r="O9" s="168">
        <f t="shared" si="6"/>
        <v>0</v>
      </c>
      <c r="P9" s="168">
        <f t="shared" si="6"/>
        <v>34.1491745</v>
      </c>
      <c r="Q9" s="175"/>
      <c r="R9" s="168">
        <f t="shared" si="6"/>
        <v>5.171160710000001</v>
      </c>
      <c r="S9" s="168">
        <f t="shared" si="6"/>
        <v>0</v>
      </c>
      <c r="T9" s="168">
        <f t="shared" si="6"/>
        <v>0</v>
      </c>
      <c r="U9" s="168">
        <f t="shared" si="6"/>
        <v>0</v>
      </c>
      <c r="V9" s="168">
        <f t="shared" si="6"/>
        <v>0</v>
      </c>
      <c r="W9" s="168">
        <f t="shared" si="6"/>
        <v>5.171160710000001</v>
      </c>
      <c r="X9" s="175"/>
      <c r="Y9" s="168">
        <f t="shared" si="6"/>
        <v>5.4814303526</v>
      </c>
      <c r="Z9" s="168">
        <f t="shared" si="6"/>
        <v>0</v>
      </c>
      <c r="AA9" s="168">
        <f t="shared" si="6"/>
        <v>0</v>
      </c>
      <c r="AB9" s="168">
        <f t="shared" si="6"/>
        <v>0</v>
      </c>
      <c r="AC9" s="168">
        <f t="shared" si="6"/>
        <v>0</v>
      </c>
      <c r="AD9" s="168">
        <f t="shared" si="6"/>
        <v>5.4814303526</v>
      </c>
      <c r="AE9" s="175"/>
      <c r="AF9" s="168">
        <f t="shared" si="6"/>
        <v>5.810316173756001</v>
      </c>
      <c r="AG9" s="168">
        <f t="shared" si="6"/>
        <v>0</v>
      </c>
      <c r="AH9" s="168">
        <f t="shared" si="6"/>
        <v>0</v>
      </c>
      <c r="AI9" s="168">
        <f t="shared" si="6"/>
        <v>0</v>
      </c>
      <c r="AJ9" s="168">
        <f t="shared" si="6"/>
        <v>0</v>
      </c>
      <c r="AK9" s="168">
        <f t="shared" si="6"/>
        <v>5.810316173756001</v>
      </c>
    </row>
    <row r="10" spans="1:3" ht="4.5" customHeight="1">
      <c r="A10" s="453"/>
      <c r="B10" s="453"/>
      <c r="C10" s="453"/>
    </row>
    <row r="11" spans="1:37" ht="25.5" customHeight="1">
      <c r="A11" s="453"/>
      <c r="B11" s="453"/>
      <c r="C11" s="453"/>
      <c r="D11" s="382" t="s">
        <v>221</v>
      </c>
      <c r="E11" s="20" t="s">
        <v>327</v>
      </c>
      <c r="F11" s="20" t="s">
        <v>328</v>
      </c>
      <c r="G11" s="20" t="s">
        <v>329</v>
      </c>
      <c r="H11" s="31">
        <f aca="true" t="shared" si="7" ref="H11:H16">+P11+W11+AD11+AK11</f>
        <v>0</v>
      </c>
      <c r="I11" s="121"/>
      <c r="J11" s="172"/>
      <c r="K11" s="30">
        <v>0</v>
      </c>
      <c r="L11" s="30"/>
      <c r="M11" s="30"/>
      <c r="N11" s="30"/>
      <c r="O11" s="30"/>
      <c r="P11" s="30">
        <f t="shared" si="2"/>
        <v>0</v>
      </c>
      <c r="Q11" s="172"/>
      <c r="R11" s="30">
        <v>0</v>
      </c>
      <c r="S11" s="30"/>
      <c r="T11" s="30"/>
      <c r="U11" s="30"/>
      <c r="V11" s="30"/>
      <c r="W11" s="30">
        <f t="shared" si="3"/>
        <v>0</v>
      </c>
      <c r="X11" s="172"/>
      <c r="Y11" s="30">
        <v>0</v>
      </c>
      <c r="Z11" s="30"/>
      <c r="AA11" s="30"/>
      <c r="AB11" s="30"/>
      <c r="AC11" s="30"/>
      <c r="AD11" s="30">
        <f t="shared" si="4"/>
        <v>0</v>
      </c>
      <c r="AE11" s="172"/>
      <c r="AF11" s="30">
        <v>0</v>
      </c>
      <c r="AG11" s="30"/>
      <c r="AH11" s="30"/>
      <c r="AI11" s="30"/>
      <c r="AJ11" s="30"/>
      <c r="AK11" s="30">
        <f t="shared" si="5"/>
        <v>0</v>
      </c>
    </row>
    <row r="12" spans="1:37" ht="25.5">
      <c r="A12" s="453"/>
      <c r="B12" s="453"/>
      <c r="C12" s="453"/>
      <c r="D12" s="451"/>
      <c r="E12" s="20" t="s">
        <v>330</v>
      </c>
      <c r="F12" s="20" t="s">
        <v>331</v>
      </c>
      <c r="G12" s="20" t="s">
        <v>330</v>
      </c>
      <c r="H12" s="31">
        <f t="shared" si="7"/>
        <v>0</v>
      </c>
      <c r="I12" s="122"/>
      <c r="J12" s="173"/>
      <c r="K12" s="30">
        <v>0</v>
      </c>
      <c r="L12" s="30"/>
      <c r="M12" s="30"/>
      <c r="N12" s="30"/>
      <c r="O12" s="30"/>
      <c r="P12" s="30">
        <f>SUM(K12:O12)</f>
        <v>0</v>
      </c>
      <c r="Q12" s="173"/>
      <c r="R12" s="30">
        <v>0</v>
      </c>
      <c r="S12" s="30"/>
      <c r="T12" s="30"/>
      <c r="U12" s="30"/>
      <c r="V12" s="30"/>
      <c r="W12" s="30">
        <f>SUM(R12:V12)</f>
        <v>0</v>
      </c>
      <c r="X12" s="173"/>
      <c r="Y12" s="30">
        <v>0</v>
      </c>
      <c r="Z12" s="30"/>
      <c r="AA12" s="30"/>
      <c r="AB12" s="30"/>
      <c r="AC12" s="30"/>
      <c r="AD12" s="30">
        <f>SUM(Y12:AC12)</f>
        <v>0</v>
      </c>
      <c r="AE12" s="173"/>
      <c r="AF12" s="30">
        <v>0</v>
      </c>
      <c r="AG12" s="30"/>
      <c r="AH12" s="30"/>
      <c r="AI12" s="30"/>
      <c r="AJ12" s="30"/>
      <c r="AK12" s="30">
        <f>SUM(AF12:AJ12)</f>
        <v>0</v>
      </c>
    </row>
    <row r="13" spans="1:37" ht="25.5">
      <c r="A13" s="453"/>
      <c r="B13" s="453"/>
      <c r="C13" s="453"/>
      <c r="D13" s="451"/>
      <c r="E13" s="20" t="s">
        <v>332</v>
      </c>
      <c r="F13" s="20" t="s">
        <v>333</v>
      </c>
      <c r="G13" s="20" t="s">
        <v>142</v>
      </c>
      <c r="H13" s="31">
        <f t="shared" si="7"/>
        <v>42.682721472712004</v>
      </c>
      <c r="I13" s="122"/>
      <c r="J13" s="173"/>
      <c r="K13" s="30">
        <f>+K3*0.2</f>
        <v>9.756907000000002</v>
      </c>
      <c r="L13" s="30"/>
      <c r="M13" s="30"/>
      <c r="N13" s="30"/>
      <c r="O13" s="30"/>
      <c r="P13" s="30">
        <f t="shared" si="2"/>
        <v>9.756907000000002</v>
      </c>
      <c r="Q13" s="173"/>
      <c r="R13" s="30">
        <f>+R3*0.2</f>
        <v>10.342321420000003</v>
      </c>
      <c r="S13" s="30"/>
      <c r="T13" s="30"/>
      <c r="U13" s="30"/>
      <c r="V13" s="30"/>
      <c r="W13" s="30">
        <f t="shared" si="3"/>
        <v>10.342321420000003</v>
      </c>
      <c r="X13" s="173"/>
      <c r="Y13" s="30">
        <f>+Y3*0.2</f>
        <v>10.9628607052</v>
      </c>
      <c r="Z13" s="30"/>
      <c r="AA13" s="30"/>
      <c r="AB13" s="30"/>
      <c r="AC13" s="30"/>
      <c r="AD13" s="30">
        <f t="shared" si="4"/>
        <v>10.9628607052</v>
      </c>
      <c r="AE13" s="173"/>
      <c r="AF13" s="30">
        <f>+AF3*0.2</f>
        <v>11.620632347512002</v>
      </c>
      <c r="AG13" s="30"/>
      <c r="AH13" s="30"/>
      <c r="AI13" s="30"/>
      <c r="AJ13" s="30"/>
      <c r="AK13" s="30">
        <f t="shared" si="5"/>
        <v>11.620632347512002</v>
      </c>
    </row>
    <row r="14" spans="1:37" ht="51">
      <c r="A14" s="453"/>
      <c r="B14" s="453"/>
      <c r="C14" s="453"/>
      <c r="D14" s="451"/>
      <c r="E14" s="20" t="s">
        <v>334</v>
      </c>
      <c r="F14" s="20" t="s">
        <v>325</v>
      </c>
      <c r="G14" s="20" t="s">
        <v>335</v>
      </c>
      <c r="H14" s="31">
        <f t="shared" si="7"/>
        <v>82.31453618178001</v>
      </c>
      <c r="I14" s="122"/>
      <c r="J14" s="173"/>
      <c r="K14" s="30">
        <v>0</v>
      </c>
      <c r="L14" s="30"/>
      <c r="M14" s="30"/>
      <c r="N14" s="30"/>
      <c r="O14" s="30"/>
      <c r="P14" s="30">
        <f t="shared" si="2"/>
        <v>0</v>
      </c>
      <c r="Q14" s="173"/>
      <c r="R14" s="30">
        <f>+R3*0.5</f>
        <v>25.855803550000005</v>
      </c>
      <c r="S14" s="30"/>
      <c r="T14" s="30"/>
      <c r="U14" s="30"/>
      <c r="V14" s="30"/>
      <c r="W14" s="30">
        <f t="shared" si="3"/>
        <v>25.855803550000005</v>
      </c>
      <c r="X14" s="173"/>
      <c r="Y14" s="30">
        <f>+Y3*0.5</f>
        <v>27.407151763</v>
      </c>
      <c r="Z14" s="30"/>
      <c r="AA14" s="30"/>
      <c r="AB14" s="30"/>
      <c r="AC14" s="30"/>
      <c r="AD14" s="30">
        <f t="shared" si="4"/>
        <v>27.407151763</v>
      </c>
      <c r="AE14" s="173"/>
      <c r="AF14" s="30">
        <f>+AF3*0.5</f>
        <v>29.051580868780004</v>
      </c>
      <c r="AG14" s="30"/>
      <c r="AH14" s="30"/>
      <c r="AI14" s="30"/>
      <c r="AJ14" s="30"/>
      <c r="AK14" s="30">
        <f t="shared" si="5"/>
        <v>29.051580868780004</v>
      </c>
    </row>
    <row r="15" spans="1:37" ht="38.25">
      <c r="A15" s="453"/>
      <c r="B15" s="453"/>
      <c r="C15" s="453"/>
      <c r="D15" s="451"/>
      <c r="E15" s="20" t="s">
        <v>635</v>
      </c>
      <c r="F15" s="20" t="s">
        <v>636</v>
      </c>
      <c r="G15" s="20" t="s">
        <v>637</v>
      </c>
      <c r="H15" s="31">
        <f t="shared" si="7"/>
        <v>4.878453500000001</v>
      </c>
      <c r="I15" s="122"/>
      <c r="J15" s="174"/>
      <c r="K15" s="30">
        <f>+K3*0.1</f>
        <v>4.878453500000001</v>
      </c>
      <c r="L15" s="30"/>
      <c r="M15" s="30"/>
      <c r="N15" s="30"/>
      <c r="O15" s="30"/>
      <c r="P15" s="30">
        <f>SUM(K15:O15)</f>
        <v>4.878453500000001</v>
      </c>
      <c r="Q15" s="174"/>
      <c r="R15" s="30">
        <v>0</v>
      </c>
      <c r="S15" s="30"/>
      <c r="T15" s="30"/>
      <c r="U15" s="30"/>
      <c r="V15" s="30"/>
      <c r="W15" s="30">
        <f>SUM(R15:V15)</f>
        <v>0</v>
      </c>
      <c r="X15" s="174"/>
      <c r="Y15" s="30">
        <v>0</v>
      </c>
      <c r="Z15" s="30"/>
      <c r="AA15" s="30"/>
      <c r="AB15" s="30"/>
      <c r="AC15" s="30"/>
      <c r="AD15" s="30">
        <f>SUM(Y15:AC15)</f>
        <v>0</v>
      </c>
      <c r="AE15" s="174"/>
      <c r="AF15" s="30">
        <v>0</v>
      </c>
      <c r="AG15" s="30"/>
      <c r="AH15" s="30"/>
      <c r="AI15" s="30"/>
      <c r="AJ15" s="30"/>
      <c r="AK15" s="30">
        <f>SUM(AF15:AJ15)</f>
        <v>0</v>
      </c>
    </row>
    <row r="16" spans="1:37" ht="38.25">
      <c r="A16" s="453"/>
      <c r="B16" s="453"/>
      <c r="C16" s="453"/>
      <c r="D16" s="447"/>
      <c r="E16" s="20" t="s">
        <v>336</v>
      </c>
      <c r="F16" s="20" t="s">
        <v>326</v>
      </c>
      <c r="G16" s="20" t="s">
        <v>337</v>
      </c>
      <c r="H16" s="31">
        <f t="shared" si="7"/>
        <v>32.925814472712005</v>
      </c>
      <c r="I16" s="123"/>
      <c r="J16" s="174"/>
      <c r="K16" s="30">
        <v>0</v>
      </c>
      <c r="L16" s="30"/>
      <c r="M16" s="30"/>
      <c r="N16" s="30"/>
      <c r="O16" s="30"/>
      <c r="P16" s="30">
        <f t="shared" si="2"/>
        <v>0</v>
      </c>
      <c r="Q16" s="174"/>
      <c r="R16" s="30">
        <f>+R3*0.2</f>
        <v>10.342321420000003</v>
      </c>
      <c r="S16" s="30"/>
      <c r="T16" s="30"/>
      <c r="U16" s="30"/>
      <c r="V16" s="30"/>
      <c r="W16" s="30">
        <f t="shared" si="3"/>
        <v>10.342321420000003</v>
      </c>
      <c r="X16" s="174"/>
      <c r="Y16" s="30">
        <f>+Y3*0.2</f>
        <v>10.9628607052</v>
      </c>
      <c r="Z16" s="30"/>
      <c r="AA16" s="30"/>
      <c r="AB16" s="30"/>
      <c r="AC16" s="30"/>
      <c r="AD16" s="30">
        <f t="shared" si="4"/>
        <v>10.9628607052</v>
      </c>
      <c r="AE16" s="174"/>
      <c r="AF16" s="30">
        <f>+AF3*0.2</f>
        <v>11.620632347512002</v>
      </c>
      <c r="AG16" s="30"/>
      <c r="AH16" s="30"/>
      <c r="AI16" s="30"/>
      <c r="AJ16" s="30"/>
      <c r="AK16" s="30">
        <f t="shared" si="5"/>
        <v>11.620632347512002</v>
      </c>
    </row>
    <row r="17" spans="1:37" s="167" customFormat="1" ht="12.75">
      <c r="A17" s="166"/>
      <c r="B17" s="166"/>
      <c r="D17" s="166"/>
      <c r="E17" s="166"/>
      <c r="F17" s="166"/>
      <c r="G17" s="170" t="s">
        <v>235</v>
      </c>
      <c r="H17" s="168">
        <f>SUM(H11:H16)</f>
        <v>162.80152562720403</v>
      </c>
      <c r="I17" s="169">
        <f>+H17/H19</f>
        <v>0.7628451045760359</v>
      </c>
      <c r="J17" s="175"/>
      <c r="K17" s="168">
        <f aca="true" t="shared" si="8" ref="K17:AK17">SUM(K11:K16)</f>
        <v>14.635360500000003</v>
      </c>
      <c r="L17" s="168">
        <f t="shared" si="8"/>
        <v>0</v>
      </c>
      <c r="M17" s="168">
        <f t="shared" si="8"/>
        <v>0</v>
      </c>
      <c r="N17" s="168">
        <f t="shared" si="8"/>
        <v>0</v>
      </c>
      <c r="O17" s="168">
        <f t="shared" si="8"/>
        <v>0</v>
      </c>
      <c r="P17" s="168">
        <f>SUM(P11:P16)</f>
        <v>14.635360500000003</v>
      </c>
      <c r="Q17" s="175"/>
      <c r="R17" s="168">
        <f t="shared" si="8"/>
        <v>46.540446390000014</v>
      </c>
      <c r="S17" s="168">
        <f t="shared" si="8"/>
        <v>0</v>
      </c>
      <c r="T17" s="168">
        <f t="shared" si="8"/>
        <v>0</v>
      </c>
      <c r="U17" s="168">
        <f t="shared" si="8"/>
        <v>0</v>
      </c>
      <c r="V17" s="168">
        <f t="shared" si="8"/>
        <v>0</v>
      </c>
      <c r="W17" s="168">
        <f t="shared" si="8"/>
        <v>46.540446390000014</v>
      </c>
      <c r="X17" s="175"/>
      <c r="Y17" s="168">
        <f t="shared" si="8"/>
        <v>49.3328731734</v>
      </c>
      <c r="Z17" s="168">
        <f t="shared" si="8"/>
        <v>0</v>
      </c>
      <c r="AA17" s="168">
        <f t="shared" si="8"/>
        <v>0</v>
      </c>
      <c r="AB17" s="168">
        <f t="shared" si="8"/>
        <v>0</v>
      </c>
      <c r="AC17" s="168">
        <f t="shared" si="8"/>
        <v>0</v>
      </c>
      <c r="AD17" s="168">
        <f t="shared" si="8"/>
        <v>49.3328731734</v>
      </c>
      <c r="AE17" s="175"/>
      <c r="AF17" s="168">
        <f t="shared" si="8"/>
        <v>52.29284556380401</v>
      </c>
      <c r="AG17" s="168">
        <f t="shared" si="8"/>
        <v>0</v>
      </c>
      <c r="AH17" s="168">
        <f t="shared" si="8"/>
        <v>0</v>
      </c>
      <c r="AI17" s="168">
        <f t="shared" si="8"/>
        <v>0</v>
      </c>
      <c r="AJ17" s="168">
        <f t="shared" si="8"/>
        <v>0</v>
      </c>
      <c r="AK17" s="168">
        <f t="shared" si="8"/>
        <v>52.29284556380401</v>
      </c>
    </row>
    <row r="18" spans="11:37" ht="4.5" customHeight="1">
      <c r="K18" s="165"/>
      <c r="L18" s="165"/>
      <c r="M18" s="165"/>
      <c r="N18" s="165"/>
      <c r="O18" s="165"/>
      <c r="P18" s="165"/>
      <c r="R18" s="165"/>
      <c r="S18" s="165"/>
      <c r="T18" s="165"/>
      <c r="U18" s="165"/>
      <c r="V18" s="165"/>
      <c r="W18" s="165"/>
      <c r="Y18" s="165"/>
      <c r="Z18" s="165"/>
      <c r="AA18" s="165"/>
      <c r="AB18" s="165"/>
      <c r="AC18" s="165"/>
      <c r="AD18" s="165"/>
      <c r="AF18" s="165"/>
      <c r="AG18" s="165"/>
      <c r="AH18" s="165"/>
      <c r="AI18" s="165"/>
      <c r="AJ18" s="165"/>
      <c r="AK18" s="165"/>
    </row>
    <row r="19" spans="7:37" ht="12.75">
      <c r="G19" s="96" t="s">
        <v>44</v>
      </c>
      <c r="H19" s="168">
        <f>+H17+H9</f>
        <v>213.41360736356003</v>
      </c>
      <c r="I19" s="169">
        <f>+I17+I9</f>
        <v>1</v>
      </c>
      <c r="J19" s="175"/>
      <c r="K19" s="168">
        <f aca="true" t="shared" si="9" ref="K19:AK19">+K17+K9</f>
        <v>48.784535000000005</v>
      </c>
      <c r="L19" s="168">
        <f t="shared" si="9"/>
        <v>0</v>
      </c>
      <c r="M19" s="168">
        <f t="shared" si="9"/>
        <v>0</v>
      </c>
      <c r="N19" s="168">
        <f t="shared" si="9"/>
        <v>0</v>
      </c>
      <c r="O19" s="168">
        <f t="shared" si="9"/>
        <v>0</v>
      </c>
      <c r="P19" s="168">
        <f t="shared" si="9"/>
        <v>48.784535000000005</v>
      </c>
      <c r="Q19" s="175"/>
      <c r="R19" s="168">
        <f t="shared" si="9"/>
        <v>51.711607100000016</v>
      </c>
      <c r="S19" s="168">
        <f t="shared" si="9"/>
        <v>0</v>
      </c>
      <c r="T19" s="168">
        <f t="shared" si="9"/>
        <v>0</v>
      </c>
      <c r="U19" s="168">
        <f t="shared" si="9"/>
        <v>0</v>
      </c>
      <c r="V19" s="168">
        <f t="shared" si="9"/>
        <v>0</v>
      </c>
      <c r="W19" s="168">
        <f t="shared" si="9"/>
        <v>51.711607100000016</v>
      </c>
      <c r="X19" s="175"/>
      <c r="Y19" s="168">
        <f t="shared" si="9"/>
        <v>54.814303526</v>
      </c>
      <c r="Z19" s="168">
        <f t="shared" si="9"/>
        <v>0</v>
      </c>
      <c r="AA19" s="168">
        <f t="shared" si="9"/>
        <v>0</v>
      </c>
      <c r="AB19" s="168">
        <f t="shared" si="9"/>
        <v>0</v>
      </c>
      <c r="AC19" s="168">
        <f t="shared" si="9"/>
        <v>0</v>
      </c>
      <c r="AD19" s="168">
        <f t="shared" si="9"/>
        <v>54.814303526</v>
      </c>
      <c r="AE19" s="175"/>
      <c r="AF19" s="168">
        <f t="shared" si="9"/>
        <v>58.10316173756001</v>
      </c>
      <c r="AG19" s="168">
        <f t="shared" si="9"/>
        <v>0</v>
      </c>
      <c r="AH19" s="168">
        <f t="shared" si="9"/>
        <v>0</v>
      </c>
      <c r="AI19" s="168">
        <f t="shared" si="9"/>
        <v>0</v>
      </c>
      <c r="AJ19" s="168">
        <f t="shared" si="9"/>
        <v>0</v>
      </c>
      <c r="AK19" s="168">
        <f t="shared" si="9"/>
        <v>58.10316173756001</v>
      </c>
    </row>
  </sheetData>
  <sheetProtection/>
  <mergeCells count="26">
    <mergeCell ref="B1:G1"/>
    <mergeCell ref="B2:G2"/>
    <mergeCell ref="B3:G3"/>
    <mergeCell ref="A4:A5"/>
    <mergeCell ref="B4:B5"/>
    <mergeCell ref="C4:C5"/>
    <mergeCell ref="D4:D5"/>
    <mergeCell ref="B6:B16"/>
    <mergeCell ref="A6:A16"/>
    <mergeCell ref="E7:E8"/>
    <mergeCell ref="Y4:AD4"/>
    <mergeCell ref="AF4:AK4"/>
    <mergeCell ref="F4:F5"/>
    <mergeCell ref="E4:E5"/>
    <mergeCell ref="G4:G5"/>
    <mergeCell ref="H4:H5"/>
    <mergeCell ref="K4:P4"/>
    <mergeCell ref="Q4:Q5"/>
    <mergeCell ref="X4:X5"/>
    <mergeCell ref="AE4:AE5"/>
    <mergeCell ref="D11:D16"/>
    <mergeCell ref="D6:D8"/>
    <mergeCell ref="C6:C16"/>
    <mergeCell ref="R4:W4"/>
    <mergeCell ref="I4:I5"/>
    <mergeCell ref="J4:J5"/>
  </mergeCells>
  <conditionalFormatting sqref="K1:P1 R1:W1 Y1:AD1 AF1:AK1">
    <cfRule type="cellIs" priority="1" dxfId="9" operator="greaterThan" stopIfTrue="1">
      <formula>1</formula>
    </cfRule>
  </conditionalFormatting>
  <printOptions horizontalCentered="1"/>
  <pageMargins left="0.3937007874015748" right="1.1811023622047245" top="0.984251968503937" bottom="0.984251968503937" header="0.5118110236220472" footer="0.5118110236220472"/>
  <pageSetup fitToHeight="1" fitToWidth="1" horizontalDpi="600" verticalDpi="600" orientation="landscape" scale="2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20"/>
  <sheetViews>
    <sheetView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10.140625" style="3" bestFit="1" customWidth="1"/>
    <col min="2" max="2" width="8.7109375" style="18" customWidth="1"/>
    <col min="3" max="3" width="17.8515625" style="18" customWidth="1"/>
    <col min="4" max="4" width="20.140625" style="18" customWidth="1"/>
    <col min="5" max="6" width="20.7109375" style="18" customWidth="1"/>
    <col min="7" max="7" width="30.7109375" style="18" customWidth="1"/>
    <col min="8" max="8" width="11.00390625" style="19" bestFit="1" customWidth="1"/>
    <col min="9" max="9" width="7.00390625" style="269" bestFit="1" customWidth="1"/>
    <col min="10" max="10" width="1.7109375" style="269" customWidth="1"/>
    <col min="11" max="16" width="9.7109375" style="3" customWidth="1"/>
    <col min="17" max="17" width="1.7109375" style="269" customWidth="1"/>
    <col min="18" max="23" width="9.7109375" style="3" customWidth="1"/>
    <col min="24" max="24" width="1.7109375" style="269" customWidth="1"/>
    <col min="25" max="30" width="9.7109375" style="3" customWidth="1"/>
    <col min="31" max="31" width="1.7109375" style="269" customWidth="1"/>
    <col min="32" max="37" width="9.7109375" style="3" customWidth="1"/>
    <col min="38" max="16384" width="11.421875" style="3" customWidth="1"/>
  </cols>
  <sheetData>
    <row r="1" spans="2:37" s="32" customFormat="1" ht="12.75">
      <c r="B1" s="311" t="s">
        <v>134</v>
      </c>
      <c r="C1" s="311"/>
      <c r="D1" s="311"/>
      <c r="E1" s="311"/>
      <c r="F1" s="311"/>
      <c r="G1" s="311"/>
      <c r="I1" s="265"/>
      <c r="J1" s="265"/>
      <c r="K1" s="229">
        <f aca="true" t="shared" si="0" ref="K1:AK1">+K3-K2</f>
        <v>0</v>
      </c>
      <c r="L1" s="229">
        <f t="shared" si="0"/>
        <v>0</v>
      </c>
      <c r="M1" s="229">
        <f t="shared" si="0"/>
        <v>0</v>
      </c>
      <c r="N1" s="229">
        <f t="shared" si="0"/>
        <v>0</v>
      </c>
      <c r="O1" s="229">
        <f t="shared" si="0"/>
        <v>0</v>
      </c>
      <c r="P1" s="229">
        <f t="shared" si="0"/>
        <v>0</v>
      </c>
      <c r="Q1" s="276"/>
      <c r="R1" s="229">
        <f t="shared" si="0"/>
        <v>0</v>
      </c>
      <c r="S1" s="229">
        <f t="shared" si="0"/>
        <v>0</v>
      </c>
      <c r="T1" s="229">
        <f t="shared" si="0"/>
        <v>0</v>
      </c>
      <c r="U1" s="229">
        <f t="shared" si="0"/>
        <v>0</v>
      </c>
      <c r="V1" s="229">
        <f t="shared" si="0"/>
        <v>0</v>
      </c>
      <c r="W1" s="229">
        <f t="shared" si="0"/>
        <v>0</v>
      </c>
      <c r="X1" s="276"/>
      <c r="Y1" s="229">
        <f t="shared" si="0"/>
        <v>0</v>
      </c>
      <c r="Z1" s="229">
        <f t="shared" si="0"/>
        <v>0</v>
      </c>
      <c r="AA1" s="229">
        <f t="shared" si="0"/>
        <v>0</v>
      </c>
      <c r="AB1" s="229">
        <f t="shared" si="0"/>
        <v>0</v>
      </c>
      <c r="AC1" s="229">
        <f t="shared" si="0"/>
        <v>0</v>
      </c>
      <c r="AD1" s="229">
        <f t="shared" si="0"/>
        <v>0</v>
      </c>
      <c r="AE1" s="276"/>
      <c r="AF1" s="229">
        <f t="shared" si="0"/>
        <v>0</v>
      </c>
      <c r="AG1" s="229">
        <f t="shared" si="0"/>
        <v>0</v>
      </c>
      <c r="AH1" s="229">
        <f t="shared" si="0"/>
        <v>0</v>
      </c>
      <c r="AI1" s="229">
        <f t="shared" si="0"/>
        <v>0</v>
      </c>
      <c r="AJ1" s="229">
        <f t="shared" si="0"/>
        <v>0</v>
      </c>
      <c r="AK1" s="229">
        <f t="shared" si="0"/>
        <v>0</v>
      </c>
    </row>
    <row r="2" spans="2:37" s="32" customFormat="1" ht="12.75">
      <c r="B2" s="312" t="s">
        <v>137</v>
      </c>
      <c r="C2" s="312"/>
      <c r="D2" s="312"/>
      <c r="E2" s="312"/>
      <c r="F2" s="312"/>
      <c r="G2" s="312"/>
      <c r="I2" s="265"/>
      <c r="J2" s="265"/>
      <c r="K2" s="229">
        <f>+K9+K18</f>
        <v>48.784535000000005</v>
      </c>
      <c r="L2" s="229">
        <f aca="true" t="shared" si="1" ref="L2:AK2">+L9+L18</f>
        <v>0</v>
      </c>
      <c r="M2" s="229">
        <f t="shared" si="1"/>
        <v>0</v>
      </c>
      <c r="N2" s="229">
        <f t="shared" si="1"/>
        <v>0</v>
      </c>
      <c r="O2" s="229">
        <f t="shared" si="1"/>
        <v>0</v>
      </c>
      <c r="P2" s="229">
        <f t="shared" si="1"/>
        <v>48.784535000000005</v>
      </c>
      <c r="Q2" s="276"/>
      <c r="R2" s="229">
        <f t="shared" si="1"/>
        <v>51.711607100000016</v>
      </c>
      <c r="S2" s="229">
        <f t="shared" si="1"/>
        <v>0</v>
      </c>
      <c r="T2" s="229">
        <f t="shared" si="1"/>
        <v>0</v>
      </c>
      <c r="U2" s="229">
        <f t="shared" si="1"/>
        <v>0</v>
      </c>
      <c r="V2" s="229">
        <f t="shared" si="1"/>
        <v>0</v>
      </c>
      <c r="W2" s="229">
        <f t="shared" si="1"/>
        <v>51.711607100000016</v>
      </c>
      <c r="X2" s="276"/>
      <c r="Y2" s="229">
        <f t="shared" si="1"/>
        <v>54.814303526</v>
      </c>
      <c r="Z2" s="229">
        <f t="shared" si="1"/>
        <v>0</v>
      </c>
      <c r="AA2" s="229">
        <f t="shared" si="1"/>
        <v>0</v>
      </c>
      <c r="AB2" s="229">
        <f t="shared" si="1"/>
        <v>0</v>
      </c>
      <c r="AC2" s="229">
        <f t="shared" si="1"/>
        <v>0</v>
      </c>
      <c r="AD2" s="229">
        <f t="shared" si="1"/>
        <v>54.814303526</v>
      </c>
      <c r="AE2" s="276"/>
      <c r="AF2" s="229">
        <f t="shared" si="1"/>
        <v>58.103161737560015</v>
      </c>
      <c r="AG2" s="229">
        <f t="shared" si="1"/>
        <v>0</v>
      </c>
      <c r="AH2" s="229">
        <f t="shared" si="1"/>
        <v>0</v>
      </c>
      <c r="AI2" s="229">
        <f t="shared" si="1"/>
        <v>0</v>
      </c>
      <c r="AJ2" s="229">
        <f t="shared" si="1"/>
        <v>0</v>
      </c>
      <c r="AK2" s="229">
        <f t="shared" si="1"/>
        <v>58.103161737560015</v>
      </c>
    </row>
    <row r="3" spans="2:37" s="32" customFormat="1" ht="12.75">
      <c r="B3" s="313" t="s">
        <v>136</v>
      </c>
      <c r="C3" s="313"/>
      <c r="D3" s="313"/>
      <c r="E3" s="313"/>
      <c r="F3" s="313"/>
      <c r="G3" s="313"/>
      <c r="I3" s="265"/>
      <c r="J3" s="265"/>
      <c r="K3" s="229">
        <f>+PROYECCIONES!D111</f>
        <v>48.784535000000005</v>
      </c>
      <c r="L3" s="229">
        <v>0</v>
      </c>
      <c r="M3" s="229">
        <v>0</v>
      </c>
      <c r="N3" s="229">
        <v>0</v>
      </c>
      <c r="O3" s="229">
        <v>0</v>
      </c>
      <c r="P3" s="229">
        <f>SUM(K3:O3)</f>
        <v>48.784535000000005</v>
      </c>
      <c r="Q3" s="276"/>
      <c r="R3" s="229">
        <f>+PROYECCIONES!E111</f>
        <v>51.71160710000001</v>
      </c>
      <c r="S3" s="229">
        <v>0</v>
      </c>
      <c r="T3" s="229">
        <v>0</v>
      </c>
      <c r="U3" s="229">
        <v>0</v>
      </c>
      <c r="V3" s="229">
        <v>0</v>
      </c>
      <c r="W3" s="229">
        <f>SUM(R3:V3)</f>
        <v>51.71160710000001</v>
      </c>
      <c r="X3" s="276"/>
      <c r="Y3" s="229">
        <f>+PROYECCIONES!F111</f>
        <v>54.814303526</v>
      </c>
      <c r="Z3" s="229">
        <v>0</v>
      </c>
      <c r="AA3" s="229">
        <v>0</v>
      </c>
      <c r="AB3" s="229">
        <v>0</v>
      </c>
      <c r="AC3" s="229">
        <v>0</v>
      </c>
      <c r="AD3" s="229">
        <f>SUM(Y3:AC3)</f>
        <v>54.814303526</v>
      </c>
      <c r="AE3" s="276"/>
      <c r="AF3" s="229">
        <f>+PROYECCIONES!G111</f>
        <v>58.10316173756001</v>
      </c>
      <c r="AG3" s="229">
        <v>0</v>
      </c>
      <c r="AH3" s="229">
        <v>0</v>
      </c>
      <c r="AI3" s="229">
        <v>0</v>
      </c>
      <c r="AJ3" s="229">
        <v>0</v>
      </c>
      <c r="AK3" s="229">
        <f>SUM(AF3:AJ3)</f>
        <v>58.10316173756001</v>
      </c>
    </row>
    <row r="4" spans="1:37" s="11" customFormat="1" ht="12.75">
      <c r="A4" s="391" t="s">
        <v>35</v>
      </c>
      <c r="B4" s="391" t="s">
        <v>47</v>
      </c>
      <c r="C4" s="391" t="s">
        <v>0</v>
      </c>
      <c r="D4" s="391" t="s">
        <v>2</v>
      </c>
      <c r="E4" s="391" t="s">
        <v>39</v>
      </c>
      <c r="F4" s="391" t="s">
        <v>37</v>
      </c>
      <c r="G4" s="391" t="s">
        <v>10</v>
      </c>
      <c r="H4" s="391" t="s">
        <v>45</v>
      </c>
      <c r="I4" s="395" t="s">
        <v>266</v>
      </c>
      <c r="J4" s="454"/>
      <c r="K4" s="390">
        <v>2012</v>
      </c>
      <c r="L4" s="390"/>
      <c r="M4" s="390"/>
      <c r="N4" s="390"/>
      <c r="O4" s="390"/>
      <c r="P4" s="390"/>
      <c r="Q4" s="454"/>
      <c r="R4" s="390">
        <v>2013</v>
      </c>
      <c r="S4" s="390"/>
      <c r="T4" s="390"/>
      <c r="U4" s="390"/>
      <c r="V4" s="390"/>
      <c r="W4" s="390"/>
      <c r="X4" s="454"/>
      <c r="Y4" s="390">
        <v>2014</v>
      </c>
      <c r="Z4" s="390"/>
      <c r="AA4" s="390"/>
      <c r="AB4" s="390"/>
      <c r="AC4" s="390"/>
      <c r="AD4" s="390"/>
      <c r="AE4" s="454"/>
      <c r="AF4" s="390">
        <v>2015</v>
      </c>
      <c r="AG4" s="390"/>
      <c r="AH4" s="390"/>
      <c r="AI4" s="390"/>
      <c r="AJ4" s="390"/>
      <c r="AK4" s="390"/>
    </row>
    <row r="5" spans="1:37" s="11" customFormat="1" ht="12.75">
      <c r="A5" s="392"/>
      <c r="B5" s="392"/>
      <c r="C5" s="392"/>
      <c r="D5" s="392"/>
      <c r="E5" s="420"/>
      <c r="F5" s="420"/>
      <c r="G5" s="420"/>
      <c r="H5" s="392"/>
      <c r="I5" s="459"/>
      <c r="J5" s="455"/>
      <c r="K5" s="25" t="s">
        <v>40</v>
      </c>
      <c r="L5" s="5" t="s">
        <v>41</v>
      </c>
      <c r="M5" s="25" t="s">
        <v>42</v>
      </c>
      <c r="N5" s="25" t="s">
        <v>43</v>
      </c>
      <c r="O5" s="25" t="s">
        <v>1</v>
      </c>
      <c r="P5" s="25" t="s">
        <v>44</v>
      </c>
      <c r="Q5" s="455"/>
      <c r="R5" s="25" t="s">
        <v>40</v>
      </c>
      <c r="S5" s="5" t="s">
        <v>41</v>
      </c>
      <c r="T5" s="25" t="s">
        <v>42</v>
      </c>
      <c r="U5" s="25" t="s">
        <v>43</v>
      </c>
      <c r="V5" s="25" t="s">
        <v>1</v>
      </c>
      <c r="W5" s="25" t="s">
        <v>44</v>
      </c>
      <c r="X5" s="455"/>
      <c r="Y5" s="25" t="s">
        <v>40</v>
      </c>
      <c r="Z5" s="5" t="s">
        <v>41</v>
      </c>
      <c r="AA5" s="25" t="s">
        <v>42</v>
      </c>
      <c r="AB5" s="25" t="s">
        <v>43</v>
      </c>
      <c r="AC5" s="25" t="s">
        <v>1</v>
      </c>
      <c r="AD5" s="25" t="s">
        <v>44</v>
      </c>
      <c r="AE5" s="455"/>
      <c r="AF5" s="25" t="s">
        <v>40</v>
      </c>
      <c r="AG5" s="5" t="s">
        <v>41</v>
      </c>
      <c r="AH5" s="25" t="s">
        <v>42</v>
      </c>
      <c r="AI5" s="25" t="s">
        <v>43</v>
      </c>
      <c r="AJ5" s="25" t="s">
        <v>1</v>
      </c>
      <c r="AK5" s="25" t="s">
        <v>44</v>
      </c>
    </row>
    <row r="6" spans="1:37" ht="38.25" customHeight="1">
      <c r="A6" s="456" t="s">
        <v>616</v>
      </c>
      <c r="B6" s="456" t="s">
        <v>19</v>
      </c>
      <c r="C6" s="458" t="s">
        <v>617</v>
      </c>
      <c r="D6" s="458" t="s">
        <v>20</v>
      </c>
      <c r="E6" s="274" t="s">
        <v>611</v>
      </c>
      <c r="F6" s="246" t="s">
        <v>614</v>
      </c>
      <c r="G6" s="245" t="s">
        <v>32</v>
      </c>
      <c r="H6" s="108">
        <f>+P6+W6+AD6+AK6</f>
        <v>18.938312597512002</v>
      </c>
      <c r="I6" s="266"/>
      <c r="J6" s="270"/>
      <c r="K6" s="7">
        <f>+K3*0.15</f>
        <v>7.31768025</v>
      </c>
      <c r="L6" s="7"/>
      <c r="M6" s="7"/>
      <c r="N6" s="7"/>
      <c r="O6" s="7"/>
      <c r="P6" s="7">
        <f>SUM(K6:O6)</f>
        <v>7.31768025</v>
      </c>
      <c r="Q6" s="270"/>
      <c r="R6" s="7"/>
      <c r="S6" s="7"/>
      <c r="T6" s="7"/>
      <c r="U6" s="7"/>
      <c r="V6" s="7"/>
      <c r="W6" s="7">
        <f>SUM(R6:V6)</f>
        <v>0</v>
      </c>
      <c r="X6" s="270"/>
      <c r="Y6" s="7"/>
      <c r="Z6" s="7"/>
      <c r="AA6" s="7"/>
      <c r="AB6" s="7"/>
      <c r="AC6" s="7"/>
      <c r="AD6" s="7">
        <f>SUM(Y6:AC6)</f>
        <v>0</v>
      </c>
      <c r="AE6" s="270"/>
      <c r="AF6" s="7">
        <f>+AF3*0.2</f>
        <v>11.620632347512002</v>
      </c>
      <c r="AG6" s="7"/>
      <c r="AH6" s="7"/>
      <c r="AI6" s="7"/>
      <c r="AJ6" s="7"/>
      <c r="AK6" s="7">
        <f>SUM(AF6:AJ6)</f>
        <v>11.620632347512002</v>
      </c>
    </row>
    <row r="7" spans="1:37" ht="25.5">
      <c r="A7" s="457"/>
      <c r="B7" s="457"/>
      <c r="C7" s="453"/>
      <c r="D7" s="453"/>
      <c r="E7" s="275" t="s">
        <v>612</v>
      </c>
      <c r="F7" s="245" t="s">
        <v>550</v>
      </c>
      <c r="G7" s="245" t="s">
        <v>551</v>
      </c>
      <c r="H7" s="108">
        <f>+P7+W7+AD7+AK7</f>
        <v>21.341360736356002</v>
      </c>
      <c r="I7" s="267"/>
      <c r="J7" s="271"/>
      <c r="K7" s="7">
        <f>+K3*0.1</f>
        <v>4.878453500000001</v>
      </c>
      <c r="L7" s="7"/>
      <c r="M7" s="7"/>
      <c r="N7" s="7"/>
      <c r="O7" s="7"/>
      <c r="P7" s="7">
        <f>SUM(K7:O7)</f>
        <v>4.878453500000001</v>
      </c>
      <c r="Q7" s="271"/>
      <c r="R7" s="7">
        <f>+R3*0.1</f>
        <v>5.171160710000001</v>
      </c>
      <c r="S7" s="7"/>
      <c r="T7" s="7"/>
      <c r="U7" s="7"/>
      <c r="V7" s="7"/>
      <c r="W7" s="7">
        <f>SUM(R7:V7)</f>
        <v>5.171160710000001</v>
      </c>
      <c r="X7" s="271"/>
      <c r="Y7" s="7">
        <f>+Y3*0.1</f>
        <v>5.4814303526</v>
      </c>
      <c r="Z7" s="7"/>
      <c r="AA7" s="7"/>
      <c r="AB7" s="7"/>
      <c r="AC7" s="7"/>
      <c r="AD7" s="7">
        <f>SUM(Y7:AC7)</f>
        <v>5.4814303526</v>
      </c>
      <c r="AE7" s="271"/>
      <c r="AF7" s="7">
        <f>+AF3*0.1</f>
        <v>5.810316173756001</v>
      </c>
      <c r="AG7" s="7"/>
      <c r="AH7" s="7"/>
      <c r="AI7" s="7"/>
      <c r="AJ7" s="7"/>
      <c r="AK7" s="7">
        <f>SUM(AF7:AJ7)</f>
        <v>5.810316173756001</v>
      </c>
    </row>
    <row r="8" spans="1:37" ht="89.25">
      <c r="A8" s="457"/>
      <c r="B8" s="457"/>
      <c r="C8" s="453"/>
      <c r="D8" s="453"/>
      <c r="E8" s="275" t="s">
        <v>613</v>
      </c>
      <c r="F8" s="245" t="s">
        <v>552</v>
      </c>
      <c r="G8" s="245" t="s">
        <v>615</v>
      </c>
      <c r="H8" s="108">
        <f>+P8+W8+AD8+AK8</f>
        <v>49.735169962824</v>
      </c>
      <c r="I8" s="268"/>
      <c r="J8" s="272"/>
      <c r="K8" s="7">
        <f>+K3*0.1</f>
        <v>4.878453500000001</v>
      </c>
      <c r="L8" s="7"/>
      <c r="M8" s="7"/>
      <c r="N8" s="7"/>
      <c r="O8" s="7"/>
      <c r="P8" s="7">
        <f>SUM(K8:O8)</f>
        <v>4.878453500000001</v>
      </c>
      <c r="Q8" s="272"/>
      <c r="R8" s="7">
        <f>+R3*0.1</f>
        <v>5.171160710000001</v>
      </c>
      <c r="S8" s="7"/>
      <c r="T8" s="7"/>
      <c r="U8" s="7"/>
      <c r="V8" s="7"/>
      <c r="W8" s="7">
        <f>SUM(R8:V8)</f>
        <v>5.171160710000001</v>
      </c>
      <c r="X8" s="272"/>
      <c r="Y8" s="7">
        <f>+Y3*0.3</f>
        <v>16.4442910578</v>
      </c>
      <c r="Z8" s="7"/>
      <c r="AA8" s="7"/>
      <c r="AB8" s="7"/>
      <c r="AC8" s="7"/>
      <c r="AD8" s="7">
        <f>SUM(Y8:AC8)</f>
        <v>16.4442910578</v>
      </c>
      <c r="AE8" s="272"/>
      <c r="AF8" s="7">
        <f>+AF3*0.4</f>
        <v>23.241264695024004</v>
      </c>
      <c r="AG8" s="7"/>
      <c r="AH8" s="7"/>
      <c r="AI8" s="7"/>
      <c r="AJ8" s="7"/>
      <c r="AK8" s="7">
        <f>SUM(AF8:AJ8)</f>
        <v>23.241264695024004</v>
      </c>
    </row>
    <row r="9" spans="1:37" ht="12.75" customHeight="1">
      <c r="A9" s="457"/>
      <c r="B9" s="457"/>
      <c r="C9" s="453"/>
      <c r="D9" s="453"/>
      <c r="G9" s="127" t="s">
        <v>235</v>
      </c>
      <c r="H9" s="263">
        <f>SUM(H6:H8)</f>
        <v>90.014843296692</v>
      </c>
      <c r="I9" s="264">
        <f>+H9/H20</f>
        <v>0.42178586646233635</v>
      </c>
      <c r="J9" s="134"/>
      <c r="K9" s="263">
        <f aca="true" t="shared" si="2" ref="K9:AK9">SUM(K6:K8)</f>
        <v>17.07458725</v>
      </c>
      <c r="L9" s="263">
        <f t="shared" si="2"/>
        <v>0</v>
      </c>
      <c r="M9" s="263">
        <f t="shared" si="2"/>
        <v>0</v>
      </c>
      <c r="N9" s="263">
        <f t="shared" si="2"/>
        <v>0</v>
      </c>
      <c r="O9" s="263">
        <f t="shared" si="2"/>
        <v>0</v>
      </c>
      <c r="P9" s="263">
        <f t="shared" si="2"/>
        <v>17.07458725</v>
      </c>
      <c r="Q9" s="134"/>
      <c r="R9" s="263">
        <f t="shared" si="2"/>
        <v>10.342321420000003</v>
      </c>
      <c r="S9" s="263">
        <f t="shared" si="2"/>
        <v>0</v>
      </c>
      <c r="T9" s="263">
        <f t="shared" si="2"/>
        <v>0</v>
      </c>
      <c r="U9" s="263">
        <f t="shared" si="2"/>
        <v>0</v>
      </c>
      <c r="V9" s="263">
        <f t="shared" si="2"/>
        <v>0</v>
      </c>
      <c r="W9" s="263">
        <f t="shared" si="2"/>
        <v>10.342321420000003</v>
      </c>
      <c r="X9" s="134"/>
      <c r="Y9" s="263">
        <f t="shared" si="2"/>
        <v>21.9257214104</v>
      </c>
      <c r="Z9" s="263">
        <f t="shared" si="2"/>
        <v>0</v>
      </c>
      <c r="AA9" s="263">
        <f t="shared" si="2"/>
        <v>0</v>
      </c>
      <c r="AB9" s="263">
        <f t="shared" si="2"/>
        <v>0</v>
      </c>
      <c r="AC9" s="263">
        <f t="shared" si="2"/>
        <v>0</v>
      </c>
      <c r="AD9" s="263">
        <f t="shared" si="2"/>
        <v>21.9257214104</v>
      </c>
      <c r="AE9" s="134"/>
      <c r="AF9" s="263">
        <f t="shared" si="2"/>
        <v>40.67221321629201</v>
      </c>
      <c r="AG9" s="263">
        <f t="shared" si="2"/>
        <v>0</v>
      </c>
      <c r="AH9" s="263">
        <f t="shared" si="2"/>
        <v>0</v>
      </c>
      <c r="AI9" s="263">
        <f t="shared" si="2"/>
        <v>0</v>
      </c>
      <c r="AJ9" s="263">
        <f t="shared" si="2"/>
        <v>0</v>
      </c>
      <c r="AK9" s="263">
        <f t="shared" si="2"/>
        <v>40.67221321629201</v>
      </c>
    </row>
    <row r="10" spans="1:4" ht="4.5" customHeight="1">
      <c r="A10" s="457"/>
      <c r="B10" s="457"/>
      <c r="C10" s="453"/>
      <c r="D10" s="453"/>
    </row>
    <row r="11" spans="1:37" ht="25.5" customHeight="1">
      <c r="A11" s="457"/>
      <c r="B11" s="457"/>
      <c r="C11" s="453"/>
      <c r="D11" s="453" t="s">
        <v>571</v>
      </c>
      <c r="E11" s="275" t="s">
        <v>556</v>
      </c>
      <c r="F11" s="245" t="s">
        <v>557</v>
      </c>
      <c r="G11" s="245" t="s">
        <v>558</v>
      </c>
      <c r="H11" s="108">
        <f aca="true" t="shared" si="3" ref="H11:H17">+P11+W11+AD11+AK11</f>
        <v>14.6353605</v>
      </c>
      <c r="I11" s="266"/>
      <c r="J11" s="270"/>
      <c r="K11" s="7">
        <f>+K3*0.3</f>
        <v>14.6353605</v>
      </c>
      <c r="L11" s="7"/>
      <c r="M11" s="7"/>
      <c r="N11" s="7"/>
      <c r="O11" s="7"/>
      <c r="P11" s="7">
        <f aca="true" t="shared" si="4" ref="P11:P17">SUM(K11:O11)</f>
        <v>14.6353605</v>
      </c>
      <c r="Q11" s="270"/>
      <c r="R11" s="7"/>
      <c r="S11" s="7"/>
      <c r="T11" s="7"/>
      <c r="U11" s="7"/>
      <c r="V11" s="7"/>
      <c r="W11" s="7">
        <f aca="true" t="shared" si="5" ref="W11:W17">SUM(R11:V11)</f>
        <v>0</v>
      </c>
      <c r="X11" s="270"/>
      <c r="Y11" s="7"/>
      <c r="Z11" s="7"/>
      <c r="AA11" s="7"/>
      <c r="AB11" s="7"/>
      <c r="AC11" s="7"/>
      <c r="AD11" s="7">
        <f aca="true" t="shared" si="6" ref="AD11:AD17">SUM(Y11:AC11)</f>
        <v>0</v>
      </c>
      <c r="AE11" s="270"/>
      <c r="AF11" s="7"/>
      <c r="AG11" s="7"/>
      <c r="AH11" s="7"/>
      <c r="AI11" s="7"/>
      <c r="AJ11" s="7"/>
      <c r="AK11" s="7">
        <f aca="true" t="shared" si="7" ref="AK11:AK17">SUM(AF11:AJ11)</f>
        <v>0</v>
      </c>
    </row>
    <row r="12" spans="1:37" ht="25.5">
      <c r="A12" s="457"/>
      <c r="B12" s="457"/>
      <c r="C12" s="453"/>
      <c r="D12" s="453"/>
      <c r="E12" s="275" t="s">
        <v>559</v>
      </c>
      <c r="F12" s="245" t="s">
        <v>560</v>
      </c>
      <c r="G12" s="245" t="s">
        <v>554</v>
      </c>
      <c r="H12" s="108">
        <f t="shared" si="3"/>
        <v>7.765522281300001</v>
      </c>
      <c r="I12" s="267"/>
      <c r="J12" s="271"/>
      <c r="K12" s="7">
        <f>+K3*0.05</f>
        <v>2.4392267500000004</v>
      </c>
      <c r="L12" s="7"/>
      <c r="M12" s="7"/>
      <c r="N12" s="7"/>
      <c r="O12" s="7"/>
      <c r="P12" s="7">
        <f t="shared" si="4"/>
        <v>2.4392267500000004</v>
      </c>
      <c r="Q12" s="271"/>
      <c r="R12" s="7">
        <f>+R3*0.05</f>
        <v>2.5855803550000007</v>
      </c>
      <c r="S12" s="7"/>
      <c r="T12" s="7"/>
      <c r="U12" s="7"/>
      <c r="V12" s="7"/>
      <c r="W12" s="7">
        <f t="shared" si="5"/>
        <v>2.5855803550000007</v>
      </c>
      <c r="X12" s="271"/>
      <c r="Y12" s="7">
        <f>+Y3*0.05</f>
        <v>2.7407151763</v>
      </c>
      <c r="Z12" s="7"/>
      <c r="AA12" s="7"/>
      <c r="AB12" s="7"/>
      <c r="AC12" s="7"/>
      <c r="AD12" s="7">
        <f t="shared" si="6"/>
        <v>2.7407151763</v>
      </c>
      <c r="AE12" s="271"/>
      <c r="AF12" s="7"/>
      <c r="AG12" s="7"/>
      <c r="AH12" s="7"/>
      <c r="AI12" s="7"/>
      <c r="AJ12" s="7"/>
      <c r="AK12" s="7">
        <f t="shared" si="7"/>
        <v>0</v>
      </c>
    </row>
    <row r="13" spans="1:37" ht="25.5">
      <c r="A13" s="457"/>
      <c r="B13" s="457"/>
      <c r="C13" s="453"/>
      <c r="D13" s="453"/>
      <c r="E13" s="275" t="s">
        <v>561</v>
      </c>
      <c r="F13" s="245" t="s">
        <v>562</v>
      </c>
      <c r="G13" s="246" t="s">
        <v>563</v>
      </c>
      <c r="H13" s="108">
        <f t="shared" si="3"/>
        <v>57.136154684790014</v>
      </c>
      <c r="I13" s="267"/>
      <c r="J13" s="271"/>
      <c r="K13" s="7">
        <v>0</v>
      </c>
      <c r="L13" s="7"/>
      <c r="M13" s="7"/>
      <c r="N13" s="7"/>
      <c r="O13" s="7"/>
      <c r="P13" s="7">
        <f t="shared" si="4"/>
        <v>0</v>
      </c>
      <c r="Q13" s="271"/>
      <c r="R13" s="7">
        <f>+R3*0.4</f>
        <v>20.684642840000006</v>
      </c>
      <c r="S13" s="7"/>
      <c r="T13" s="7"/>
      <c r="U13" s="7"/>
      <c r="V13" s="7"/>
      <c r="W13" s="7">
        <f t="shared" si="5"/>
        <v>20.684642840000006</v>
      </c>
      <c r="X13" s="271"/>
      <c r="Y13" s="7">
        <f>+Y3*0.4</f>
        <v>21.9257214104</v>
      </c>
      <c r="Z13" s="7"/>
      <c r="AA13" s="7"/>
      <c r="AB13" s="7"/>
      <c r="AC13" s="7"/>
      <c r="AD13" s="7">
        <f t="shared" si="6"/>
        <v>21.9257214104</v>
      </c>
      <c r="AE13" s="271"/>
      <c r="AF13" s="7">
        <f>+AF3*0.25</f>
        <v>14.525790434390002</v>
      </c>
      <c r="AG13" s="7"/>
      <c r="AH13" s="7"/>
      <c r="AI13" s="7"/>
      <c r="AJ13" s="7"/>
      <c r="AK13" s="7">
        <f t="shared" si="7"/>
        <v>14.525790434390002</v>
      </c>
    </row>
    <row r="14" spans="1:37" ht="25.5">
      <c r="A14" s="457"/>
      <c r="B14" s="457"/>
      <c r="C14" s="453"/>
      <c r="D14" s="453"/>
      <c r="E14" s="275" t="s">
        <v>564</v>
      </c>
      <c r="F14" s="245" t="s">
        <v>549</v>
      </c>
      <c r="G14" s="245" t="s">
        <v>565</v>
      </c>
      <c r="H14" s="108">
        <f t="shared" si="3"/>
        <v>5.4814303526</v>
      </c>
      <c r="I14" s="267"/>
      <c r="J14" s="271"/>
      <c r="K14" s="7">
        <v>0</v>
      </c>
      <c r="L14" s="7"/>
      <c r="M14" s="7"/>
      <c r="N14" s="7"/>
      <c r="O14" s="7"/>
      <c r="P14" s="7">
        <f t="shared" si="4"/>
        <v>0</v>
      </c>
      <c r="Q14" s="271"/>
      <c r="R14" s="7"/>
      <c r="S14" s="7"/>
      <c r="T14" s="7"/>
      <c r="U14" s="7"/>
      <c r="V14" s="7"/>
      <c r="W14" s="7">
        <f t="shared" si="5"/>
        <v>0</v>
      </c>
      <c r="X14" s="271"/>
      <c r="Y14" s="7">
        <f>+Y3*0.1</f>
        <v>5.4814303526</v>
      </c>
      <c r="Z14" s="7"/>
      <c r="AA14" s="7"/>
      <c r="AB14" s="7"/>
      <c r="AC14" s="7"/>
      <c r="AD14" s="7">
        <f t="shared" si="6"/>
        <v>5.4814303526</v>
      </c>
      <c r="AE14" s="271"/>
      <c r="AF14" s="7"/>
      <c r="AG14" s="7"/>
      <c r="AH14" s="7"/>
      <c r="AI14" s="7"/>
      <c r="AJ14" s="7"/>
      <c r="AK14" s="7">
        <f t="shared" si="7"/>
        <v>0</v>
      </c>
    </row>
    <row r="15" spans="1:37" ht="38.25">
      <c r="A15" s="457"/>
      <c r="B15" s="457"/>
      <c r="C15" s="453"/>
      <c r="D15" s="453"/>
      <c r="E15" s="275" t="s">
        <v>610</v>
      </c>
      <c r="F15" s="245" t="s">
        <v>566</v>
      </c>
      <c r="G15" s="245" t="s">
        <v>555</v>
      </c>
      <c r="H15" s="108">
        <f t="shared" si="3"/>
        <v>8.231453618178001</v>
      </c>
      <c r="I15" s="267"/>
      <c r="J15" s="271"/>
      <c r="K15" s="7">
        <v>0</v>
      </c>
      <c r="L15" s="7"/>
      <c r="M15" s="7"/>
      <c r="N15" s="7"/>
      <c r="O15" s="7"/>
      <c r="P15" s="7">
        <f t="shared" si="4"/>
        <v>0</v>
      </c>
      <c r="Q15" s="271"/>
      <c r="R15" s="7">
        <f>+R3*0.05</f>
        <v>2.5855803550000007</v>
      </c>
      <c r="S15" s="7"/>
      <c r="T15" s="7"/>
      <c r="U15" s="7"/>
      <c r="V15" s="7"/>
      <c r="W15" s="7">
        <f t="shared" si="5"/>
        <v>2.5855803550000007</v>
      </c>
      <c r="X15" s="271"/>
      <c r="Y15" s="7">
        <f>+Y3*0.05</f>
        <v>2.7407151763</v>
      </c>
      <c r="Z15" s="7"/>
      <c r="AA15" s="7"/>
      <c r="AB15" s="7"/>
      <c r="AC15" s="7"/>
      <c r="AD15" s="7">
        <f t="shared" si="6"/>
        <v>2.7407151763</v>
      </c>
      <c r="AE15" s="271"/>
      <c r="AF15" s="7">
        <f>+AF3*0.05</f>
        <v>2.9051580868780005</v>
      </c>
      <c r="AG15" s="7"/>
      <c r="AH15" s="7"/>
      <c r="AI15" s="7"/>
      <c r="AJ15" s="7"/>
      <c r="AK15" s="7">
        <f t="shared" si="7"/>
        <v>2.9051580868780005</v>
      </c>
    </row>
    <row r="16" spans="1:37" ht="25.5" customHeight="1">
      <c r="A16" s="457"/>
      <c r="B16" s="457"/>
      <c r="C16" s="453"/>
      <c r="D16" s="453"/>
      <c r="E16" s="275" t="s">
        <v>567</v>
      </c>
      <c r="F16" s="245" t="s">
        <v>568</v>
      </c>
      <c r="G16" s="245" t="s">
        <v>553</v>
      </c>
      <c r="H16" s="108">
        <f t="shared" si="3"/>
        <v>14.6353605</v>
      </c>
      <c r="I16" s="267"/>
      <c r="J16" s="271"/>
      <c r="K16" s="7">
        <f>+K3*0.3</f>
        <v>14.6353605</v>
      </c>
      <c r="L16" s="7"/>
      <c r="M16" s="7"/>
      <c r="N16" s="7"/>
      <c r="O16" s="7"/>
      <c r="P16" s="7">
        <f t="shared" si="4"/>
        <v>14.6353605</v>
      </c>
      <c r="Q16" s="271"/>
      <c r="R16" s="7"/>
      <c r="S16" s="7"/>
      <c r="T16" s="7"/>
      <c r="U16" s="7"/>
      <c r="V16" s="7"/>
      <c r="W16" s="7">
        <f t="shared" si="5"/>
        <v>0</v>
      </c>
      <c r="X16" s="271"/>
      <c r="Y16" s="7"/>
      <c r="Z16" s="7"/>
      <c r="AA16" s="7"/>
      <c r="AB16" s="7"/>
      <c r="AC16" s="7"/>
      <c r="AD16" s="7">
        <f t="shared" si="6"/>
        <v>0</v>
      </c>
      <c r="AE16" s="271"/>
      <c r="AF16" s="7"/>
      <c r="AG16" s="7"/>
      <c r="AH16" s="7"/>
      <c r="AI16" s="7"/>
      <c r="AJ16" s="7"/>
      <c r="AK16" s="7">
        <f t="shared" si="7"/>
        <v>0</v>
      </c>
    </row>
    <row r="17" spans="1:37" ht="25.5" customHeight="1">
      <c r="A17" s="457"/>
      <c r="B17" s="457"/>
      <c r="C17" s="453"/>
      <c r="D17" s="453"/>
      <c r="E17" s="275" t="s">
        <v>569</v>
      </c>
      <c r="F17" s="245" t="s">
        <v>570</v>
      </c>
      <c r="G17" s="245" t="s">
        <v>21</v>
      </c>
      <c r="H17" s="108">
        <f t="shared" si="3"/>
        <v>15.513482130000002</v>
      </c>
      <c r="I17" s="268"/>
      <c r="J17" s="272"/>
      <c r="K17" s="7">
        <v>0</v>
      </c>
      <c r="L17" s="7"/>
      <c r="M17" s="7"/>
      <c r="N17" s="7"/>
      <c r="O17" s="7"/>
      <c r="P17" s="7">
        <f t="shared" si="4"/>
        <v>0</v>
      </c>
      <c r="Q17" s="272"/>
      <c r="R17" s="7">
        <f>+R3*0.3</f>
        <v>15.513482130000002</v>
      </c>
      <c r="S17" s="7"/>
      <c r="T17" s="7"/>
      <c r="U17" s="7"/>
      <c r="V17" s="7"/>
      <c r="W17" s="7">
        <f t="shared" si="5"/>
        <v>15.513482130000002</v>
      </c>
      <c r="X17" s="272"/>
      <c r="Y17" s="7"/>
      <c r="Z17" s="7"/>
      <c r="AA17" s="7"/>
      <c r="AB17" s="7"/>
      <c r="AC17" s="7"/>
      <c r="AD17" s="7">
        <f t="shared" si="6"/>
        <v>0</v>
      </c>
      <c r="AE17" s="272"/>
      <c r="AF17" s="7"/>
      <c r="AG17" s="7"/>
      <c r="AH17" s="7"/>
      <c r="AI17" s="7"/>
      <c r="AJ17" s="7"/>
      <c r="AK17" s="7">
        <f t="shared" si="7"/>
        <v>0</v>
      </c>
    </row>
    <row r="18" spans="7:37" ht="12.75" customHeight="1">
      <c r="G18" s="127" t="s">
        <v>235</v>
      </c>
      <c r="H18" s="263">
        <f>SUM(H11:H17)</f>
        <v>123.39876406686803</v>
      </c>
      <c r="I18" s="264">
        <f>+H18/H20</f>
        <v>0.5782141335376637</v>
      </c>
      <c r="J18" s="134"/>
      <c r="K18" s="263">
        <f>SUM(K11:K17)</f>
        <v>31.70994775</v>
      </c>
      <c r="L18" s="263">
        <f aca="true" t="shared" si="8" ref="L18:AK18">SUM(L11:L17)</f>
        <v>0</v>
      </c>
      <c r="M18" s="263">
        <f t="shared" si="8"/>
        <v>0</v>
      </c>
      <c r="N18" s="263">
        <f t="shared" si="8"/>
        <v>0</v>
      </c>
      <c r="O18" s="263">
        <f t="shared" si="8"/>
        <v>0</v>
      </c>
      <c r="P18" s="263">
        <f t="shared" si="8"/>
        <v>31.70994775</v>
      </c>
      <c r="Q18" s="134"/>
      <c r="R18" s="263">
        <f t="shared" si="8"/>
        <v>41.36928568000001</v>
      </c>
      <c r="S18" s="263">
        <f t="shared" si="8"/>
        <v>0</v>
      </c>
      <c r="T18" s="263">
        <f t="shared" si="8"/>
        <v>0</v>
      </c>
      <c r="U18" s="263">
        <f t="shared" si="8"/>
        <v>0</v>
      </c>
      <c r="V18" s="263">
        <f t="shared" si="8"/>
        <v>0</v>
      </c>
      <c r="W18" s="263">
        <f t="shared" si="8"/>
        <v>41.36928568000001</v>
      </c>
      <c r="X18" s="134"/>
      <c r="Y18" s="263">
        <f t="shared" si="8"/>
        <v>32.8885821156</v>
      </c>
      <c r="Z18" s="263">
        <f t="shared" si="8"/>
        <v>0</v>
      </c>
      <c r="AA18" s="263">
        <f t="shared" si="8"/>
        <v>0</v>
      </c>
      <c r="AB18" s="263">
        <f t="shared" si="8"/>
        <v>0</v>
      </c>
      <c r="AC18" s="263">
        <f t="shared" si="8"/>
        <v>0</v>
      </c>
      <c r="AD18" s="263">
        <f t="shared" si="8"/>
        <v>32.8885821156</v>
      </c>
      <c r="AE18" s="134"/>
      <c r="AF18" s="263">
        <f t="shared" si="8"/>
        <v>17.430948521268004</v>
      </c>
      <c r="AG18" s="263">
        <f t="shared" si="8"/>
        <v>0</v>
      </c>
      <c r="AH18" s="263">
        <f t="shared" si="8"/>
        <v>0</v>
      </c>
      <c r="AI18" s="263">
        <f t="shared" si="8"/>
        <v>0</v>
      </c>
      <c r="AJ18" s="263">
        <f t="shared" si="8"/>
        <v>0</v>
      </c>
      <c r="AK18" s="263">
        <f t="shared" si="8"/>
        <v>17.430948521268004</v>
      </c>
    </row>
    <row r="19" spans="10:31" ht="4.5" customHeight="1">
      <c r="J19" s="273"/>
      <c r="Q19" s="273"/>
      <c r="X19" s="273"/>
      <c r="AE19" s="273"/>
    </row>
    <row r="20" spans="7:37" ht="12.75" customHeight="1">
      <c r="G20" s="127" t="s">
        <v>44</v>
      </c>
      <c r="H20" s="263">
        <f>+H18+H9</f>
        <v>213.41360736356003</v>
      </c>
      <c r="I20" s="264">
        <f>+I18+I9</f>
        <v>1</v>
      </c>
      <c r="J20" s="134"/>
      <c r="K20" s="263">
        <f aca="true" t="shared" si="9" ref="K20:P20">SUM(K13:K19)</f>
        <v>46.34530825</v>
      </c>
      <c r="L20" s="263">
        <f t="shared" si="9"/>
        <v>0</v>
      </c>
      <c r="M20" s="263">
        <f t="shared" si="9"/>
        <v>0</v>
      </c>
      <c r="N20" s="263">
        <f t="shared" si="9"/>
        <v>0</v>
      </c>
      <c r="O20" s="263">
        <f t="shared" si="9"/>
        <v>0</v>
      </c>
      <c r="P20" s="263">
        <f t="shared" si="9"/>
        <v>46.34530825</v>
      </c>
      <c r="Q20" s="134"/>
      <c r="R20" s="263">
        <f aca="true" t="shared" si="10" ref="R20:W20">SUM(R13:R19)</f>
        <v>80.15299100500002</v>
      </c>
      <c r="S20" s="263">
        <f t="shared" si="10"/>
        <v>0</v>
      </c>
      <c r="T20" s="263">
        <f t="shared" si="10"/>
        <v>0</v>
      </c>
      <c r="U20" s="263">
        <f t="shared" si="10"/>
        <v>0</v>
      </c>
      <c r="V20" s="263">
        <f t="shared" si="10"/>
        <v>0</v>
      </c>
      <c r="W20" s="263">
        <f t="shared" si="10"/>
        <v>80.15299100500002</v>
      </c>
      <c r="X20" s="134"/>
      <c r="Y20" s="263">
        <f aca="true" t="shared" si="11" ref="Y20:AD20">SUM(Y13:Y19)</f>
        <v>63.036449054900004</v>
      </c>
      <c r="Z20" s="263">
        <f t="shared" si="11"/>
        <v>0</v>
      </c>
      <c r="AA20" s="263">
        <f t="shared" si="11"/>
        <v>0</v>
      </c>
      <c r="AB20" s="263">
        <f t="shared" si="11"/>
        <v>0</v>
      </c>
      <c r="AC20" s="263">
        <f t="shared" si="11"/>
        <v>0</v>
      </c>
      <c r="AD20" s="263">
        <f t="shared" si="11"/>
        <v>63.036449054900004</v>
      </c>
      <c r="AE20" s="134"/>
      <c r="AF20" s="263">
        <f aca="true" t="shared" si="12" ref="AF20:AK20">SUM(AF13:AF19)</f>
        <v>34.86189704253601</v>
      </c>
      <c r="AG20" s="263">
        <f t="shared" si="12"/>
        <v>0</v>
      </c>
      <c r="AH20" s="263">
        <f t="shared" si="12"/>
        <v>0</v>
      </c>
      <c r="AI20" s="263">
        <f t="shared" si="12"/>
        <v>0</v>
      </c>
      <c r="AJ20" s="263">
        <f t="shared" si="12"/>
        <v>0</v>
      </c>
      <c r="AK20" s="263">
        <f t="shared" si="12"/>
        <v>34.86189704253601</v>
      </c>
    </row>
  </sheetData>
  <sheetProtection/>
  <mergeCells count="24">
    <mergeCell ref="B1:G1"/>
    <mergeCell ref="B2:G2"/>
    <mergeCell ref="B3:G3"/>
    <mergeCell ref="AF4:AK4"/>
    <mergeCell ref="E4:E5"/>
    <mergeCell ref="F4:F5"/>
    <mergeCell ref="Y4:AD4"/>
    <mergeCell ref="Q4:Q5"/>
    <mergeCell ref="H4:H5"/>
    <mergeCell ref="K4:P4"/>
    <mergeCell ref="I4:I5"/>
    <mergeCell ref="J4:J5"/>
    <mergeCell ref="R4:W4"/>
    <mergeCell ref="G4:G5"/>
    <mergeCell ref="X4:X5"/>
    <mergeCell ref="AE4:AE5"/>
    <mergeCell ref="A6:A17"/>
    <mergeCell ref="B6:B17"/>
    <mergeCell ref="C6:C17"/>
    <mergeCell ref="D6:D17"/>
    <mergeCell ref="A4:A5"/>
    <mergeCell ref="B4:B5"/>
    <mergeCell ref="C4:C5"/>
    <mergeCell ref="D4:D5"/>
  </mergeCells>
  <printOptions horizontalCentered="1"/>
  <pageMargins left="0.3937007874015748" right="1.1811023622047245" top="0.984251968503937" bottom="0.984251968503937" header="0.5118110236220472" footer="0.5118110236220472"/>
  <pageSetup fitToHeight="1" fitToWidth="1" horizontalDpi="600" verticalDpi="600" orientation="landscape" scale="2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42"/>
  <sheetViews>
    <sheetView zoomScaleSheetLayoutView="85" zoomScalePageLayoutView="0" workbookViewId="0" topLeftCell="A1">
      <selection activeCell="D6" sqref="D6:D12"/>
    </sheetView>
  </sheetViews>
  <sheetFormatPr defaultColWidth="11.421875" defaultRowHeight="15"/>
  <cols>
    <col min="1" max="1" width="11.421875" style="3" customWidth="1"/>
    <col min="2" max="2" width="13.00390625" style="18" customWidth="1"/>
    <col min="3" max="3" width="11.28125" style="18" customWidth="1"/>
    <col min="4" max="4" width="13.57421875" style="18" customWidth="1"/>
    <col min="5" max="5" width="31.57421875" style="18" customWidth="1"/>
    <col min="6" max="6" width="36.421875" style="18" customWidth="1"/>
    <col min="7" max="7" width="33.00390625" style="18" customWidth="1"/>
    <col min="8" max="8" width="11.00390625" style="18" bestFit="1" customWidth="1"/>
    <col min="9" max="9" width="7.00390625" style="278" bestFit="1" customWidth="1"/>
    <col min="10" max="10" width="1.7109375" style="278" customWidth="1"/>
    <col min="11" max="16" width="8.57421875" style="3" customWidth="1"/>
    <col min="17" max="17" width="1.7109375" style="278" customWidth="1"/>
    <col min="18" max="23" width="8.57421875" style="3" customWidth="1"/>
    <col min="24" max="24" width="1.7109375" style="278" customWidth="1"/>
    <col min="25" max="30" width="8.57421875" style="3" customWidth="1"/>
    <col min="31" max="31" width="1.7109375" style="278" customWidth="1"/>
    <col min="32" max="37" width="8.57421875" style="3" customWidth="1"/>
    <col min="38" max="16384" width="11.421875" style="3" customWidth="1"/>
  </cols>
  <sheetData>
    <row r="1" spans="2:37" s="32" customFormat="1" ht="12.75">
      <c r="B1" s="311" t="s">
        <v>134</v>
      </c>
      <c r="C1" s="311"/>
      <c r="D1" s="311"/>
      <c r="E1" s="311"/>
      <c r="F1" s="311"/>
      <c r="G1" s="311"/>
      <c r="I1" s="265"/>
      <c r="J1" s="265"/>
      <c r="K1" s="229">
        <f aca="true" t="shared" si="0" ref="K1:AK1">+K3-K2</f>
        <v>0</v>
      </c>
      <c r="L1" s="229">
        <f t="shared" si="0"/>
        <v>0</v>
      </c>
      <c r="M1" s="229">
        <f t="shared" si="0"/>
        <v>0</v>
      </c>
      <c r="N1" s="229">
        <f t="shared" si="0"/>
        <v>0</v>
      </c>
      <c r="O1" s="229">
        <f t="shared" si="0"/>
        <v>0</v>
      </c>
      <c r="P1" s="229">
        <f t="shared" si="0"/>
        <v>0</v>
      </c>
      <c r="Q1" s="276"/>
      <c r="R1" s="229">
        <f t="shared" si="0"/>
        <v>0</v>
      </c>
      <c r="S1" s="229">
        <f t="shared" si="0"/>
        <v>0</v>
      </c>
      <c r="T1" s="229">
        <f t="shared" si="0"/>
        <v>0</v>
      </c>
      <c r="U1" s="229">
        <f t="shared" si="0"/>
        <v>0</v>
      </c>
      <c r="V1" s="229">
        <f t="shared" si="0"/>
        <v>0</v>
      </c>
      <c r="W1" s="229">
        <f t="shared" si="0"/>
        <v>0</v>
      </c>
      <c r="X1" s="276"/>
      <c r="Y1" s="229">
        <f t="shared" si="0"/>
        <v>0</v>
      </c>
      <c r="Z1" s="229">
        <f t="shared" si="0"/>
        <v>0</v>
      </c>
      <c r="AA1" s="229">
        <f t="shared" si="0"/>
        <v>0</v>
      </c>
      <c r="AB1" s="229">
        <f t="shared" si="0"/>
        <v>0</v>
      </c>
      <c r="AC1" s="229">
        <f t="shared" si="0"/>
        <v>0</v>
      </c>
      <c r="AD1" s="229">
        <f t="shared" si="0"/>
        <v>0</v>
      </c>
      <c r="AE1" s="276"/>
      <c r="AF1" s="229">
        <f t="shared" si="0"/>
        <v>0</v>
      </c>
      <c r="AG1" s="229">
        <f t="shared" si="0"/>
        <v>0</v>
      </c>
      <c r="AH1" s="229">
        <f t="shared" si="0"/>
        <v>0</v>
      </c>
      <c r="AI1" s="229">
        <f t="shared" si="0"/>
        <v>0</v>
      </c>
      <c r="AJ1" s="229">
        <f t="shared" si="0"/>
        <v>0</v>
      </c>
      <c r="AK1" s="229">
        <f t="shared" si="0"/>
        <v>0</v>
      </c>
    </row>
    <row r="2" spans="2:37" s="32" customFormat="1" ht="12.75">
      <c r="B2" s="312" t="s">
        <v>137</v>
      </c>
      <c r="C2" s="312"/>
      <c r="D2" s="312"/>
      <c r="E2" s="312"/>
      <c r="F2" s="312"/>
      <c r="G2" s="312"/>
      <c r="I2" s="265"/>
      <c r="J2" s="265"/>
      <c r="K2" s="229">
        <f>SUM(K6:K12)</f>
        <v>58.541442</v>
      </c>
      <c r="L2" s="229">
        <f aca="true" t="shared" si="1" ref="L2:AK2">SUM(L6:L12)</f>
        <v>0</v>
      </c>
      <c r="M2" s="229">
        <f t="shared" si="1"/>
        <v>36.30048075228001</v>
      </c>
      <c r="N2" s="229">
        <f t="shared" si="1"/>
        <v>15</v>
      </c>
      <c r="O2" s="229">
        <f t="shared" si="1"/>
        <v>0</v>
      </c>
      <c r="P2" s="229">
        <f t="shared" si="1"/>
        <v>109.84192275228001</v>
      </c>
      <c r="Q2" s="276"/>
      <c r="R2" s="229">
        <f t="shared" si="1"/>
        <v>62.05392852</v>
      </c>
      <c r="S2" s="229">
        <f t="shared" si="1"/>
        <v>0</v>
      </c>
      <c r="T2" s="229">
        <f t="shared" si="1"/>
        <v>33.209986823648386</v>
      </c>
      <c r="U2" s="229">
        <f t="shared" si="1"/>
        <v>15.450000000000001</v>
      </c>
      <c r="V2" s="229">
        <f t="shared" si="1"/>
        <v>0</v>
      </c>
      <c r="W2" s="229">
        <f t="shared" si="1"/>
        <v>110.7139153436484</v>
      </c>
      <c r="X2" s="276"/>
      <c r="Y2" s="229">
        <f t="shared" si="1"/>
        <v>65.7771642312</v>
      </c>
      <c r="Z2" s="229">
        <f t="shared" si="1"/>
        <v>0</v>
      </c>
      <c r="AA2" s="229">
        <f t="shared" si="1"/>
        <v>30.014239552104232</v>
      </c>
      <c r="AB2" s="229">
        <f t="shared" si="1"/>
        <v>15.9135</v>
      </c>
      <c r="AC2" s="229">
        <f t="shared" si="1"/>
        <v>0</v>
      </c>
      <c r="AD2" s="229">
        <f t="shared" si="1"/>
        <v>111.70490378330425</v>
      </c>
      <c r="AE2" s="276"/>
      <c r="AF2" s="229">
        <f t="shared" si="1"/>
        <v>69.723794085072</v>
      </c>
      <c r="AG2" s="229">
        <f t="shared" si="1"/>
        <v>0</v>
      </c>
      <c r="AH2" s="229">
        <f t="shared" si="1"/>
        <v>26.710043721784974</v>
      </c>
      <c r="AI2" s="229">
        <f t="shared" si="1"/>
        <v>16.390905</v>
      </c>
      <c r="AJ2" s="229">
        <f t="shared" si="1"/>
        <v>0</v>
      </c>
      <c r="AK2" s="229">
        <f t="shared" si="1"/>
        <v>112.82474280685699</v>
      </c>
    </row>
    <row r="3" spans="2:37" s="32" customFormat="1" ht="12.75">
      <c r="B3" s="313" t="s">
        <v>136</v>
      </c>
      <c r="C3" s="313"/>
      <c r="D3" s="313"/>
      <c r="E3" s="313"/>
      <c r="F3" s="313"/>
      <c r="G3" s="313"/>
      <c r="I3" s="265"/>
      <c r="J3" s="265"/>
      <c r="K3" s="229">
        <f>+PROYECCIONES!D94</f>
        <v>58.541441999999996</v>
      </c>
      <c r="L3" s="229">
        <v>0</v>
      </c>
      <c r="M3" s="229">
        <f>+PROYECCIONES!D95</f>
        <v>36.30048075228001</v>
      </c>
      <c r="N3" s="229">
        <f>+PROYECCIONES!D96</f>
        <v>15</v>
      </c>
      <c r="O3" s="229">
        <v>0</v>
      </c>
      <c r="P3" s="229">
        <f>SUM(K3:O3)</f>
        <v>109.84192275228</v>
      </c>
      <c r="Q3" s="276"/>
      <c r="R3" s="229">
        <f>+PROYECCIONES!E94</f>
        <v>62.05392852</v>
      </c>
      <c r="S3" s="229">
        <v>0</v>
      </c>
      <c r="T3" s="229">
        <f>+PROYECCIONES!E95</f>
        <v>33.209986823648386</v>
      </c>
      <c r="U3" s="229">
        <f>+PROYECCIONES!E96</f>
        <v>15.450000000000001</v>
      </c>
      <c r="V3" s="229">
        <v>0</v>
      </c>
      <c r="W3" s="229">
        <f>SUM(R3:V3)</f>
        <v>110.7139153436484</v>
      </c>
      <c r="X3" s="276"/>
      <c r="Y3" s="229">
        <f>+PROYECCIONES!F94</f>
        <v>65.7771642312</v>
      </c>
      <c r="Z3" s="229">
        <v>0</v>
      </c>
      <c r="AA3" s="229">
        <f>+PROYECCIONES!F95</f>
        <v>30.014239552104232</v>
      </c>
      <c r="AB3" s="229">
        <f>+PROYECCIONES!F96</f>
        <v>15.9135</v>
      </c>
      <c r="AC3" s="229">
        <v>0</v>
      </c>
      <c r="AD3" s="229">
        <f>SUM(Y3:AC3)</f>
        <v>111.70490378330423</v>
      </c>
      <c r="AE3" s="276"/>
      <c r="AF3" s="229">
        <f>+PROYECCIONES!G94</f>
        <v>69.723794085072</v>
      </c>
      <c r="AG3" s="229">
        <v>0</v>
      </c>
      <c r="AH3" s="229">
        <f>+PROYECCIONES!G95</f>
        <v>26.710043721784974</v>
      </c>
      <c r="AI3" s="229">
        <f>+PROYECCIONES!G96</f>
        <v>16.390905</v>
      </c>
      <c r="AJ3" s="229">
        <v>0</v>
      </c>
      <c r="AK3" s="229">
        <f>SUM(AF3:AJ3)</f>
        <v>112.82474280685697</v>
      </c>
    </row>
    <row r="4" spans="1:37" s="11" customFormat="1" ht="12.75">
      <c r="A4" s="391" t="s">
        <v>35</v>
      </c>
      <c r="B4" s="391" t="s">
        <v>47</v>
      </c>
      <c r="C4" s="391" t="s">
        <v>0</v>
      </c>
      <c r="D4" s="391" t="s">
        <v>2</v>
      </c>
      <c r="E4" s="391" t="s">
        <v>39</v>
      </c>
      <c r="F4" s="391" t="s">
        <v>37</v>
      </c>
      <c r="G4" s="391" t="s">
        <v>10</v>
      </c>
      <c r="H4" s="391" t="s">
        <v>45</v>
      </c>
      <c r="I4" s="395" t="s">
        <v>266</v>
      </c>
      <c r="J4" s="466"/>
      <c r="K4" s="390">
        <v>2012</v>
      </c>
      <c r="L4" s="390"/>
      <c r="M4" s="390"/>
      <c r="N4" s="390"/>
      <c r="O4" s="390"/>
      <c r="P4" s="390"/>
      <c r="Q4" s="466"/>
      <c r="R4" s="390">
        <v>2013</v>
      </c>
      <c r="S4" s="390"/>
      <c r="T4" s="390"/>
      <c r="U4" s="390"/>
      <c r="V4" s="390"/>
      <c r="W4" s="390"/>
      <c r="X4" s="466"/>
      <c r="Y4" s="390">
        <v>2014</v>
      </c>
      <c r="Z4" s="390"/>
      <c r="AA4" s="390"/>
      <c r="AB4" s="390"/>
      <c r="AC4" s="390"/>
      <c r="AD4" s="390"/>
      <c r="AE4" s="466"/>
      <c r="AF4" s="390">
        <v>2015</v>
      </c>
      <c r="AG4" s="390"/>
      <c r="AH4" s="390"/>
      <c r="AI4" s="390"/>
      <c r="AJ4" s="390"/>
      <c r="AK4" s="390"/>
    </row>
    <row r="5" spans="1:37" s="11" customFormat="1" ht="12.75">
      <c r="A5" s="392"/>
      <c r="B5" s="392"/>
      <c r="C5" s="392"/>
      <c r="D5" s="392"/>
      <c r="E5" s="392"/>
      <c r="F5" s="392"/>
      <c r="G5" s="392"/>
      <c r="H5" s="392"/>
      <c r="I5" s="459"/>
      <c r="J5" s="466"/>
      <c r="K5" s="248" t="s">
        <v>40</v>
      </c>
      <c r="L5" s="5" t="s">
        <v>41</v>
      </c>
      <c r="M5" s="248" t="s">
        <v>42</v>
      </c>
      <c r="N5" s="248" t="s">
        <v>43</v>
      </c>
      <c r="O5" s="248" t="s">
        <v>1</v>
      </c>
      <c r="P5" s="248" t="s">
        <v>44</v>
      </c>
      <c r="Q5" s="466"/>
      <c r="R5" s="248" t="s">
        <v>40</v>
      </c>
      <c r="S5" s="5" t="s">
        <v>41</v>
      </c>
      <c r="T5" s="248" t="s">
        <v>42</v>
      </c>
      <c r="U5" s="248" t="s">
        <v>43</v>
      </c>
      <c r="V5" s="248" t="s">
        <v>1</v>
      </c>
      <c r="W5" s="248" t="s">
        <v>44</v>
      </c>
      <c r="X5" s="466"/>
      <c r="Y5" s="248" t="s">
        <v>40</v>
      </c>
      <c r="Z5" s="5" t="s">
        <v>41</v>
      </c>
      <c r="AA5" s="248" t="s">
        <v>42</v>
      </c>
      <c r="AB5" s="248" t="s">
        <v>43</v>
      </c>
      <c r="AC5" s="248" t="s">
        <v>1</v>
      </c>
      <c r="AD5" s="248" t="s">
        <v>44</v>
      </c>
      <c r="AE5" s="466"/>
      <c r="AF5" s="248" t="s">
        <v>40</v>
      </c>
      <c r="AG5" s="5" t="s">
        <v>41</v>
      </c>
      <c r="AH5" s="248" t="s">
        <v>42</v>
      </c>
      <c r="AI5" s="248" t="s">
        <v>43</v>
      </c>
      <c r="AJ5" s="248" t="s">
        <v>1</v>
      </c>
      <c r="AK5" s="248" t="s">
        <v>44</v>
      </c>
    </row>
    <row r="6" spans="1:37" ht="38.25">
      <c r="A6" s="461" t="s">
        <v>56</v>
      </c>
      <c r="B6" s="461" t="s">
        <v>118</v>
      </c>
      <c r="C6" s="346" t="s">
        <v>121</v>
      </c>
      <c r="D6" s="346" t="s">
        <v>17</v>
      </c>
      <c r="E6" s="1" t="s">
        <v>624</v>
      </c>
      <c r="F6" s="1" t="s">
        <v>625</v>
      </c>
      <c r="G6" s="260" t="s">
        <v>603</v>
      </c>
      <c r="H6" s="7">
        <f aca="true" t="shared" si="2" ref="H6:H11">+P6+W6+AD6+AK6</f>
        <v>331.11181391883525</v>
      </c>
      <c r="I6" s="266"/>
      <c r="J6" s="279"/>
      <c r="K6" s="7">
        <f>+K3*0.8</f>
        <v>46.8331536</v>
      </c>
      <c r="L6" s="7"/>
      <c r="M6" s="7">
        <f>+M3</f>
        <v>36.30048075228001</v>
      </c>
      <c r="N6" s="7"/>
      <c r="O6" s="7"/>
      <c r="P6" s="7">
        <f aca="true" t="shared" si="3" ref="P6:P11">SUM(K6:O6)</f>
        <v>83.13363435228001</v>
      </c>
      <c r="Q6" s="279"/>
      <c r="R6" s="7">
        <f>+R3*0.8</f>
        <v>49.643142816</v>
      </c>
      <c r="S6" s="7"/>
      <c r="T6" s="7">
        <f>+T3</f>
        <v>33.209986823648386</v>
      </c>
      <c r="U6" s="7"/>
      <c r="V6" s="7"/>
      <c r="W6" s="7">
        <f aca="true" t="shared" si="4" ref="W6:W11">SUM(R6:V6)</f>
        <v>82.85312963964839</v>
      </c>
      <c r="X6" s="279"/>
      <c r="Y6" s="7">
        <f>+Y3*0.8</f>
        <v>52.62173138496001</v>
      </c>
      <c r="Z6" s="7"/>
      <c r="AA6" s="7">
        <f>+AA3</f>
        <v>30.014239552104232</v>
      </c>
      <c r="AB6" s="7"/>
      <c r="AC6" s="7"/>
      <c r="AD6" s="7">
        <f aca="true" t="shared" si="5" ref="AD6:AD11">SUM(Y6:AC6)</f>
        <v>82.63597093706424</v>
      </c>
      <c r="AE6" s="279"/>
      <c r="AF6" s="7">
        <f>+AF3*0.8</f>
        <v>55.779035268057605</v>
      </c>
      <c r="AG6" s="7"/>
      <c r="AH6" s="7">
        <f>+AH3</f>
        <v>26.710043721784974</v>
      </c>
      <c r="AI6" s="7"/>
      <c r="AJ6" s="7"/>
      <c r="AK6" s="7">
        <f aca="true" t="shared" si="6" ref="AK6:AK11">SUM(AF6:AJ6)</f>
        <v>82.48907898984258</v>
      </c>
    </row>
    <row r="7" spans="1:37" ht="76.5">
      <c r="A7" s="457"/>
      <c r="B7" s="457"/>
      <c r="C7" s="453"/>
      <c r="D7" s="453"/>
      <c r="E7" s="2" t="s">
        <v>119</v>
      </c>
      <c r="F7" s="1" t="s">
        <v>630</v>
      </c>
      <c r="G7" s="260" t="s">
        <v>120</v>
      </c>
      <c r="H7" s="7">
        <f t="shared" si="2"/>
        <v>0</v>
      </c>
      <c r="I7" s="267"/>
      <c r="J7" s="280"/>
      <c r="K7" s="7">
        <v>0</v>
      </c>
      <c r="L7" s="7"/>
      <c r="M7" s="7"/>
      <c r="N7" s="7"/>
      <c r="O7" s="7"/>
      <c r="P7" s="7">
        <f t="shared" si="3"/>
        <v>0</v>
      </c>
      <c r="Q7" s="280"/>
      <c r="R7" s="7"/>
      <c r="S7" s="7"/>
      <c r="T7" s="7"/>
      <c r="U7" s="7"/>
      <c r="V7" s="7"/>
      <c r="W7" s="7">
        <f t="shared" si="4"/>
        <v>0</v>
      </c>
      <c r="X7" s="280"/>
      <c r="Y7" s="7"/>
      <c r="Z7" s="7"/>
      <c r="AA7" s="7"/>
      <c r="AB7" s="7"/>
      <c r="AC7" s="7"/>
      <c r="AD7" s="7">
        <f t="shared" si="5"/>
        <v>0</v>
      </c>
      <c r="AE7" s="280"/>
      <c r="AF7" s="7"/>
      <c r="AG7" s="7"/>
      <c r="AH7" s="7"/>
      <c r="AI7" s="7"/>
      <c r="AJ7" s="7"/>
      <c r="AK7" s="7">
        <f t="shared" si="6"/>
        <v>0</v>
      </c>
    </row>
    <row r="8" spans="1:37" ht="38.25">
      <c r="A8" s="457"/>
      <c r="B8" s="457"/>
      <c r="C8" s="453"/>
      <c r="D8" s="453"/>
      <c r="E8" s="2" t="s">
        <v>626</v>
      </c>
      <c r="F8" s="1" t="s">
        <v>629</v>
      </c>
      <c r="G8" s="260" t="s">
        <v>18</v>
      </c>
      <c r="H8" s="7">
        <f t="shared" si="2"/>
        <v>0</v>
      </c>
      <c r="I8" s="267"/>
      <c r="J8" s="280"/>
      <c r="K8" s="7">
        <v>0</v>
      </c>
      <c r="L8" s="7"/>
      <c r="M8" s="7"/>
      <c r="N8" s="7"/>
      <c r="O8" s="7"/>
      <c r="P8" s="7">
        <f t="shared" si="3"/>
        <v>0</v>
      </c>
      <c r="Q8" s="280"/>
      <c r="R8" s="7"/>
      <c r="S8" s="7"/>
      <c r="T8" s="7"/>
      <c r="U8" s="7"/>
      <c r="V8" s="7"/>
      <c r="W8" s="7">
        <f t="shared" si="4"/>
        <v>0</v>
      </c>
      <c r="X8" s="280"/>
      <c r="Y8" s="7"/>
      <c r="Z8" s="7"/>
      <c r="AA8" s="7"/>
      <c r="AB8" s="7"/>
      <c r="AC8" s="7"/>
      <c r="AD8" s="7">
        <f t="shared" si="5"/>
        <v>0</v>
      </c>
      <c r="AE8" s="280"/>
      <c r="AF8" s="7"/>
      <c r="AG8" s="7"/>
      <c r="AH8" s="7"/>
      <c r="AI8" s="7"/>
      <c r="AJ8" s="7"/>
      <c r="AK8" s="7">
        <f t="shared" si="6"/>
        <v>0</v>
      </c>
    </row>
    <row r="9" spans="1:37" ht="25.5">
      <c r="A9" s="457"/>
      <c r="B9" s="457"/>
      <c r="C9" s="453"/>
      <c r="D9" s="453"/>
      <c r="E9" s="2" t="s">
        <v>627</v>
      </c>
      <c r="F9" s="1" t="s">
        <v>627</v>
      </c>
      <c r="G9" s="260" t="s">
        <v>604</v>
      </c>
      <c r="H9" s="7">
        <f t="shared" si="2"/>
        <v>51.219265767254406</v>
      </c>
      <c r="I9" s="267"/>
      <c r="J9" s="280"/>
      <c r="K9" s="7">
        <f>+K3*0.2</f>
        <v>11.7082884</v>
      </c>
      <c r="L9" s="7"/>
      <c r="M9" s="7"/>
      <c r="N9" s="7"/>
      <c r="O9" s="7"/>
      <c r="P9" s="7">
        <f t="shared" si="3"/>
        <v>11.7082884</v>
      </c>
      <c r="Q9" s="280"/>
      <c r="R9" s="7">
        <f>+R3*0.2</f>
        <v>12.410785704</v>
      </c>
      <c r="S9" s="7"/>
      <c r="T9" s="7"/>
      <c r="U9" s="7"/>
      <c r="V9" s="7"/>
      <c r="W9" s="7">
        <f t="shared" si="4"/>
        <v>12.410785704</v>
      </c>
      <c r="X9" s="280"/>
      <c r="Y9" s="7">
        <f>+Y3*0.2</f>
        <v>13.155432846240002</v>
      </c>
      <c r="Z9" s="7"/>
      <c r="AA9" s="7"/>
      <c r="AB9" s="7"/>
      <c r="AC9" s="7"/>
      <c r="AD9" s="7">
        <f t="shared" si="5"/>
        <v>13.155432846240002</v>
      </c>
      <c r="AE9" s="280"/>
      <c r="AF9" s="7">
        <f>+AF3*0.2</f>
        <v>13.944758817014401</v>
      </c>
      <c r="AG9" s="7"/>
      <c r="AH9" s="7"/>
      <c r="AI9" s="7"/>
      <c r="AJ9" s="7"/>
      <c r="AK9" s="7">
        <f t="shared" si="6"/>
        <v>13.944758817014401</v>
      </c>
    </row>
    <row r="10" spans="1:37" ht="38.25">
      <c r="A10" s="457"/>
      <c r="B10" s="457"/>
      <c r="C10" s="453"/>
      <c r="D10" s="453"/>
      <c r="E10" s="2" t="s">
        <v>628</v>
      </c>
      <c r="F10" s="1" t="s">
        <v>620</v>
      </c>
      <c r="G10" s="260" t="s">
        <v>621</v>
      </c>
      <c r="H10" s="7">
        <f t="shared" si="2"/>
        <v>0</v>
      </c>
      <c r="I10" s="267"/>
      <c r="J10" s="280"/>
      <c r="K10" s="7">
        <v>0</v>
      </c>
      <c r="L10" s="7"/>
      <c r="M10" s="7"/>
      <c r="N10" s="7"/>
      <c r="O10" s="7"/>
      <c r="P10" s="7">
        <f t="shared" si="3"/>
        <v>0</v>
      </c>
      <c r="Q10" s="280"/>
      <c r="R10" s="7"/>
      <c r="S10" s="7"/>
      <c r="T10" s="7"/>
      <c r="U10" s="7"/>
      <c r="V10" s="7"/>
      <c r="W10" s="7">
        <f t="shared" si="4"/>
        <v>0</v>
      </c>
      <c r="X10" s="280"/>
      <c r="Y10" s="7"/>
      <c r="Z10" s="7"/>
      <c r="AA10" s="7"/>
      <c r="AB10" s="7"/>
      <c r="AC10" s="7"/>
      <c r="AD10" s="7">
        <f t="shared" si="5"/>
        <v>0</v>
      </c>
      <c r="AE10" s="280"/>
      <c r="AF10" s="7"/>
      <c r="AG10" s="7"/>
      <c r="AH10" s="7"/>
      <c r="AI10" s="7"/>
      <c r="AJ10" s="7"/>
      <c r="AK10" s="7">
        <f t="shared" si="6"/>
        <v>0</v>
      </c>
    </row>
    <row r="11" spans="1:37" ht="38.25">
      <c r="A11" s="457"/>
      <c r="B11" s="457"/>
      <c r="C11" s="453"/>
      <c r="D11" s="453"/>
      <c r="E11" s="460" t="s">
        <v>622</v>
      </c>
      <c r="F11" s="460" t="s">
        <v>623</v>
      </c>
      <c r="G11" s="2" t="s">
        <v>15</v>
      </c>
      <c r="H11" s="7">
        <f t="shared" si="2"/>
        <v>62.754405000000006</v>
      </c>
      <c r="I11" s="267"/>
      <c r="J11" s="280"/>
      <c r="K11" s="7">
        <v>0</v>
      </c>
      <c r="L11" s="7"/>
      <c r="M11" s="7"/>
      <c r="N11" s="7">
        <f>+N3</f>
        <v>15</v>
      </c>
      <c r="O11" s="7"/>
      <c r="P11" s="7">
        <f t="shared" si="3"/>
        <v>15</v>
      </c>
      <c r="Q11" s="280"/>
      <c r="R11" s="7"/>
      <c r="S11" s="7"/>
      <c r="T11" s="7"/>
      <c r="U11" s="7">
        <f>+U3</f>
        <v>15.450000000000001</v>
      </c>
      <c r="V11" s="7"/>
      <c r="W11" s="7">
        <f t="shared" si="4"/>
        <v>15.450000000000001</v>
      </c>
      <c r="X11" s="280"/>
      <c r="Y11" s="7"/>
      <c r="Z11" s="7"/>
      <c r="AA11" s="7"/>
      <c r="AB11" s="7">
        <f>+AB3</f>
        <v>15.9135</v>
      </c>
      <c r="AC11" s="7"/>
      <c r="AD11" s="7">
        <f t="shared" si="5"/>
        <v>15.9135</v>
      </c>
      <c r="AE11" s="280"/>
      <c r="AF11" s="7"/>
      <c r="AG11" s="7"/>
      <c r="AH11" s="7"/>
      <c r="AI11" s="7">
        <f>+AI3</f>
        <v>16.390905</v>
      </c>
      <c r="AJ11" s="7"/>
      <c r="AK11" s="7">
        <f t="shared" si="6"/>
        <v>16.390905</v>
      </c>
    </row>
    <row r="12" spans="1:37" ht="38.25">
      <c r="A12" s="457"/>
      <c r="B12" s="457"/>
      <c r="C12" s="453"/>
      <c r="D12" s="453"/>
      <c r="E12" s="460"/>
      <c r="F12" s="460"/>
      <c r="G12" s="21" t="s">
        <v>605</v>
      </c>
      <c r="H12" s="7">
        <f>+P12+W12+AD12+AK12</f>
        <v>0</v>
      </c>
      <c r="I12" s="268"/>
      <c r="J12" s="281"/>
      <c r="K12" s="7">
        <v>0</v>
      </c>
      <c r="L12" s="7"/>
      <c r="M12" s="7"/>
      <c r="N12" s="7"/>
      <c r="O12" s="7"/>
      <c r="P12" s="7">
        <f>SUM(K12:O12)</f>
        <v>0</v>
      </c>
      <c r="Q12" s="281"/>
      <c r="R12" s="7"/>
      <c r="S12" s="7"/>
      <c r="T12" s="7"/>
      <c r="U12" s="7"/>
      <c r="V12" s="7"/>
      <c r="W12" s="7">
        <f>SUM(R12:V12)</f>
        <v>0</v>
      </c>
      <c r="X12" s="281"/>
      <c r="Y12" s="7"/>
      <c r="Z12" s="7"/>
      <c r="AA12" s="7"/>
      <c r="AB12" s="7"/>
      <c r="AC12" s="7"/>
      <c r="AD12" s="7">
        <f>SUM(Y12:AC12)</f>
        <v>0</v>
      </c>
      <c r="AE12" s="281"/>
      <c r="AF12" s="7"/>
      <c r="AG12" s="7"/>
      <c r="AH12" s="7"/>
      <c r="AI12" s="7"/>
      <c r="AJ12" s="7"/>
      <c r="AK12" s="7">
        <f>SUM(AF12:AJ12)</f>
        <v>0</v>
      </c>
    </row>
    <row r="13" spans="2:37" ht="12.75">
      <c r="B13" s="256"/>
      <c r="C13" s="256"/>
      <c r="D13" s="256"/>
      <c r="E13" s="256"/>
      <c r="F13" s="256"/>
      <c r="G13" s="127" t="s">
        <v>44</v>
      </c>
      <c r="H13" s="96">
        <f>SUM(H6:H12)</f>
        <v>445.08548468608967</v>
      </c>
      <c r="I13" s="119">
        <v>1</v>
      </c>
      <c r="J13" s="282"/>
      <c r="K13" s="96">
        <f aca="true" t="shared" si="7" ref="K13:AK13">SUM(K6:K12)</f>
        <v>58.541442</v>
      </c>
      <c r="L13" s="96">
        <f t="shared" si="7"/>
        <v>0</v>
      </c>
      <c r="M13" s="96">
        <f t="shared" si="7"/>
        <v>36.30048075228001</v>
      </c>
      <c r="N13" s="96">
        <f t="shared" si="7"/>
        <v>15</v>
      </c>
      <c r="O13" s="96">
        <f t="shared" si="7"/>
        <v>0</v>
      </c>
      <c r="P13" s="96">
        <f t="shared" si="7"/>
        <v>109.84192275228001</v>
      </c>
      <c r="Q13" s="282"/>
      <c r="R13" s="96">
        <f t="shared" si="7"/>
        <v>62.05392852</v>
      </c>
      <c r="S13" s="96">
        <f t="shared" si="7"/>
        <v>0</v>
      </c>
      <c r="T13" s="96">
        <f t="shared" si="7"/>
        <v>33.209986823648386</v>
      </c>
      <c r="U13" s="96">
        <f t="shared" si="7"/>
        <v>15.450000000000001</v>
      </c>
      <c r="V13" s="96">
        <f t="shared" si="7"/>
        <v>0</v>
      </c>
      <c r="W13" s="96">
        <f t="shared" si="7"/>
        <v>110.7139153436484</v>
      </c>
      <c r="X13" s="282"/>
      <c r="Y13" s="96">
        <f t="shared" si="7"/>
        <v>65.7771642312</v>
      </c>
      <c r="Z13" s="96">
        <f t="shared" si="7"/>
        <v>0</v>
      </c>
      <c r="AA13" s="96">
        <f t="shared" si="7"/>
        <v>30.014239552104232</v>
      </c>
      <c r="AB13" s="96">
        <f t="shared" si="7"/>
        <v>15.9135</v>
      </c>
      <c r="AC13" s="96">
        <f t="shared" si="7"/>
        <v>0</v>
      </c>
      <c r="AD13" s="96">
        <f t="shared" si="7"/>
        <v>111.70490378330425</v>
      </c>
      <c r="AE13" s="282"/>
      <c r="AF13" s="96">
        <f t="shared" si="7"/>
        <v>69.723794085072</v>
      </c>
      <c r="AG13" s="96">
        <f t="shared" si="7"/>
        <v>0</v>
      </c>
      <c r="AH13" s="96">
        <f t="shared" si="7"/>
        <v>26.710043721784974</v>
      </c>
      <c r="AI13" s="96">
        <f t="shared" si="7"/>
        <v>16.390905</v>
      </c>
      <c r="AJ13" s="96">
        <f t="shared" si="7"/>
        <v>0</v>
      </c>
      <c r="AK13" s="96">
        <f t="shared" si="7"/>
        <v>112.82474280685699</v>
      </c>
    </row>
    <row r="14" spans="2:31" ht="12.75">
      <c r="B14" s="256"/>
      <c r="C14" s="256"/>
      <c r="D14" s="256"/>
      <c r="E14" s="256"/>
      <c r="F14" s="256"/>
      <c r="H14" s="257"/>
      <c r="I14" s="277"/>
      <c r="J14" s="277"/>
      <c r="Q14" s="277"/>
      <c r="X14" s="277"/>
      <c r="AE14" s="277"/>
    </row>
    <row r="15" spans="2:31" ht="12.75">
      <c r="B15" s="256"/>
      <c r="C15" s="256"/>
      <c r="D15" s="256"/>
      <c r="E15" s="256"/>
      <c r="F15" s="256"/>
      <c r="H15" s="257"/>
      <c r="I15" s="277"/>
      <c r="J15" s="277"/>
      <c r="Q15" s="277"/>
      <c r="X15" s="277"/>
      <c r="AE15" s="277"/>
    </row>
    <row r="16" spans="2:31" ht="12.75">
      <c r="B16" s="256"/>
      <c r="C16" s="256"/>
      <c r="D16" s="256"/>
      <c r="E16" s="256"/>
      <c r="F16" s="256"/>
      <c r="H16" s="257"/>
      <c r="I16" s="277"/>
      <c r="J16" s="277"/>
      <c r="Q16" s="277"/>
      <c r="X16" s="277"/>
      <c r="AE16" s="277"/>
    </row>
    <row r="17" spans="2:31" ht="12.75">
      <c r="B17" s="256"/>
      <c r="C17" s="256"/>
      <c r="D17" s="256"/>
      <c r="E17" s="256"/>
      <c r="F17" s="256"/>
      <c r="H17" s="257"/>
      <c r="I17" s="277"/>
      <c r="J17" s="277"/>
      <c r="Q17" s="277"/>
      <c r="X17" s="277"/>
      <c r="AE17" s="277"/>
    </row>
    <row r="18" spans="2:31" ht="12.75">
      <c r="B18" s="256"/>
      <c r="C18" s="256"/>
      <c r="D18" s="256"/>
      <c r="E18" s="256"/>
      <c r="F18" s="256"/>
      <c r="H18" s="257"/>
      <c r="I18" s="277"/>
      <c r="J18" s="277"/>
      <c r="Q18" s="277"/>
      <c r="X18" s="277"/>
      <c r="AE18" s="277"/>
    </row>
    <row r="19" spans="2:31" ht="12.75">
      <c r="B19" s="256"/>
      <c r="C19" s="256"/>
      <c r="D19" s="256"/>
      <c r="E19" s="256"/>
      <c r="F19" s="256"/>
      <c r="H19" s="257"/>
      <c r="I19" s="277"/>
      <c r="J19" s="277"/>
      <c r="Q19" s="277"/>
      <c r="X19" s="277"/>
      <c r="AE19" s="277"/>
    </row>
    <row r="20" spans="2:31" ht="12.75">
      <c r="B20" s="256"/>
      <c r="C20" s="256"/>
      <c r="D20" s="256"/>
      <c r="E20" s="256"/>
      <c r="F20" s="256"/>
      <c r="H20" s="257"/>
      <c r="I20" s="277"/>
      <c r="J20" s="277"/>
      <c r="Q20" s="277"/>
      <c r="X20" s="277"/>
      <c r="AE20" s="277"/>
    </row>
    <row r="21" spans="2:31" ht="12.75">
      <c r="B21" s="256"/>
      <c r="C21" s="256"/>
      <c r="D21" s="256"/>
      <c r="E21" s="256"/>
      <c r="F21" s="256"/>
      <c r="H21" s="257"/>
      <c r="I21" s="277"/>
      <c r="J21" s="277"/>
      <c r="Q21" s="277"/>
      <c r="X21" s="277"/>
      <c r="AE21" s="277"/>
    </row>
    <row r="22" spans="2:31" ht="12.75">
      <c r="B22" s="256"/>
      <c r="C22" s="256"/>
      <c r="D22" s="256"/>
      <c r="E22" s="256"/>
      <c r="F22" s="256"/>
      <c r="H22" s="257"/>
      <c r="I22" s="277"/>
      <c r="J22" s="277"/>
      <c r="Q22" s="277"/>
      <c r="X22" s="277"/>
      <c r="AE22" s="277"/>
    </row>
    <row r="23" spans="2:31" ht="12.75">
      <c r="B23" s="256"/>
      <c r="C23" s="256"/>
      <c r="D23" s="256"/>
      <c r="E23" s="256"/>
      <c r="F23" s="256"/>
      <c r="H23" s="257"/>
      <c r="I23" s="277"/>
      <c r="J23" s="277"/>
      <c r="Q23" s="277"/>
      <c r="X23" s="277"/>
      <c r="AE23" s="277"/>
    </row>
    <row r="24" spans="2:31" ht="12.75">
      <c r="B24" s="256"/>
      <c r="C24" s="256"/>
      <c r="D24" s="256"/>
      <c r="E24" s="256"/>
      <c r="F24" s="256"/>
      <c r="H24" s="257"/>
      <c r="I24" s="277"/>
      <c r="J24" s="277"/>
      <c r="Q24" s="277"/>
      <c r="X24" s="277"/>
      <c r="AE24" s="277"/>
    </row>
    <row r="25" spans="2:31" ht="12.75">
      <c r="B25" s="256"/>
      <c r="C25" s="256"/>
      <c r="D25" s="256"/>
      <c r="E25" s="256"/>
      <c r="F25" s="256"/>
      <c r="H25" s="257"/>
      <c r="I25" s="277"/>
      <c r="J25" s="277"/>
      <c r="Q25" s="277"/>
      <c r="X25" s="277"/>
      <c r="AE25" s="277"/>
    </row>
    <row r="26" spans="2:31" ht="12.75">
      <c r="B26" s="256"/>
      <c r="C26" s="256"/>
      <c r="D26" s="256"/>
      <c r="E26" s="256"/>
      <c r="F26" s="256"/>
      <c r="H26" s="257"/>
      <c r="I26" s="277"/>
      <c r="J26" s="277"/>
      <c r="Q26" s="277"/>
      <c r="X26" s="277"/>
      <c r="AE26" s="277"/>
    </row>
    <row r="27" spans="2:31" ht="12.75">
      <c r="B27" s="256"/>
      <c r="C27" s="256"/>
      <c r="D27" s="256"/>
      <c r="E27" s="256"/>
      <c r="F27" s="256"/>
      <c r="H27" s="257"/>
      <c r="I27" s="277"/>
      <c r="J27" s="277"/>
      <c r="Q27" s="277"/>
      <c r="X27" s="277"/>
      <c r="AE27" s="277"/>
    </row>
    <row r="28" spans="2:31" ht="12.75">
      <c r="B28" s="256"/>
      <c r="C28" s="256"/>
      <c r="D28" s="256"/>
      <c r="E28" s="256"/>
      <c r="F28" s="256"/>
      <c r="H28" s="257"/>
      <c r="I28" s="277"/>
      <c r="J28" s="277"/>
      <c r="Q28" s="277"/>
      <c r="X28" s="277"/>
      <c r="AE28" s="277"/>
    </row>
    <row r="29" spans="2:31" ht="12.75">
      <c r="B29" s="256"/>
      <c r="C29" s="256"/>
      <c r="D29" s="256"/>
      <c r="E29" s="256"/>
      <c r="F29" s="256"/>
      <c r="H29" s="257"/>
      <c r="I29" s="277"/>
      <c r="J29" s="277"/>
      <c r="Q29" s="277"/>
      <c r="X29" s="277"/>
      <c r="AE29" s="277"/>
    </row>
    <row r="30" spans="2:31" ht="12.75">
      <c r="B30" s="256"/>
      <c r="C30" s="256"/>
      <c r="D30" s="256"/>
      <c r="E30" s="256"/>
      <c r="F30" s="256"/>
      <c r="G30" s="258"/>
      <c r="H30" s="257"/>
      <c r="I30" s="277"/>
      <c r="J30" s="277"/>
      <c r="Q30" s="277"/>
      <c r="X30" s="277"/>
      <c r="AE30" s="277"/>
    </row>
    <row r="31" spans="2:31" ht="12.75">
      <c r="B31" s="256"/>
      <c r="C31" s="256"/>
      <c r="D31" s="256"/>
      <c r="E31" s="256"/>
      <c r="F31" s="256"/>
      <c r="G31" s="258"/>
      <c r="H31" s="257"/>
      <c r="I31" s="277"/>
      <c r="J31" s="277"/>
      <c r="Q31" s="277"/>
      <c r="X31" s="277"/>
      <c r="AE31" s="277"/>
    </row>
    <row r="32" spans="2:31" ht="12.75">
      <c r="B32" s="256"/>
      <c r="C32" s="256"/>
      <c r="D32" s="256"/>
      <c r="H32" s="257"/>
      <c r="I32" s="277"/>
      <c r="J32" s="277"/>
      <c r="Q32" s="277"/>
      <c r="X32" s="277"/>
      <c r="AE32" s="277"/>
    </row>
    <row r="33" spans="2:31" ht="12.75">
      <c r="B33" s="256"/>
      <c r="C33" s="465"/>
      <c r="D33" s="441"/>
      <c r="E33" s="256"/>
      <c r="F33" s="256"/>
      <c r="G33" s="258"/>
      <c r="H33" s="257"/>
      <c r="I33" s="277"/>
      <c r="J33" s="277"/>
      <c r="Q33" s="277"/>
      <c r="X33" s="277"/>
      <c r="AE33" s="277"/>
    </row>
    <row r="34" spans="2:31" ht="12.75">
      <c r="B34" s="256"/>
      <c r="C34" s="465"/>
      <c r="D34" s="441"/>
      <c r="E34" s="256"/>
      <c r="F34" s="256"/>
      <c r="G34" s="258"/>
      <c r="H34" s="257"/>
      <c r="I34" s="277"/>
      <c r="J34" s="277"/>
      <c r="Q34" s="277"/>
      <c r="X34" s="277"/>
      <c r="AE34" s="277"/>
    </row>
    <row r="35" spans="2:31" ht="12.75">
      <c r="B35" s="256"/>
      <c r="C35" s="465"/>
      <c r="D35" s="441"/>
      <c r="E35" s="256"/>
      <c r="F35" s="256"/>
      <c r="G35" s="258"/>
      <c r="H35" s="257"/>
      <c r="I35" s="277"/>
      <c r="J35" s="277"/>
      <c r="Q35" s="277"/>
      <c r="X35" s="277"/>
      <c r="AE35" s="277"/>
    </row>
    <row r="36" spans="2:31" ht="12.75">
      <c r="B36" s="256"/>
      <c r="C36" s="465"/>
      <c r="D36" s="441"/>
      <c r="E36" s="256"/>
      <c r="F36" s="256"/>
      <c r="G36" s="258"/>
      <c r="H36" s="257"/>
      <c r="I36" s="277"/>
      <c r="J36" s="277"/>
      <c r="Q36" s="277"/>
      <c r="X36" s="277"/>
      <c r="AE36" s="277"/>
    </row>
    <row r="37" spans="2:31" ht="12.75">
      <c r="B37" s="256"/>
      <c r="C37" s="462" t="s">
        <v>16</v>
      </c>
      <c r="D37" s="440" t="s">
        <v>33</v>
      </c>
      <c r="E37" s="256"/>
      <c r="F37" s="256"/>
      <c r="G37" s="259"/>
      <c r="H37" s="257"/>
      <c r="I37" s="277"/>
      <c r="J37" s="277"/>
      <c r="Q37" s="277"/>
      <c r="X37" s="277"/>
      <c r="AE37" s="277"/>
    </row>
    <row r="38" spans="2:31" ht="12.75">
      <c r="B38" s="256"/>
      <c r="C38" s="463"/>
      <c r="D38" s="441"/>
      <c r="E38" s="256"/>
      <c r="F38" s="256"/>
      <c r="G38" s="259"/>
      <c r="H38" s="257"/>
      <c r="I38" s="277"/>
      <c r="J38" s="277"/>
      <c r="Q38" s="277"/>
      <c r="X38" s="277"/>
      <c r="AE38" s="277"/>
    </row>
    <row r="39" spans="2:31" ht="12.75">
      <c r="B39" s="256"/>
      <c r="C39" s="464"/>
      <c r="D39" s="442"/>
      <c r="E39" s="256"/>
      <c r="F39" s="256"/>
      <c r="G39" s="259"/>
      <c r="H39" s="257"/>
      <c r="I39" s="277"/>
      <c r="J39" s="277"/>
      <c r="Q39" s="277"/>
      <c r="X39" s="277"/>
      <c r="AE39" s="277"/>
    </row>
    <row r="40" spans="2:31" ht="12.75">
      <c r="B40" s="256"/>
      <c r="C40" s="256"/>
      <c r="D40" s="256"/>
      <c r="E40" s="256"/>
      <c r="F40" s="256"/>
      <c r="G40" s="259"/>
      <c r="H40" s="257"/>
      <c r="I40" s="277"/>
      <c r="J40" s="277"/>
      <c r="Q40" s="277"/>
      <c r="X40" s="277"/>
      <c r="AE40" s="277"/>
    </row>
    <row r="41" spans="2:31" ht="12.75">
      <c r="B41" s="256"/>
      <c r="C41" s="256"/>
      <c r="D41" s="256"/>
      <c r="E41" s="256"/>
      <c r="F41" s="256"/>
      <c r="G41" s="259"/>
      <c r="H41" s="257"/>
      <c r="I41" s="277"/>
      <c r="J41" s="277"/>
      <c r="Q41" s="277"/>
      <c r="X41" s="277"/>
      <c r="AE41" s="277"/>
    </row>
    <row r="42" spans="2:31" ht="12.75">
      <c r="B42" s="256"/>
      <c r="C42" s="256"/>
      <c r="D42" s="256"/>
      <c r="E42" s="256"/>
      <c r="F42" s="256"/>
      <c r="G42" s="259"/>
      <c r="H42" s="257"/>
      <c r="I42" s="277"/>
      <c r="J42" s="277"/>
      <c r="Q42" s="277"/>
      <c r="X42" s="277"/>
      <c r="AE42" s="277"/>
    </row>
  </sheetData>
  <sheetProtection/>
  <mergeCells count="30">
    <mergeCell ref="J4:J5"/>
    <mergeCell ref="Q4:Q5"/>
    <mergeCell ref="X4:X5"/>
    <mergeCell ref="AE4:AE5"/>
    <mergeCell ref="A4:A5"/>
    <mergeCell ref="B4:B5"/>
    <mergeCell ref="C4:C5"/>
    <mergeCell ref="D4:D5"/>
    <mergeCell ref="Y4:AD4"/>
    <mergeCell ref="AF4:AK4"/>
    <mergeCell ref="E4:E5"/>
    <mergeCell ref="F4:F5"/>
    <mergeCell ref="G4:G5"/>
    <mergeCell ref="H4:H5"/>
    <mergeCell ref="C37:C39"/>
    <mergeCell ref="D37:D39"/>
    <mergeCell ref="K4:P4"/>
    <mergeCell ref="R4:W4"/>
    <mergeCell ref="B1:G1"/>
    <mergeCell ref="B2:G2"/>
    <mergeCell ref="B3:G3"/>
    <mergeCell ref="C33:C36"/>
    <mergeCell ref="D33:D36"/>
    <mergeCell ref="I4:I5"/>
    <mergeCell ref="E11:E12"/>
    <mergeCell ref="F11:F12"/>
    <mergeCell ref="A6:A12"/>
    <mergeCell ref="B6:B12"/>
    <mergeCell ref="C6:C12"/>
    <mergeCell ref="D6:D12"/>
  </mergeCells>
  <printOptions horizontalCentered="1"/>
  <pageMargins left="0.3937007874015748" right="1.1811023622047245" top="0.984251968503937" bottom="0.984251968503937" header="0.5118110236220472" footer="0.5118110236220472"/>
  <pageSetup fitToHeight="1" fitToWidth="1" horizontalDpi="600" verticalDpi="600" orientation="landscape" scale="81" r:id="rId1"/>
  <rowBreaks count="1" manualBreakCount="1">
    <brk id="39" max="5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5"/>
  <sheetViews>
    <sheetView zoomScale="130" zoomScaleNormal="130" zoomScalePageLayoutView="0" workbookViewId="0" topLeftCell="A1">
      <selection activeCell="B13" sqref="B13"/>
    </sheetView>
  </sheetViews>
  <sheetFormatPr defaultColWidth="11.421875" defaultRowHeight="15"/>
  <cols>
    <col min="1" max="1" width="2.00390625" style="262" bestFit="1" customWidth="1"/>
    <col min="2" max="2" width="42.7109375" style="35" bestFit="1" customWidth="1"/>
    <col min="3" max="3" width="6.140625" style="35" customWidth="1"/>
    <col min="4" max="7" width="15.28125" style="36" customWidth="1"/>
    <col min="8" max="16384" width="11.421875" style="35" customWidth="1"/>
  </cols>
  <sheetData>
    <row r="1" spans="1:8" ht="16.5">
      <c r="A1" s="261"/>
      <c r="B1" s="469" t="s">
        <v>155</v>
      </c>
      <c r="C1" s="469"/>
      <c r="D1" s="469"/>
      <c r="E1" s="469"/>
      <c r="F1" s="469"/>
      <c r="G1" s="469"/>
      <c r="H1" s="469"/>
    </row>
    <row r="2" spans="1:8" ht="16.5">
      <c r="A2" s="261"/>
      <c r="B2" s="470" t="s">
        <v>606</v>
      </c>
      <c r="C2" s="470"/>
      <c r="D2" s="470"/>
      <c r="E2" s="470"/>
      <c r="F2" s="470"/>
      <c r="G2" s="470"/>
      <c r="H2" s="470"/>
    </row>
    <row r="3" spans="1:8" ht="16.5">
      <c r="A3" s="261"/>
      <c r="B3" s="471" t="s">
        <v>156</v>
      </c>
      <c r="C3" s="471"/>
      <c r="D3" s="471"/>
      <c r="E3" s="471"/>
      <c r="F3" s="471"/>
      <c r="G3" s="471"/>
      <c r="H3" s="471"/>
    </row>
    <row r="4" spans="1:7" ht="16.5">
      <c r="A4" s="261"/>
      <c r="B4" s="467"/>
      <c r="C4" s="467"/>
      <c r="D4" s="467"/>
      <c r="E4" s="467"/>
      <c r="F4" s="467"/>
      <c r="G4" s="467"/>
    </row>
    <row r="5" spans="1:8" ht="16.5">
      <c r="A5" s="261"/>
      <c r="B5" s="77" t="s">
        <v>157</v>
      </c>
      <c r="C5" s="77"/>
      <c r="D5" s="78" t="s">
        <v>158</v>
      </c>
      <c r="E5" s="78" t="s">
        <v>159</v>
      </c>
      <c r="F5" s="78" t="s">
        <v>160</v>
      </c>
      <c r="G5" s="78" t="s">
        <v>161</v>
      </c>
      <c r="H5" s="78" t="s">
        <v>44</v>
      </c>
    </row>
    <row r="6" spans="1:9" ht="16.5">
      <c r="A6" s="261"/>
      <c r="B6" s="79" t="s">
        <v>162</v>
      </c>
      <c r="C6" s="79"/>
      <c r="D6" s="80">
        <f>+D7+D11</f>
        <v>2944.9168968143754</v>
      </c>
      <c r="E6" s="80">
        <f>+E7+E11</f>
        <v>2973.852505812668</v>
      </c>
      <c r="F6" s="80">
        <f>+F7+F11</f>
        <v>3088.3721810046072</v>
      </c>
      <c r="G6" s="80">
        <f>+G7+G11</f>
        <v>3213.1748138345242</v>
      </c>
      <c r="H6" s="80">
        <f>+H7+H11</f>
        <v>12160.316397466175</v>
      </c>
      <c r="I6" s="36"/>
    </row>
    <row r="7" spans="1:8" ht="16.5">
      <c r="A7" s="261"/>
      <c r="B7" s="40" t="s">
        <v>163</v>
      </c>
      <c r="C7" s="40"/>
      <c r="D7" s="41">
        <f>SUM(D8:D10)</f>
        <v>851.9024037614</v>
      </c>
      <c r="E7" s="41">
        <f>SUM(E8:E10)</f>
        <v>856.5619341182419</v>
      </c>
      <c r="F7" s="41">
        <f>SUM(F8:F10)</f>
        <v>861.2985577605211</v>
      </c>
      <c r="G7" s="41">
        <f>SUM(G8:G10)</f>
        <v>866.1143994089249</v>
      </c>
      <c r="H7" s="41">
        <f>SUM(H8:H10)</f>
        <v>3435.877295049088</v>
      </c>
    </row>
    <row r="8" spans="2:8" ht="16.5">
      <c r="B8" s="42" t="s">
        <v>164</v>
      </c>
      <c r="C8" s="42"/>
      <c r="D8" s="43">
        <v>57.50940934</v>
      </c>
      <c r="E8" s="43">
        <v>59.2346916202</v>
      </c>
      <c r="F8" s="43">
        <v>61.011732368806</v>
      </c>
      <c r="G8" s="43">
        <v>62.8420843398702</v>
      </c>
      <c r="H8" s="43">
        <f>SUM(D8:G8)</f>
        <v>240.59791766887622</v>
      </c>
    </row>
    <row r="9" spans="2:8" ht="16.5">
      <c r="B9" s="42" t="s">
        <v>165</v>
      </c>
      <c r="C9" s="42"/>
      <c r="D9" s="43">
        <v>20.4099664214</v>
      </c>
      <c r="E9" s="43">
        <v>21.022265414042</v>
      </c>
      <c r="F9" s="43">
        <v>21.6529333764633</v>
      </c>
      <c r="G9" s="43">
        <v>22.3025213777572</v>
      </c>
      <c r="H9" s="43">
        <f>SUM(D9:G9)</f>
        <v>85.3876865896625</v>
      </c>
    </row>
    <row r="10" spans="2:8" ht="16.5">
      <c r="B10" s="42" t="s">
        <v>166</v>
      </c>
      <c r="C10" s="42"/>
      <c r="D10" s="43">
        <v>773.983028</v>
      </c>
      <c r="E10" s="43">
        <v>776.3049770839999</v>
      </c>
      <c r="F10" s="43">
        <v>778.6338920152518</v>
      </c>
      <c r="G10" s="43">
        <v>780.9697936912975</v>
      </c>
      <c r="H10" s="43">
        <f>SUM(D10:G10)</f>
        <v>3109.891690790549</v>
      </c>
    </row>
    <row r="11" spans="2:8" ht="16.5">
      <c r="B11" s="44" t="s">
        <v>167</v>
      </c>
      <c r="C11" s="44"/>
      <c r="D11" s="45">
        <f>+D12+D16+D32+D33+D37</f>
        <v>2093.0144930529755</v>
      </c>
      <c r="E11" s="45">
        <f>+E12+E16+E32+E33+E37</f>
        <v>2117.290571694426</v>
      </c>
      <c r="F11" s="45">
        <f>+F12+F16+F32+F33+F37</f>
        <v>2227.0736232440863</v>
      </c>
      <c r="G11" s="45">
        <f>+G12+G16+G32+G33+G37</f>
        <v>2347.0604144255994</v>
      </c>
      <c r="H11" s="45">
        <f>+H12+H16+H32+H33+H37</f>
        <v>8724.439102417087</v>
      </c>
    </row>
    <row r="12" spans="2:8" ht="16.5">
      <c r="B12" s="46" t="s">
        <v>168</v>
      </c>
      <c r="C12" s="46"/>
      <c r="D12" s="47">
        <f>SUM(D13:D15)</f>
        <v>197.0834143257025</v>
      </c>
      <c r="E12" s="47">
        <f>SUM(E13:E14)</f>
        <v>115.28071824351679</v>
      </c>
      <c r="F12" s="47">
        <f>SUM(F13:F14)</f>
        <v>112.79450488612301</v>
      </c>
      <c r="G12" s="47">
        <f>SUM(G13:G14)</f>
        <v>113.95163571382132</v>
      </c>
      <c r="H12" s="47">
        <f>SUM(H13:H14)</f>
        <v>479.11027316916363</v>
      </c>
    </row>
    <row r="13" spans="2:8" ht="16.5">
      <c r="B13" s="48" t="s">
        <v>169</v>
      </c>
      <c r="C13" s="48"/>
      <c r="D13" s="43">
        <v>85.83309442273838</v>
      </c>
      <c r="E13" s="43">
        <v>48.179567662441535</v>
      </c>
      <c r="F13" s="43">
        <v>34.70818726599634</v>
      </c>
      <c r="G13" s="43">
        <v>28.489852602172196</v>
      </c>
      <c r="H13" s="43">
        <f>SUM(D13:G13)</f>
        <v>197.21070195334846</v>
      </c>
    </row>
    <row r="14" spans="2:8" ht="16.5">
      <c r="B14" s="48" t="s">
        <v>170</v>
      </c>
      <c r="C14" s="48"/>
      <c r="D14" s="43">
        <v>51.25031990296411</v>
      </c>
      <c r="E14" s="43">
        <v>67.10115058107525</v>
      </c>
      <c r="F14" s="43">
        <v>78.08631762012668</v>
      </c>
      <c r="G14" s="43">
        <v>85.46178311164913</v>
      </c>
      <c r="H14" s="43">
        <f>SUM(D14:G14)</f>
        <v>281.8995712158152</v>
      </c>
    </row>
    <row r="15" spans="2:8" ht="16.5">
      <c r="B15" s="48" t="s">
        <v>437</v>
      </c>
      <c r="C15" s="48"/>
      <c r="D15" s="43">
        <v>60</v>
      </c>
      <c r="E15" s="43"/>
      <c r="F15" s="43"/>
      <c r="G15" s="43"/>
      <c r="H15" s="43"/>
    </row>
    <row r="16" spans="2:8" ht="16.5">
      <c r="B16" s="40" t="s">
        <v>171</v>
      </c>
      <c r="C16" s="40"/>
      <c r="D16" s="41">
        <f>+D17+D31+D30</f>
        <v>1810.9620787272727</v>
      </c>
      <c r="E16" s="41">
        <f>+E17+E31+E30</f>
        <v>1914.4917834509095</v>
      </c>
      <c r="F16" s="41">
        <f>+F17+F31+F30</f>
        <v>2024.1355062579637</v>
      </c>
      <c r="G16" s="41">
        <f>+G17+G31+G30</f>
        <v>2140.260858248778</v>
      </c>
      <c r="H16" s="41">
        <f>+H17+H31+H30</f>
        <v>7889.850226684924</v>
      </c>
    </row>
    <row r="17" spans="2:8" ht="16.5">
      <c r="B17" s="49" t="s">
        <v>143</v>
      </c>
      <c r="C17" s="49"/>
      <c r="D17" s="50">
        <f>D18+D21+D24+D25+D29</f>
        <v>1602.2240787272726</v>
      </c>
      <c r="E17" s="50">
        <f>E18+E21+E24+E25+E29</f>
        <v>1699.4916434509094</v>
      </c>
      <c r="F17" s="50">
        <f>F18+F21+F24+F25+F29</f>
        <v>1802.6853620579636</v>
      </c>
      <c r="G17" s="50">
        <f>G18+G21+G24+G25+G29</f>
        <v>1912.1672097227777</v>
      </c>
      <c r="H17" s="50">
        <f>H18+H21+H24+H25+H29</f>
        <v>7016.568293958923</v>
      </c>
    </row>
    <row r="18" spans="2:8" ht="16.5">
      <c r="B18" s="51" t="s">
        <v>144</v>
      </c>
      <c r="C18" s="51"/>
      <c r="D18" s="52">
        <f>SUM(D19:D20)</f>
        <v>63.087</v>
      </c>
      <c r="E18" s="52">
        <f>SUM(E19:E20)</f>
        <v>68.007</v>
      </c>
      <c r="F18" s="52">
        <f>SUM(F19:F20)</f>
        <v>73.31099999999999</v>
      </c>
      <c r="G18" s="52">
        <f>SUM(G19:G20)</f>
        <v>79.03</v>
      </c>
      <c r="H18" s="52">
        <f>SUM(H19:H20)</f>
        <v>283.435</v>
      </c>
    </row>
    <row r="19" spans="2:8" ht="16.5">
      <c r="B19" s="53" t="s">
        <v>145</v>
      </c>
      <c r="C19" s="53"/>
      <c r="D19" s="43">
        <v>43.833</v>
      </c>
      <c r="E19" s="43">
        <v>47.252</v>
      </c>
      <c r="F19" s="43">
        <v>50.937</v>
      </c>
      <c r="G19" s="43">
        <v>54.911</v>
      </c>
      <c r="H19" s="43">
        <f>SUM(D19:G19)</f>
        <v>196.933</v>
      </c>
    </row>
    <row r="20" spans="2:8" ht="16.5">
      <c r="B20" s="54" t="s">
        <v>146</v>
      </c>
      <c r="C20" s="54"/>
      <c r="D20" s="254">
        <v>19.254</v>
      </c>
      <c r="E20" s="254">
        <v>20.755</v>
      </c>
      <c r="F20" s="254">
        <v>22.374</v>
      </c>
      <c r="G20" s="254">
        <v>24.119</v>
      </c>
      <c r="H20" s="43">
        <f>SUM(D20:G20)</f>
        <v>86.502</v>
      </c>
    </row>
    <row r="21" spans="2:8" ht="16.5">
      <c r="B21" s="51" t="s">
        <v>147</v>
      </c>
      <c r="C21" s="51"/>
      <c r="D21" s="52">
        <f>SUM(D22:D23)</f>
        <v>240.863986</v>
      </c>
      <c r="E21" s="52">
        <f>SUM(E22:E23)</f>
        <v>255.31582516000003</v>
      </c>
      <c r="F21" s="52">
        <f>SUM(F22:F23)</f>
        <v>270.63477466960006</v>
      </c>
      <c r="G21" s="52">
        <f>SUM(G22:G23)</f>
        <v>286.87286114977604</v>
      </c>
      <c r="H21" s="52">
        <f>SUM(H22:H23)</f>
        <v>1053.6874469793763</v>
      </c>
    </row>
    <row r="22" spans="2:8" ht="16.5">
      <c r="B22" s="53" t="s">
        <v>148</v>
      </c>
      <c r="C22" s="53"/>
      <c r="D22" s="43">
        <v>225.48516</v>
      </c>
      <c r="E22" s="43">
        <v>239.01426960000003</v>
      </c>
      <c r="F22" s="43">
        <v>253.35512577600005</v>
      </c>
      <c r="G22" s="43">
        <v>268.55643332256005</v>
      </c>
      <c r="H22" s="43">
        <f>SUM(D22:G22)</f>
        <v>986.4109886985602</v>
      </c>
    </row>
    <row r="23" spans="2:8" ht="16.5">
      <c r="B23" s="53" t="s">
        <v>149</v>
      </c>
      <c r="C23" s="53"/>
      <c r="D23" s="43">
        <v>15.378826</v>
      </c>
      <c r="E23" s="43">
        <v>16.30155556</v>
      </c>
      <c r="F23" s="43">
        <v>17.2796488936</v>
      </c>
      <c r="G23" s="43">
        <v>18.316427827216003</v>
      </c>
      <c r="H23" s="43">
        <f>SUM(D23:G23)</f>
        <v>67.276458280816</v>
      </c>
    </row>
    <row r="24" spans="2:8" ht="16.5">
      <c r="B24" s="51" t="s">
        <v>172</v>
      </c>
      <c r="C24" s="51"/>
      <c r="D24" s="255">
        <v>211.9257527272727</v>
      </c>
      <c r="E24" s="255">
        <v>224.64129789090907</v>
      </c>
      <c r="F24" s="255">
        <v>238.11977576436362</v>
      </c>
      <c r="G24" s="255">
        <v>252.40696231022545</v>
      </c>
      <c r="H24" s="43">
        <f>SUM(D24:G24)</f>
        <v>927.0937886927709</v>
      </c>
    </row>
    <row r="25" spans="2:8" ht="16.5">
      <c r="B25" s="51" t="s">
        <v>150</v>
      </c>
      <c r="C25" s="51"/>
      <c r="D25" s="52">
        <f>SUM(D26:D28)</f>
        <v>1080.58634</v>
      </c>
      <c r="E25" s="52">
        <f>SUM(E26:E28)</f>
        <v>1145.4215204000002</v>
      </c>
      <c r="F25" s="52">
        <f>SUM(F26:F28)</f>
        <v>1214.146811624</v>
      </c>
      <c r="G25" s="52">
        <f>SUM(G26:G28)</f>
        <v>1286.9956203214401</v>
      </c>
      <c r="H25" s="52">
        <f>SUM(H26:H28)</f>
        <v>4727.15029234544</v>
      </c>
    </row>
    <row r="26" spans="2:8" ht="16.5">
      <c r="B26" s="53" t="s">
        <v>151</v>
      </c>
      <c r="C26" s="53"/>
      <c r="D26" s="43">
        <v>59.940365</v>
      </c>
      <c r="E26" s="43">
        <v>63.5367869</v>
      </c>
      <c r="F26" s="43">
        <v>67.348994114</v>
      </c>
      <c r="G26" s="43">
        <v>71.38993376084001</v>
      </c>
      <c r="H26" s="43">
        <f aca="true" t="shared" si="0" ref="H26:H32">SUM(D26:G26)</f>
        <v>262.21607977484</v>
      </c>
    </row>
    <row r="27" spans="2:8" ht="16.5">
      <c r="B27" s="55" t="s">
        <v>152</v>
      </c>
      <c r="C27" s="55"/>
      <c r="D27" s="56">
        <v>44.955275</v>
      </c>
      <c r="E27" s="56">
        <v>47.6525915</v>
      </c>
      <c r="F27" s="56">
        <v>50.51174699</v>
      </c>
      <c r="G27" s="56">
        <v>53.5424518094</v>
      </c>
      <c r="H27" s="43">
        <f t="shared" si="0"/>
        <v>196.6620652994</v>
      </c>
    </row>
    <row r="28" spans="2:8" ht="16.5">
      <c r="B28" s="54" t="s">
        <v>153</v>
      </c>
      <c r="C28" s="54"/>
      <c r="D28" s="57">
        <v>975.6907000000001</v>
      </c>
      <c r="E28" s="57">
        <v>1034.232142</v>
      </c>
      <c r="F28" s="57">
        <v>1096.28607052</v>
      </c>
      <c r="G28" s="57">
        <v>1162.0632347512</v>
      </c>
      <c r="H28" s="43">
        <f t="shared" si="0"/>
        <v>4268.2721472712</v>
      </c>
    </row>
    <row r="29" spans="2:8" ht="16.5">
      <c r="B29" s="58" t="s">
        <v>154</v>
      </c>
      <c r="C29" s="58"/>
      <c r="D29" s="59">
        <v>5.761</v>
      </c>
      <c r="E29" s="59">
        <v>6.106</v>
      </c>
      <c r="F29" s="59">
        <v>6.473</v>
      </c>
      <c r="G29" s="59">
        <v>6.861765941336</v>
      </c>
      <c r="H29" s="60">
        <f t="shared" si="0"/>
        <v>25.201765941336</v>
      </c>
    </row>
    <row r="30" spans="2:8" ht="16.5">
      <c r="B30" s="58" t="s">
        <v>173</v>
      </c>
      <c r="C30" s="58"/>
      <c r="D30" s="59">
        <v>208.738</v>
      </c>
      <c r="E30" s="59">
        <f>+D30*1.03</f>
        <v>215.00014000000002</v>
      </c>
      <c r="F30" s="59">
        <f>+E30*1.03</f>
        <v>221.4501442</v>
      </c>
      <c r="G30" s="59">
        <f>+F30*1.03</f>
        <v>228.093648526</v>
      </c>
      <c r="H30" s="60">
        <f t="shared" si="0"/>
        <v>873.281932726</v>
      </c>
    </row>
    <row r="31" spans="2:8" ht="16.5">
      <c r="B31" s="58" t="s">
        <v>174</v>
      </c>
      <c r="C31" s="58"/>
      <c r="D31" s="60">
        <v>0</v>
      </c>
      <c r="E31" s="60">
        <v>0</v>
      </c>
      <c r="F31" s="60">
        <v>0</v>
      </c>
      <c r="G31" s="60">
        <v>0</v>
      </c>
      <c r="H31" s="60">
        <f t="shared" si="0"/>
        <v>0</v>
      </c>
    </row>
    <row r="32" spans="2:8" ht="16.5">
      <c r="B32" s="58" t="s">
        <v>175</v>
      </c>
      <c r="C32" s="58"/>
      <c r="D32" s="59">
        <f>+D54</f>
        <v>37.795</v>
      </c>
      <c r="E32" s="59">
        <f>+E54</f>
        <v>38.928850000000004</v>
      </c>
      <c r="F32" s="59">
        <f>+F54</f>
        <v>40.0967155</v>
      </c>
      <c r="G32" s="59">
        <f>+G54</f>
        <v>41.299616965000006</v>
      </c>
      <c r="H32" s="60">
        <f t="shared" si="0"/>
        <v>158.120182465</v>
      </c>
    </row>
    <row r="33" spans="2:8" ht="16.5">
      <c r="B33" s="61" t="s">
        <v>176</v>
      </c>
      <c r="C33" s="61"/>
      <c r="D33" s="41">
        <f>SUM(D34:D36)</f>
        <v>47.174</v>
      </c>
      <c r="E33" s="41">
        <f>SUM(E34:E36)</f>
        <v>48.589220000000005</v>
      </c>
      <c r="F33" s="41">
        <f>SUM(F34:F36)</f>
        <v>50.046896600000004</v>
      </c>
      <c r="G33" s="41">
        <f>SUM(G34:G36)</f>
        <v>51.548303498</v>
      </c>
      <c r="H33" s="41">
        <f>SUM(H34:H36)</f>
        <v>197.358420098</v>
      </c>
    </row>
    <row r="34" spans="2:8" ht="16.5">
      <c r="B34" s="53" t="s">
        <v>177</v>
      </c>
      <c r="C34" s="53"/>
      <c r="D34" s="37">
        <v>15</v>
      </c>
      <c r="E34" s="37">
        <f>+D34*1.03</f>
        <v>15.450000000000001</v>
      </c>
      <c r="F34" s="37">
        <f aca="true" t="shared" si="1" ref="F34:G36">+E34*1.03</f>
        <v>15.9135</v>
      </c>
      <c r="G34" s="37">
        <f t="shared" si="1"/>
        <v>16.390905</v>
      </c>
      <c r="H34" s="43">
        <f>SUM(D34:G34)</f>
        <v>62.754405000000006</v>
      </c>
    </row>
    <row r="35" spans="2:8" ht="16.5">
      <c r="B35" s="55" t="s">
        <v>178</v>
      </c>
      <c r="C35" s="55"/>
      <c r="D35" s="56">
        <v>25</v>
      </c>
      <c r="E35" s="43">
        <f>+D35*1.03</f>
        <v>25.75</v>
      </c>
      <c r="F35" s="43">
        <f t="shared" si="1"/>
        <v>26.5225</v>
      </c>
      <c r="G35" s="43">
        <f t="shared" si="1"/>
        <v>27.318175</v>
      </c>
      <c r="H35" s="43">
        <f>SUM(D35:G35)</f>
        <v>104.590675</v>
      </c>
    </row>
    <row r="36" spans="2:8" ht="16.5">
      <c r="B36" s="54" t="s">
        <v>179</v>
      </c>
      <c r="C36" s="54"/>
      <c r="D36" s="43">
        <v>7.174</v>
      </c>
      <c r="E36" s="43">
        <f>+D36*1.03</f>
        <v>7.389220000000001</v>
      </c>
      <c r="F36" s="43">
        <f t="shared" si="1"/>
        <v>7.610896600000001</v>
      </c>
      <c r="G36" s="43">
        <f t="shared" si="1"/>
        <v>7.839223498000002</v>
      </c>
      <c r="H36" s="43">
        <f>SUM(D36:G36)</f>
        <v>30.013340098000004</v>
      </c>
    </row>
    <row r="37" spans="2:8" ht="16.5">
      <c r="B37" s="40" t="s">
        <v>208</v>
      </c>
      <c r="C37" s="40"/>
      <c r="D37" s="41">
        <v>0</v>
      </c>
      <c r="E37" s="41">
        <v>0</v>
      </c>
      <c r="F37" s="41">
        <v>0</v>
      </c>
      <c r="G37" s="41">
        <v>0</v>
      </c>
      <c r="H37" s="41">
        <f>SUM(D37:G37)</f>
        <v>0</v>
      </c>
    </row>
    <row r="38" spans="4:7" ht="16.5">
      <c r="D38" s="35"/>
      <c r="E38" s="35"/>
      <c r="F38" s="35"/>
      <c r="G38" s="35"/>
    </row>
    <row r="39" spans="2:7" ht="16.5">
      <c r="B39" s="38" t="s">
        <v>180</v>
      </c>
      <c r="C39" s="38"/>
      <c r="D39" s="39">
        <f>SUM(D40:D43)</f>
        <v>2944.9168968143754</v>
      </c>
      <c r="E39" s="39">
        <f>SUM(E40:E43)</f>
        <v>2973.852505812668</v>
      </c>
      <c r="F39" s="39">
        <f>SUM(F40:F43)</f>
        <v>3088.3721810046072</v>
      </c>
      <c r="G39" s="39">
        <f>SUM(G40:G43)</f>
        <v>3213.1748138345242</v>
      </c>
    </row>
    <row r="40" spans="2:7" ht="16.5">
      <c r="B40" s="42" t="s">
        <v>181</v>
      </c>
      <c r="C40" s="42"/>
      <c r="D40" s="43">
        <v>670.4</v>
      </c>
      <c r="E40" s="43">
        <f>+D40*1.03</f>
        <v>690.512</v>
      </c>
      <c r="F40" s="43">
        <f>+E40*1.03</f>
        <v>711.22736</v>
      </c>
      <c r="G40" s="43">
        <f>+F40*1.03</f>
        <v>732.5641808</v>
      </c>
    </row>
    <row r="41" spans="2:7" ht="16.5">
      <c r="B41" s="87" t="s">
        <v>182</v>
      </c>
      <c r="C41" s="87"/>
      <c r="D41" s="43"/>
      <c r="E41" s="43"/>
      <c r="F41" s="43"/>
      <c r="G41" s="43"/>
    </row>
    <row r="42" spans="2:7" ht="16.5">
      <c r="B42" s="87" t="s">
        <v>183</v>
      </c>
      <c r="C42" s="87"/>
      <c r="D42" s="43"/>
      <c r="E42" s="43"/>
      <c r="F42" s="43"/>
      <c r="G42" s="43"/>
    </row>
    <row r="43" spans="2:7" ht="16.5">
      <c r="B43" s="62" t="s">
        <v>184</v>
      </c>
      <c r="C43" s="62"/>
      <c r="D43" s="39">
        <f>+D6-D40-D41-D42</f>
        <v>2274.5168968143753</v>
      </c>
      <c r="E43" s="39">
        <f>+E6-E40-E41-E42</f>
        <v>2283.340505812668</v>
      </c>
      <c r="F43" s="39">
        <f>+F6-F40-F41-F42</f>
        <v>2377.1448210046074</v>
      </c>
      <c r="G43" s="39">
        <f>+G6-G40-G41-G42</f>
        <v>2480.610633034524</v>
      </c>
    </row>
    <row r="44" spans="2:7" ht="16.5">
      <c r="B44" s="63"/>
      <c r="C44" s="63"/>
      <c r="D44" s="64"/>
      <c r="E44" s="64"/>
      <c r="F44" s="64"/>
      <c r="G44" s="64"/>
    </row>
    <row r="45" spans="2:7" ht="16.5">
      <c r="B45" s="468" t="s">
        <v>185</v>
      </c>
      <c r="C45" s="468"/>
      <c r="D45" s="468"/>
      <c r="E45" s="468"/>
      <c r="F45" s="468"/>
      <c r="G45" s="468"/>
    </row>
    <row r="46" spans="2:7" ht="16.5">
      <c r="B46" s="65"/>
      <c r="C46" s="65"/>
      <c r="D46" s="66"/>
      <c r="E46" s="66"/>
      <c r="F46" s="66"/>
      <c r="G46" s="66"/>
    </row>
    <row r="47" spans="2:7" ht="16.5">
      <c r="B47" s="67" t="s">
        <v>157</v>
      </c>
      <c r="C47" s="67"/>
      <c r="D47" s="68" t="s">
        <v>158</v>
      </c>
      <c r="E47" s="68" t="s">
        <v>159</v>
      </c>
      <c r="F47" s="68" t="s">
        <v>160</v>
      </c>
      <c r="G47" s="68" t="s">
        <v>161</v>
      </c>
    </row>
    <row r="48" spans="2:7" ht="16.5">
      <c r="B48" s="69" t="s">
        <v>186</v>
      </c>
      <c r="C48" s="69"/>
      <c r="D48" s="70">
        <f>+D7-D40</f>
        <v>181.50240376140005</v>
      </c>
      <c r="E48" s="70">
        <f>+E7-E40</f>
        <v>166.04993411824194</v>
      </c>
      <c r="F48" s="70">
        <f>+F7-F40</f>
        <v>150.07119776052116</v>
      </c>
      <c r="G48" s="70">
        <f>+G7-G40</f>
        <v>133.55021860892487</v>
      </c>
    </row>
    <row r="49" spans="2:7" ht="16.5">
      <c r="B49" s="69" t="s">
        <v>187</v>
      </c>
      <c r="C49" s="69"/>
      <c r="D49" s="70">
        <f>+D17-(D41+D42)</f>
        <v>1602.2240787272726</v>
      </c>
      <c r="E49" s="70">
        <f>+E17-(E41+E42)</f>
        <v>1699.4916434509094</v>
      </c>
      <c r="F49" s="70">
        <f>+F17-(F41+F42)</f>
        <v>1802.6853620579636</v>
      </c>
      <c r="G49" s="70">
        <f>+G17-(G41+G42)</f>
        <v>1912.1672097227777</v>
      </c>
    </row>
    <row r="50" spans="2:7" ht="16.5">
      <c r="B50" s="69" t="s">
        <v>188</v>
      </c>
      <c r="C50" s="69"/>
      <c r="D50" s="70">
        <f>+D30+D31</f>
        <v>208.738</v>
      </c>
      <c r="E50" s="70">
        <f>+E30+E31</f>
        <v>215.00014000000002</v>
      </c>
      <c r="F50" s="70">
        <f>+F30+F31</f>
        <v>221.4501442</v>
      </c>
      <c r="G50" s="70">
        <f>+G30+G31</f>
        <v>228.093648526</v>
      </c>
    </row>
    <row r="51" spans="2:7" ht="16.5">
      <c r="B51" s="69" t="s">
        <v>189</v>
      </c>
      <c r="C51" s="69"/>
      <c r="D51" s="70">
        <f>+D37</f>
        <v>0</v>
      </c>
      <c r="E51" s="70">
        <f>+E37</f>
        <v>0</v>
      </c>
      <c r="F51" s="70">
        <f>+F37</f>
        <v>0</v>
      </c>
      <c r="G51" s="70">
        <f>+G37</f>
        <v>0</v>
      </c>
    </row>
    <row r="52" spans="2:7" ht="16.5">
      <c r="B52" s="69" t="s">
        <v>190</v>
      </c>
      <c r="C52" s="69"/>
      <c r="D52" s="70">
        <f aca="true" t="shared" si="2" ref="D52:G53">+D13</f>
        <v>85.83309442273838</v>
      </c>
      <c r="E52" s="70">
        <f t="shared" si="2"/>
        <v>48.179567662441535</v>
      </c>
      <c r="F52" s="70">
        <f t="shared" si="2"/>
        <v>34.70818726599634</v>
      </c>
      <c r="G52" s="70">
        <f t="shared" si="2"/>
        <v>28.489852602172196</v>
      </c>
    </row>
    <row r="53" spans="2:7" ht="16.5">
      <c r="B53" s="69" t="s">
        <v>191</v>
      </c>
      <c r="C53" s="69"/>
      <c r="D53" s="70">
        <f t="shared" si="2"/>
        <v>51.25031990296411</v>
      </c>
      <c r="E53" s="70">
        <f t="shared" si="2"/>
        <v>67.10115058107525</v>
      </c>
      <c r="F53" s="70">
        <f t="shared" si="2"/>
        <v>78.08631762012668</v>
      </c>
      <c r="G53" s="70">
        <f t="shared" si="2"/>
        <v>85.46178311164913</v>
      </c>
    </row>
    <row r="54" spans="2:7" ht="16.5">
      <c r="B54" s="69" t="s">
        <v>175</v>
      </c>
      <c r="C54" s="69"/>
      <c r="D54" s="70">
        <f>+D67</f>
        <v>37.795</v>
      </c>
      <c r="E54" s="70">
        <f>+E67</f>
        <v>38.928850000000004</v>
      </c>
      <c r="F54" s="70">
        <f>+F67</f>
        <v>40.0967155</v>
      </c>
      <c r="G54" s="70">
        <f>+G67</f>
        <v>41.299616965000006</v>
      </c>
    </row>
    <row r="55" spans="2:7" ht="16.5">
      <c r="B55" s="69" t="s">
        <v>192</v>
      </c>
      <c r="C55" s="69"/>
      <c r="D55" s="70">
        <f>+D33</f>
        <v>47.174</v>
      </c>
      <c r="E55" s="70">
        <f>+E33</f>
        <v>48.589220000000005</v>
      </c>
      <c r="F55" s="70">
        <f>+F33</f>
        <v>50.046896600000004</v>
      </c>
      <c r="G55" s="70">
        <f>+G33</f>
        <v>51.548303498</v>
      </c>
    </row>
    <row r="56" spans="2:7" ht="16.5">
      <c r="B56" s="69" t="s">
        <v>193</v>
      </c>
      <c r="C56" s="69"/>
      <c r="D56" s="70"/>
      <c r="E56" s="70"/>
      <c r="F56" s="70"/>
      <c r="G56" s="70"/>
    </row>
    <row r="57" spans="2:7" ht="16.5">
      <c r="B57" s="71" t="s">
        <v>194</v>
      </c>
      <c r="C57" s="71"/>
      <c r="D57" s="72">
        <f>SUM(D48:D56)</f>
        <v>2214.5168968143753</v>
      </c>
      <c r="E57" s="72">
        <f>SUM(E48:E56)</f>
        <v>2283.3405058126677</v>
      </c>
      <c r="F57" s="72">
        <f>SUM(F48:F56)</f>
        <v>2377.1448210046074</v>
      </c>
      <c r="G57" s="72">
        <f>SUM(G48:G56)</f>
        <v>2480.610633034524</v>
      </c>
    </row>
    <row r="58" spans="2:7" ht="16.5">
      <c r="B58" s="73" t="s">
        <v>195</v>
      </c>
      <c r="C58" s="73"/>
      <c r="D58" s="81">
        <f>+D43-D57</f>
        <v>60</v>
      </c>
      <c r="E58" s="81">
        <f>+E43-E57</f>
        <v>0</v>
      </c>
      <c r="F58" s="81">
        <f>+F43-F57</f>
        <v>0</v>
      </c>
      <c r="G58" s="81">
        <f>+G43-G57</f>
        <v>0</v>
      </c>
    </row>
    <row r="59" spans="2:7" ht="16.5">
      <c r="B59" s="74"/>
      <c r="C59" s="74"/>
      <c r="D59" s="75"/>
      <c r="E59" s="75"/>
      <c r="F59" s="75"/>
      <c r="G59" s="75"/>
    </row>
    <row r="60" spans="2:8" ht="16.5">
      <c r="B60" s="82" t="s">
        <v>209</v>
      </c>
      <c r="C60" s="74"/>
      <c r="D60" s="75">
        <f>+D68+D74+D83+D95</f>
        <v>181.50240376140005</v>
      </c>
      <c r="E60" s="75">
        <f>+E68+E74+E83+E95</f>
        <v>166.04993411824194</v>
      </c>
      <c r="F60" s="75">
        <f>+F68+F74+F83+F95</f>
        <v>150.07119776052116</v>
      </c>
      <c r="G60" s="75">
        <f>+G68+G74+G83+G95</f>
        <v>133.55021860892487</v>
      </c>
      <c r="H60" s="74"/>
    </row>
    <row r="61" spans="2:8" ht="16.5">
      <c r="B61" s="83"/>
      <c r="C61" s="74"/>
      <c r="D61" s="75">
        <f>+D48-D60</f>
        <v>0</v>
      </c>
      <c r="E61" s="75">
        <f>+E48-E60</f>
        <v>0</v>
      </c>
      <c r="F61" s="75">
        <f>+F48-F60</f>
        <v>0</v>
      </c>
      <c r="G61" s="75">
        <f>+G48-G60</f>
        <v>0</v>
      </c>
      <c r="H61" s="74"/>
    </row>
    <row r="62" spans="2:8" ht="16.5">
      <c r="B62" s="74"/>
      <c r="C62" s="74"/>
      <c r="D62" s="75"/>
      <c r="E62" s="75"/>
      <c r="F62" s="75"/>
      <c r="G62" s="75"/>
      <c r="H62" s="74"/>
    </row>
    <row r="63" spans="1:8" s="285" customFormat="1" ht="16.5">
      <c r="A63" s="283">
        <v>1</v>
      </c>
      <c r="B63" s="82" t="s">
        <v>196</v>
      </c>
      <c r="C63" s="82"/>
      <c r="D63" s="284">
        <f>SUM(D64:D69)</f>
        <v>257.39420188070005</v>
      </c>
      <c r="E63" s="284">
        <f>SUM(E64:E69)</f>
        <v>196.06681705912098</v>
      </c>
      <c r="F63" s="284">
        <f>SUM(F64:F69)</f>
        <v>194.9163143802606</v>
      </c>
      <c r="G63" s="284">
        <f>SUM(G64:G69)</f>
        <v>193.96649221079844</v>
      </c>
      <c r="H63" s="284">
        <f>SUM(D63:G63)</f>
        <v>842.3438255308799</v>
      </c>
    </row>
    <row r="64" spans="1:8" s="285" customFormat="1" ht="16.5">
      <c r="A64" s="283"/>
      <c r="B64" s="286" t="s">
        <v>431</v>
      </c>
      <c r="C64" s="286"/>
      <c r="D64" s="287">
        <f aca="true" t="shared" si="3" ref="D64:G65">+D19</f>
        <v>43.833</v>
      </c>
      <c r="E64" s="287">
        <f t="shared" si="3"/>
        <v>47.252</v>
      </c>
      <c r="F64" s="287">
        <f t="shared" si="3"/>
        <v>50.937</v>
      </c>
      <c r="G64" s="287">
        <f t="shared" si="3"/>
        <v>54.911</v>
      </c>
      <c r="H64" s="288"/>
    </row>
    <row r="65" spans="1:8" s="285" customFormat="1" ht="16.5">
      <c r="A65" s="283"/>
      <c r="B65" s="286" t="s">
        <v>432</v>
      </c>
      <c r="C65" s="286"/>
      <c r="D65" s="287">
        <f t="shared" si="3"/>
        <v>19.254</v>
      </c>
      <c r="E65" s="287">
        <f t="shared" si="3"/>
        <v>20.755</v>
      </c>
      <c r="F65" s="287">
        <f t="shared" si="3"/>
        <v>22.374</v>
      </c>
      <c r="G65" s="287">
        <f t="shared" si="3"/>
        <v>24.119</v>
      </c>
      <c r="H65" s="288"/>
    </row>
    <row r="66" spans="1:8" s="285" customFormat="1" ht="16.5">
      <c r="A66" s="283"/>
      <c r="B66" s="286" t="s">
        <v>433</v>
      </c>
      <c r="C66" s="286"/>
      <c r="D66" s="287">
        <f>+D29</f>
        <v>5.761</v>
      </c>
      <c r="E66" s="287">
        <f>+E29</f>
        <v>6.106</v>
      </c>
      <c r="F66" s="287">
        <f>+F29</f>
        <v>6.473</v>
      </c>
      <c r="G66" s="287">
        <f>+G29</f>
        <v>6.861765941336</v>
      </c>
      <c r="H66" s="288"/>
    </row>
    <row r="67" spans="1:8" s="285" customFormat="1" ht="16.5">
      <c r="A67" s="283"/>
      <c r="B67" s="286" t="s">
        <v>438</v>
      </c>
      <c r="C67" s="286"/>
      <c r="D67" s="287">
        <v>37.795</v>
      </c>
      <c r="E67" s="287">
        <f>+D67*1.03</f>
        <v>38.928850000000004</v>
      </c>
      <c r="F67" s="287">
        <f>+E67*1.03</f>
        <v>40.0967155</v>
      </c>
      <c r="G67" s="287">
        <f>+F67*1.03</f>
        <v>41.299616965000006</v>
      </c>
      <c r="H67" s="288"/>
    </row>
    <row r="68" spans="1:8" s="285" customFormat="1" ht="16.5">
      <c r="A68" s="283"/>
      <c r="B68" s="286" t="s">
        <v>232</v>
      </c>
      <c r="C68" s="286"/>
      <c r="D68" s="287">
        <f>+D48*0.5</f>
        <v>90.75120188070002</v>
      </c>
      <c r="E68" s="287">
        <f>+E48*0.5</f>
        <v>83.02496705912097</v>
      </c>
      <c r="F68" s="287">
        <f>+F48*0.5</f>
        <v>75.03559888026058</v>
      </c>
      <c r="G68" s="287">
        <f>+G48*0.5</f>
        <v>66.77510930446243</v>
      </c>
      <c r="H68" s="288"/>
    </row>
    <row r="69" spans="1:8" s="285" customFormat="1" ht="16.5">
      <c r="A69" s="283"/>
      <c r="B69" s="286" t="s">
        <v>198</v>
      </c>
      <c r="C69" s="286"/>
      <c r="D69" s="287">
        <v>60</v>
      </c>
      <c r="E69" s="287">
        <v>0</v>
      </c>
      <c r="F69" s="287">
        <v>0</v>
      </c>
      <c r="G69" s="287">
        <v>0</v>
      </c>
      <c r="H69" s="288"/>
    </row>
    <row r="70" spans="1:8" s="285" customFormat="1" ht="16.5">
      <c r="A70" s="283"/>
      <c r="B70" s="286"/>
      <c r="C70" s="286"/>
      <c r="D70" s="287"/>
      <c r="E70" s="287"/>
      <c r="F70" s="287"/>
      <c r="G70" s="287"/>
      <c r="H70" s="288"/>
    </row>
    <row r="71" spans="1:8" s="285" customFormat="1" ht="16.5">
      <c r="A71" s="283">
        <v>2</v>
      </c>
      <c r="B71" s="82" t="s">
        <v>199</v>
      </c>
      <c r="C71" s="82"/>
      <c r="D71" s="284">
        <f>SUM(D72:D75)</f>
        <v>470.52364075228</v>
      </c>
      <c r="E71" s="284">
        <f>SUM(E72:E75)</f>
        <v>487.2243964236484</v>
      </c>
      <c r="F71" s="284">
        <f>SUM(F72:F75)</f>
        <v>504.81950952810433</v>
      </c>
      <c r="G71" s="284">
        <f>SUM(G72:G75)</f>
        <v>523.360125570345</v>
      </c>
      <c r="H71" s="284">
        <f>SUM(D71:G71)</f>
        <v>1985.9276722743778</v>
      </c>
    </row>
    <row r="72" spans="1:8" s="285" customFormat="1" ht="16.5">
      <c r="A72" s="283"/>
      <c r="B72" s="286" t="s">
        <v>197</v>
      </c>
      <c r="C72" s="286"/>
      <c r="D72" s="287">
        <f>+D22</f>
        <v>225.48516</v>
      </c>
      <c r="E72" s="287">
        <f>+E22</f>
        <v>239.01426960000003</v>
      </c>
      <c r="F72" s="287">
        <f>+F22</f>
        <v>253.35512577600005</v>
      </c>
      <c r="G72" s="287">
        <f>+G22</f>
        <v>268.55643332256005</v>
      </c>
      <c r="H72" s="288"/>
    </row>
    <row r="73" spans="1:8" s="285" customFormat="1" ht="16.5">
      <c r="A73" s="283"/>
      <c r="B73" s="286" t="s">
        <v>219</v>
      </c>
      <c r="C73" s="286"/>
      <c r="D73" s="287">
        <f>+D30</f>
        <v>208.738</v>
      </c>
      <c r="E73" s="287">
        <f>+E30</f>
        <v>215.00014000000002</v>
      </c>
      <c r="F73" s="287">
        <f>+F30</f>
        <v>221.4501442</v>
      </c>
      <c r="G73" s="287">
        <f>+G30</f>
        <v>228.093648526</v>
      </c>
      <c r="H73" s="288"/>
    </row>
    <row r="74" spans="1:8" s="285" customFormat="1" ht="16.5">
      <c r="A74" s="283"/>
      <c r="B74" s="286" t="s">
        <v>200</v>
      </c>
      <c r="C74" s="286"/>
      <c r="D74" s="287">
        <f>+D48*0.2</f>
        <v>36.30048075228001</v>
      </c>
      <c r="E74" s="287">
        <f>+E48*0.2</f>
        <v>33.209986823648386</v>
      </c>
      <c r="F74" s="287">
        <f>+F48*0.2</f>
        <v>30.014239552104232</v>
      </c>
      <c r="G74" s="287">
        <f>+G48*0.2</f>
        <v>26.710043721784974</v>
      </c>
      <c r="H74" s="288"/>
    </row>
    <row r="75" spans="1:8" s="285" customFormat="1" ht="16.5">
      <c r="A75" s="283"/>
      <c r="B75" s="286" t="s">
        <v>198</v>
      </c>
      <c r="C75" s="286"/>
      <c r="D75" s="287">
        <v>0</v>
      </c>
      <c r="E75" s="287">
        <v>0</v>
      </c>
      <c r="F75" s="287">
        <v>0</v>
      </c>
      <c r="G75" s="287">
        <v>0</v>
      </c>
      <c r="H75" s="288"/>
    </row>
    <row r="76" spans="1:8" s="285" customFormat="1" ht="16.5">
      <c r="A76" s="283"/>
      <c r="B76" s="286"/>
      <c r="C76" s="286"/>
      <c r="D76" s="287"/>
      <c r="E76" s="287"/>
      <c r="F76" s="287"/>
      <c r="G76" s="287"/>
      <c r="H76" s="288"/>
    </row>
    <row r="77" spans="1:8" s="285" customFormat="1" ht="16.5">
      <c r="A77" s="283">
        <v>3</v>
      </c>
      <c r="B77" s="82" t="s">
        <v>172</v>
      </c>
      <c r="C77" s="82"/>
      <c r="D77" s="284">
        <v>211.9257527272727</v>
      </c>
      <c r="E77" s="284">
        <v>224.64129789090907</v>
      </c>
      <c r="F77" s="284">
        <v>238.11977576436362</v>
      </c>
      <c r="G77" s="284">
        <v>252.40696231022545</v>
      </c>
      <c r="H77" s="284">
        <f>SUM(D77:G77)</f>
        <v>927.0937886927709</v>
      </c>
    </row>
    <row r="78" spans="1:8" s="285" customFormat="1" ht="16.5">
      <c r="A78" s="283"/>
      <c r="B78" s="286"/>
      <c r="C78" s="286"/>
      <c r="D78" s="287"/>
      <c r="E78" s="287"/>
      <c r="F78" s="287"/>
      <c r="G78" s="287"/>
      <c r="H78" s="288"/>
    </row>
    <row r="79" spans="1:8" s="285" customFormat="1" ht="16.5">
      <c r="A79" s="283">
        <v>4</v>
      </c>
      <c r="B79" s="82" t="s">
        <v>607</v>
      </c>
      <c r="C79" s="82"/>
      <c r="D79" s="284">
        <v>59.940365</v>
      </c>
      <c r="E79" s="284">
        <v>63.5367869</v>
      </c>
      <c r="F79" s="284">
        <v>67.348994114</v>
      </c>
      <c r="G79" s="284">
        <v>71.38993376084001</v>
      </c>
      <c r="H79" s="284">
        <f>SUM(D79:G79)</f>
        <v>262.21607977484</v>
      </c>
    </row>
    <row r="80" spans="1:8" s="285" customFormat="1" ht="16.5">
      <c r="A80" s="283"/>
      <c r="B80" s="286"/>
      <c r="C80" s="286"/>
      <c r="D80" s="287"/>
      <c r="E80" s="287"/>
      <c r="F80" s="287"/>
      <c r="G80" s="287"/>
      <c r="H80" s="288"/>
    </row>
    <row r="81" spans="1:8" s="285" customFormat="1" ht="16.5">
      <c r="A81" s="283">
        <v>5</v>
      </c>
      <c r="B81" s="82" t="s">
        <v>201</v>
      </c>
      <c r="C81" s="82"/>
      <c r="D81" s="284">
        <f>SUM(D82:D84)</f>
        <v>70.27951537614001</v>
      </c>
      <c r="E81" s="284">
        <f>SUM(E82:E84)</f>
        <v>71.64680491182419</v>
      </c>
      <c r="F81" s="284">
        <f>SUM(F82:F84)</f>
        <v>73.12976336605212</v>
      </c>
      <c r="G81" s="284">
        <f>SUM(G82:G84)</f>
        <v>74.73669716829248</v>
      </c>
      <c r="H81" s="284">
        <f>SUM(D81:G81)</f>
        <v>289.79278082230877</v>
      </c>
    </row>
    <row r="82" spans="2:8" ht="16.5">
      <c r="B82" s="76" t="s">
        <v>197</v>
      </c>
      <c r="C82" s="76"/>
      <c r="D82" s="75">
        <f>+D27</f>
        <v>44.955275</v>
      </c>
      <c r="E82" s="75">
        <f>+E27</f>
        <v>47.6525915</v>
      </c>
      <c r="F82" s="75">
        <f>+F27</f>
        <v>50.51174699</v>
      </c>
      <c r="G82" s="75">
        <f>+G27</f>
        <v>53.5424518094</v>
      </c>
      <c r="H82" s="74"/>
    </row>
    <row r="83" spans="2:8" ht="16.5">
      <c r="B83" s="76" t="s">
        <v>202</v>
      </c>
      <c r="C83" s="76"/>
      <c r="D83" s="75">
        <f>+D48*0.1</f>
        <v>18.150240376140005</v>
      </c>
      <c r="E83" s="75">
        <f>+E48*0.1</f>
        <v>16.604993411824193</v>
      </c>
      <c r="F83" s="75">
        <f>+F48*0.1</f>
        <v>15.007119776052116</v>
      </c>
      <c r="G83" s="75">
        <f>+G48*0.1</f>
        <v>13.355021860892487</v>
      </c>
      <c r="H83" s="74"/>
    </row>
    <row r="84" spans="2:8" ht="16.5">
      <c r="B84" s="76" t="s">
        <v>175</v>
      </c>
      <c r="C84" s="76"/>
      <c r="D84" s="75">
        <f>+D36</f>
        <v>7.174</v>
      </c>
      <c r="E84" s="75">
        <f>+E36</f>
        <v>7.389220000000001</v>
      </c>
      <c r="F84" s="75">
        <f>+F36</f>
        <v>7.610896600000001</v>
      </c>
      <c r="G84" s="75">
        <f>+G36</f>
        <v>7.839223498000002</v>
      </c>
      <c r="H84" s="74"/>
    </row>
    <row r="85" spans="2:8" ht="16.5">
      <c r="B85" s="76"/>
      <c r="C85" s="76"/>
      <c r="D85" s="75"/>
      <c r="E85" s="75"/>
      <c r="F85" s="75"/>
      <c r="G85" s="75"/>
      <c r="H85" s="74"/>
    </row>
    <row r="86" spans="1:8" s="285" customFormat="1" ht="16.5">
      <c r="A86" s="283">
        <v>6</v>
      </c>
      <c r="B86" s="82" t="s">
        <v>608</v>
      </c>
      <c r="C86" s="82">
        <v>0.03</v>
      </c>
      <c r="D86" s="284">
        <f>+C86*$D$115</f>
        <v>29.270720999999998</v>
      </c>
      <c r="E86" s="284">
        <f>+C86*$E$115</f>
        <v>31.02696426</v>
      </c>
      <c r="F86" s="284">
        <f>+C86*$F$115</f>
        <v>32.8885821156</v>
      </c>
      <c r="G86" s="284">
        <f>+C86*$G$115</f>
        <v>34.861897042536</v>
      </c>
      <c r="H86" s="284">
        <f>SUM(D86:G86)</f>
        <v>128.048164418136</v>
      </c>
    </row>
    <row r="87" spans="2:8" ht="16.5">
      <c r="B87" s="76"/>
      <c r="C87" s="76"/>
      <c r="D87" s="75"/>
      <c r="E87" s="75"/>
      <c r="F87" s="75"/>
      <c r="G87" s="75"/>
      <c r="H87" s="74"/>
    </row>
    <row r="88" spans="2:8" ht="16.5">
      <c r="B88" s="82" t="s">
        <v>220</v>
      </c>
      <c r="C88" s="83"/>
      <c r="D88" s="75">
        <f>SUM(D89:D91)</f>
        <v>146.353605</v>
      </c>
      <c r="E88" s="75">
        <f>SUM(E89:E91)</f>
        <v>205.1348213</v>
      </c>
      <c r="F88" s="75">
        <f>SUM(F89:F91)</f>
        <v>164.442910578</v>
      </c>
      <c r="G88" s="75">
        <f>SUM(G89:G91)</f>
        <v>174.30948521268002</v>
      </c>
      <c r="H88" s="74"/>
    </row>
    <row r="89" spans="2:8" ht="16.5">
      <c r="B89" s="76" t="s">
        <v>197</v>
      </c>
      <c r="C89" s="76"/>
      <c r="D89" s="75">
        <f>+D103</f>
        <v>146.353605</v>
      </c>
      <c r="E89" s="75">
        <f>+E103</f>
        <v>155.1348213</v>
      </c>
      <c r="F89" s="75">
        <f>+F103</f>
        <v>164.442910578</v>
      </c>
      <c r="G89" s="75">
        <f>+G103</f>
        <v>174.30948521268002</v>
      </c>
      <c r="H89" s="74"/>
    </row>
    <row r="90" spans="2:8" ht="16.5">
      <c r="B90" s="76" t="s">
        <v>200</v>
      </c>
      <c r="C90" s="76"/>
      <c r="D90" s="75">
        <v>0</v>
      </c>
      <c r="E90" s="75">
        <v>0</v>
      </c>
      <c r="F90" s="75">
        <v>0</v>
      </c>
      <c r="G90" s="75">
        <v>0</v>
      </c>
      <c r="H90" s="74"/>
    </row>
    <row r="91" spans="2:8" ht="16.5">
      <c r="B91" s="76" t="s">
        <v>175</v>
      </c>
      <c r="C91" s="76"/>
      <c r="D91" s="75">
        <v>0</v>
      </c>
      <c r="E91" s="75">
        <v>50</v>
      </c>
      <c r="F91" s="75">
        <v>0</v>
      </c>
      <c r="G91" s="75">
        <v>0</v>
      </c>
      <c r="H91" s="74"/>
    </row>
    <row r="92" spans="2:8" ht="16.5">
      <c r="B92" s="76"/>
      <c r="C92" s="76"/>
      <c r="D92" s="75"/>
      <c r="E92" s="75"/>
      <c r="F92" s="75"/>
      <c r="G92" s="75"/>
      <c r="H92" s="74"/>
    </row>
    <row r="93" spans="2:8" ht="16.5">
      <c r="B93" s="82" t="s">
        <v>207</v>
      </c>
      <c r="C93" s="83"/>
      <c r="D93" s="75">
        <f>SUM(D94:D96)</f>
        <v>109.84192275228</v>
      </c>
      <c r="E93" s="75">
        <f>SUM(E94:E96)</f>
        <v>110.7139153436484</v>
      </c>
      <c r="F93" s="75">
        <f>SUM(F94:F96)</f>
        <v>111.70490378330423</v>
      </c>
      <c r="G93" s="75">
        <f>SUM(G94:G96)</f>
        <v>112.82474280685697</v>
      </c>
      <c r="H93" s="74"/>
    </row>
    <row r="94" spans="2:8" ht="16.5">
      <c r="B94" s="76" t="s">
        <v>197</v>
      </c>
      <c r="C94" s="76"/>
      <c r="D94" s="75">
        <f>+D112</f>
        <v>58.541441999999996</v>
      </c>
      <c r="E94" s="75">
        <f>+E112</f>
        <v>62.05392852</v>
      </c>
      <c r="F94" s="75">
        <f>+F112</f>
        <v>65.7771642312</v>
      </c>
      <c r="G94" s="75">
        <f>+G112</f>
        <v>69.723794085072</v>
      </c>
      <c r="H94" s="74"/>
    </row>
    <row r="95" spans="2:8" ht="16.5">
      <c r="B95" s="76" t="s">
        <v>200</v>
      </c>
      <c r="C95" s="76"/>
      <c r="D95" s="75">
        <f>+D48*0.2</f>
        <v>36.30048075228001</v>
      </c>
      <c r="E95" s="75">
        <f>+E48*0.2</f>
        <v>33.209986823648386</v>
      </c>
      <c r="F95" s="75">
        <f>+F48*0.2</f>
        <v>30.014239552104232</v>
      </c>
      <c r="G95" s="75">
        <f>+G48*0.2</f>
        <v>26.710043721784974</v>
      </c>
      <c r="H95" s="74"/>
    </row>
    <row r="96" spans="2:8" ht="16.5">
      <c r="B96" s="76" t="s">
        <v>175</v>
      </c>
      <c r="C96" s="76"/>
      <c r="D96" s="75">
        <f>+D34</f>
        <v>15</v>
      </c>
      <c r="E96" s="75">
        <f>+E34</f>
        <v>15.450000000000001</v>
      </c>
      <c r="F96" s="75">
        <f>+F34</f>
        <v>15.9135</v>
      </c>
      <c r="G96" s="75">
        <f>+G34</f>
        <v>16.390905</v>
      </c>
      <c r="H96" s="74"/>
    </row>
    <row r="97" spans="2:8" ht="16.5">
      <c r="B97" s="74"/>
      <c r="C97" s="74"/>
      <c r="D97" s="75"/>
      <c r="E97" s="75"/>
      <c r="F97" s="75"/>
      <c r="G97" s="75"/>
      <c r="H97" s="74"/>
    </row>
    <row r="98" spans="2:8" ht="16.5">
      <c r="B98" s="76" t="s">
        <v>203</v>
      </c>
      <c r="C98" s="76"/>
      <c r="D98" s="75">
        <f>+D28</f>
        <v>975.6907000000001</v>
      </c>
      <c r="E98" s="75">
        <f>+E28</f>
        <v>1034.232142</v>
      </c>
      <c r="F98" s="75">
        <f>+F28</f>
        <v>1096.28607052</v>
      </c>
      <c r="G98" s="75">
        <f>+G28</f>
        <v>1162.0632347512</v>
      </c>
      <c r="H98" s="74"/>
    </row>
    <row r="99" spans="2:8" ht="16.5">
      <c r="B99" s="76" t="s">
        <v>204</v>
      </c>
      <c r="C99" s="76"/>
      <c r="D99" s="75">
        <f>SUM(D101:D112)</f>
        <v>975.6907000000001</v>
      </c>
      <c r="E99" s="75">
        <f>SUM(E101:E112)</f>
        <v>1034.2321420000003</v>
      </c>
      <c r="F99" s="75">
        <f>SUM(F101:F112)</f>
        <v>1096.28607052</v>
      </c>
      <c r="G99" s="75">
        <f>SUM(G101:G112)</f>
        <v>1162.0632347512</v>
      </c>
      <c r="H99" s="74"/>
    </row>
    <row r="100" spans="2:8" ht="16.5">
      <c r="B100" s="76" t="s">
        <v>205</v>
      </c>
      <c r="C100" s="76"/>
      <c r="D100" s="75">
        <f>+D98-D99</f>
        <v>0</v>
      </c>
      <c r="E100" s="75">
        <f>+E98-E99</f>
        <v>0</v>
      </c>
      <c r="F100" s="75">
        <f>+F98-F99</f>
        <v>0</v>
      </c>
      <c r="G100" s="75">
        <f>+G98-G99</f>
        <v>0</v>
      </c>
      <c r="H100" s="74"/>
    </row>
    <row r="101" spans="2:8" ht="16.5">
      <c r="B101" s="82" t="s">
        <v>210</v>
      </c>
      <c r="C101" s="84">
        <v>0.03</v>
      </c>
      <c r="D101" s="85">
        <f aca="true" t="shared" si="4" ref="D101:D111">+C101*$D$115</f>
        <v>29.270720999999998</v>
      </c>
      <c r="E101" s="85">
        <f aca="true" t="shared" si="5" ref="E101:E112">+C101*$E$115</f>
        <v>31.02696426</v>
      </c>
      <c r="F101" s="85">
        <f aca="true" t="shared" si="6" ref="F101:F112">+C101*$F$115</f>
        <v>32.8885821156</v>
      </c>
      <c r="G101" s="85">
        <f aca="true" t="shared" si="7" ref="G101:G112">+C101*$G$115</f>
        <v>34.861897042536</v>
      </c>
      <c r="H101" s="85">
        <f>SUM(D101:G101)</f>
        <v>128.048164418136</v>
      </c>
    </row>
    <row r="102" spans="2:8" ht="16.5">
      <c r="B102" s="82" t="s">
        <v>211</v>
      </c>
      <c r="C102" s="84">
        <v>0.08</v>
      </c>
      <c r="D102" s="85">
        <f t="shared" si="4"/>
        <v>78.055256</v>
      </c>
      <c r="E102" s="85">
        <f t="shared" si="5"/>
        <v>82.73857136000001</v>
      </c>
      <c r="F102" s="85">
        <f t="shared" si="6"/>
        <v>87.7028856416</v>
      </c>
      <c r="G102" s="85">
        <f t="shared" si="7"/>
        <v>92.965058780096</v>
      </c>
      <c r="H102" s="85">
        <f aca="true" t="shared" si="8" ref="H102:H112">SUM(D102:G102)</f>
        <v>341.46177178169603</v>
      </c>
    </row>
    <row r="103" spans="2:8" ht="16.5">
      <c r="B103" s="82" t="s">
        <v>212</v>
      </c>
      <c r="C103" s="84">
        <v>0.15</v>
      </c>
      <c r="D103" s="85">
        <f t="shared" si="4"/>
        <v>146.353605</v>
      </c>
      <c r="E103" s="85">
        <f t="shared" si="5"/>
        <v>155.1348213</v>
      </c>
      <c r="F103" s="85">
        <f t="shared" si="6"/>
        <v>164.442910578</v>
      </c>
      <c r="G103" s="85">
        <f t="shared" si="7"/>
        <v>174.30948521268002</v>
      </c>
      <c r="H103" s="85">
        <f t="shared" si="8"/>
        <v>640.24082209068</v>
      </c>
    </row>
    <row r="104" spans="2:8" ht="16.5">
      <c r="B104" s="82" t="s">
        <v>213</v>
      </c>
      <c r="C104" s="84">
        <v>0.23</v>
      </c>
      <c r="D104" s="85">
        <f t="shared" si="4"/>
        <v>224.408861</v>
      </c>
      <c r="E104" s="85">
        <f t="shared" si="5"/>
        <v>237.87339266000004</v>
      </c>
      <c r="F104" s="85">
        <f t="shared" si="6"/>
        <v>252.14579621960002</v>
      </c>
      <c r="G104" s="85">
        <f t="shared" si="7"/>
        <v>267.27454399277605</v>
      </c>
      <c r="H104" s="85">
        <f>SUM(D104:G104)</f>
        <v>981.7025938723762</v>
      </c>
    </row>
    <row r="105" spans="2:8" ht="16.5">
      <c r="B105" s="82" t="s">
        <v>214</v>
      </c>
      <c r="C105" s="84">
        <v>0.05</v>
      </c>
      <c r="D105" s="85">
        <f t="shared" si="4"/>
        <v>48.784535000000005</v>
      </c>
      <c r="E105" s="85">
        <f t="shared" si="5"/>
        <v>51.71160710000001</v>
      </c>
      <c r="F105" s="85">
        <f t="shared" si="6"/>
        <v>54.814303526</v>
      </c>
      <c r="G105" s="85">
        <f t="shared" si="7"/>
        <v>58.10316173756001</v>
      </c>
      <c r="H105" s="85">
        <f>SUM(D105:G105)</f>
        <v>213.41360736356003</v>
      </c>
    </row>
    <row r="106" spans="2:8" ht="16.5">
      <c r="B106" s="82" t="s">
        <v>215</v>
      </c>
      <c r="C106" s="84">
        <v>0.07</v>
      </c>
      <c r="D106" s="85">
        <f t="shared" si="4"/>
        <v>68.298349</v>
      </c>
      <c r="E106" s="85">
        <f t="shared" si="5"/>
        <v>72.39624994000002</v>
      </c>
      <c r="F106" s="85">
        <f t="shared" si="6"/>
        <v>76.74002493640002</v>
      </c>
      <c r="G106" s="85">
        <f t="shared" si="7"/>
        <v>81.34442643258402</v>
      </c>
      <c r="H106" s="85">
        <f>SUM(D106:G106)</f>
        <v>298.7790503089841</v>
      </c>
    </row>
    <row r="107" spans="2:8" ht="16.5">
      <c r="B107" s="82" t="s">
        <v>233</v>
      </c>
      <c r="C107" s="84">
        <v>0.04</v>
      </c>
      <c r="D107" s="85">
        <f t="shared" si="4"/>
        <v>39.027628</v>
      </c>
      <c r="E107" s="85">
        <f t="shared" si="5"/>
        <v>41.369285680000004</v>
      </c>
      <c r="F107" s="85">
        <f t="shared" si="6"/>
        <v>43.8514428208</v>
      </c>
      <c r="G107" s="85">
        <f t="shared" si="7"/>
        <v>46.482529390048</v>
      </c>
      <c r="H107" s="85">
        <f>SUM(D107:G107)</f>
        <v>170.73088589084801</v>
      </c>
    </row>
    <row r="108" spans="2:8" ht="16.5">
      <c r="B108" s="82" t="s">
        <v>609</v>
      </c>
      <c r="C108" s="84">
        <v>0.14</v>
      </c>
      <c r="D108" s="85">
        <f>+C108*$D$115</f>
        <v>136.596698</v>
      </c>
      <c r="E108" s="85">
        <f t="shared" si="5"/>
        <v>144.79249988000004</v>
      </c>
      <c r="F108" s="85">
        <f t="shared" si="6"/>
        <v>153.48004987280004</v>
      </c>
      <c r="G108" s="85">
        <f t="shared" si="7"/>
        <v>162.68885286516803</v>
      </c>
      <c r="H108" s="85">
        <f t="shared" si="8"/>
        <v>597.5581006179682</v>
      </c>
    </row>
    <row r="109" spans="2:8" ht="16.5">
      <c r="B109" s="82" t="s">
        <v>345</v>
      </c>
      <c r="C109" s="84">
        <v>0.05</v>
      </c>
      <c r="D109" s="85">
        <f>+C109*$D$115</f>
        <v>48.784535000000005</v>
      </c>
      <c r="E109" s="85">
        <f>+C109*$E$115</f>
        <v>51.71160710000001</v>
      </c>
      <c r="F109" s="85">
        <f>+C109*$F$115</f>
        <v>54.814303526</v>
      </c>
      <c r="G109" s="85">
        <f>+C109*$G$115</f>
        <v>58.10316173756001</v>
      </c>
      <c r="H109" s="85">
        <f>SUM(D109:G109)</f>
        <v>213.41360736356003</v>
      </c>
    </row>
    <row r="110" spans="2:8" ht="16.5">
      <c r="B110" s="82" t="s">
        <v>206</v>
      </c>
      <c r="C110" s="84">
        <v>0.05</v>
      </c>
      <c r="D110" s="85">
        <f t="shared" si="4"/>
        <v>48.784535000000005</v>
      </c>
      <c r="E110" s="85">
        <f t="shared" si="5"/>
        <v>51.71160710000001</v>
      </c>
      <c r="F110" s="85">
        <f t="shared" si="6"/>
        <v>54.814303526</v>
      </c>
      <c r="G110" s="85">
        <f t="shared" si="7"/>
        <v>58.10316173756001</v>
      </c>
      <c r="H110" s="85">
        <f t="shared" si="8"/>
        <v>213.41360736356003</v>
      </c>
    </row>
    <row r="111" spans="2:8" ht="16.5">
      <c r="B111" s="82" t="s">
        <v>618</v>
      </c>
      <c r="C111" s="84">
        <v>0.05</v>
      </c>
      <c r="D111" s="85">
        <f t="shared" si="4"/>
        <v>48.784535000000005</v>
      </c>
      <c r="E111" s="85">
        <f t="shared" si="5"/>
        <v>51.71160710000001</v>
      </c>
      <c r="F111" s="85">
        <f t="shared" si="6"/>
        <v>54.814303526</v>
      </c>
      <c r="G111" s="85">
        <f t="shared" si="7"/>
        <v>58.10316173756001</v>
      </c>
      <c r="H111" s="85">
        <f t="shared" si="8"/>
        <v>213.41360736356003</v>
      </c>
    </row>
    <row r="112" spans="2:8" ht="16.5">
      <c r="B112" s="82" t="s">
        <v>619</v>
      </c>
      <c r="C112" s="84">
        <v>0.06</v>
      </c>
      <c r="D112" s="85">
        <f>+C112*$D$115</f>
        <v>58.541441999999996</v>
      </c>
      <c r="E112" s="85">
        <f t="shared" si="5"/>
        <v>62.05392852</v>
      </c>
      <c r="F112" s="85">
        <f t="shared" si="6"/>
        <v>65.7771642312</v>
      </c>
      <c r="G112" s="85">
        <f t="shared" si="7"/>
        <v>69.723794085072</v>
      </c>
      <c r="H112" s="85">
        <f t="shared" si="8"/>
        <v>256.096328836272</v>
      </c>
    </row>
    <row r="113" spans="2:8" ht="16.5">
      <c r="B113" s="74"/>
      <c r="C113" s="84">
        <f>SUM(C101:C112)</f>
        <v>1.0000000000000002</v>
      </c>
      <c r="D113" s="75"/>
      <c r="E113" s="75"/>
      <c r="F113" s="75"/>
      <c r="G113" s="75"/>
      <c r="H113" s="74"/>
    </row>
    <row r="114" spans="2:8" ht="16.5">
      <c r="B114" s="74"/>
      <c r="C114" s="74"/>
      <c r="D114" s="75"/>
      <c r="E114" s="75"/>
      <c r="F114" s="75"/>
      <c r="G114" s="75"/>
      <c r="H114" s="74"/>
    </row>
    <row r="115" spans="2:8" ht="16.5">
      <c r="B115" s="74"/>
      <c r="C115" s="74"/>
      <c r="D115" s="75">
        <v>975.6907</v>
      </c>
      <c r="E115" s="75">
        <v>1034.232142</v>
      </c>
      <c r="F115" s="75">
        <v>1096.28607052</v>
      </c>
      <c r="G115" s="75">
        <v>1162.0632347512</v>
      </c>
      <c r="H115" s="74"/>
    </row>
  </sheetData>
  <sheetProtection/>
  <mergeCells count="5">
    <mergeCell ref="B4:G4"/>
    <mergeCell ref="B45:G45"/>
    <mergeCell ref="B1:H1"/>
    <mergeCell ref="B2:H2"/>
    <mergeCell ref="B3:H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32"/>
  <sheetViews>
    <sheetView zoomScaleSheetLayoutView="69" zoomScalePageLayoutView="0" workbookViewId="0" topLeftCell="A1">
      <selection activeCell="A1" sqref="A1"/>
    </sheetView>
  </sheetViews>
  <sheetFormatPr defaultColWidth="11.421875" defaultRowHeight="15"/>
  <cols>
    <col min="1" max="1" width="11.57421875" style="208" customWidth="1"/>
    <col min="2" max="2" width="12.140625" style="208" customWidth="1"/>
    <col min="3" max="6" width="18.00390625" style="208" customWidth="1"/>
    <col min="7" max="7" width="35.57421875" style="208" customWidth="1"/>
    <col min="8" max="8" width="12.8515625" style="210" bestFit="1" customWidth="1"/>
    <col min="9" max="9" width="8.00390625" style="221" bestFit="1" customWidth="1"/>
    <col min="10" max="10" width="1.7109375" style="221" customWidth="1"/>
    <col min="11" max="12" width="8.7109375" style="210" customWidth="1"/>
    <col min="13" max="16" width="8.7109375" style="208" customWidth="1"/>
    <col min="17" max="17" width="1.7109375" style="221" customWidth="1"/>
    <col min="18" max="23" width="8.7109375" style="208" customWidth="1"/>
    <col min="24" max="24" width="1.7109375" style="221" customWidth="1"/>
    <col min="25" max="28" width="8.7109375" style="208" customWidth="1"/>
    <col min="29" max="30" width="8.7109375" style="207" customWidth="1"/>
    <col min="31" max="31" width="1.7109375" style="221" customWidth="1"/>
    <col min="32" max="37" width="8.7109375" style="207" customWidth="1"/>
    <col min="38" max="16384" width="11.421875" style="207" customWidth="1"/>
  </cols>
  <sheetData>
    <row r="1" spans="2:37" s="201" customFormat="1" ht="15">
      <c r="B1" s="341" t="s">
        <v>134</v>
      </c>
      <c r="C1" s="341"/>
      <c r="D1" s="341"/>
      <c r="E1" s="341"/>
      <c r="F1" s="341"/>
      <c r="G1" s="341"/>
      <c r="I1" s="215"/>
      <c r="J1" s="215"/>
      <c r="K1" s="23">
        <f aca="true" t="shared" si="0" ref="K1:AK1">+K3-K2</f>
        <v>0</v>
      </c>
      <c r="L1" s="23">
        <f t="shared" si="0"/>
        <v>0</v>
      </c>
      <c r="M1" s="23">
        <f t="shared" si="0"/>
        <v>-0.00032613192999519924</v>
      </c>
      <c r="N1" s="23">
        <f t="shared" si="0"/>
        <v>0</v>
      </c>
      <c r="O1" s="23">
        <f t="shared" si="0"/>
        <v>0</v>
      </c>
      <c r="P1" s="23">
        <f>+P3-P2</f>
        <v>-15.37915213192997</v>
      </c>
      <c r="Q1" s="227"/>
      <c r="R1" s="23">
        <f t="shared" si="0"/>
        <v>0</v>
      </c>
      <c r="S1" s="23">
        <f t="shared" si="0"/>
        <v>0</v>
      </c>
      <c r="T1" s="23">
        <f t="shared" si="0"/>
        <v>-0.00011028559032411067</v>
      </c>
      <c r="U1" s="23">
        <f t="shared" si="0"/>
        <v>6.2621400000000165</v>
      </c>
      <c r="V1" s="23">
        <f t="shared" si="0"/>
        <v>0</v>
      </c>
      <c r="W1" s="23">
        <f t="shared" si="0"/>
        <v>22.867023126233846</v>
      </c>
      <c r="X1" s="227"/>
      <c r="Y1" s="23">
        <f t="shared" si="0"/>
        <v>0</v>
      </c>
      <c r="Z1" s="23">
        <f t="shared" si="0"/>
        <v>0</v>
      </c>
      <c r="AA1" s="23">
        <f t="shared" si="0"/>
        <v>0.00010236108164818347</v>
      </c>
      <c r="AB1" s="23">
        <f t="shared" si="0"/>
        <v>12.712144200000012</v>
      </c>
      <c r="AC1" s="23">
        <f t="shared" si="0"/>
        <v>0</v>
      </c>
      <c r="AD1" s="23">
        <f t="shared" si="0"/>
        <v>27.719366337133806</v>
      </c>
      <c r="AE1" s="227"/>
      <c r="AF1" s="23">
        <f t="shared" si="0"/>
        <v>0</v>
      </c>
      <c r="AG1" s="23">
        <f t="shared" si="0"/>
        <v>0</v>
      </c>
      <c r="AH1" s="23">
        <f t="shared" si="0"/>
        <v>-0.00021297794255659142</v>
      </c>
      <c r="AI1" s="23">
        <f t="shared" si="0"/>
        <v>19.35564852600001</v>
      </c>
      <c r="AJ1" s="23">
        <f t="shared" si="0"/>
        <v>0</v>
      </c>
      <c r="AK1" s="23">
        <f t="shared" si="0"/>
        <v>32.71045740894999</v>
      </c>
    </row>
    <row r="2" spans="2:37" s="201" customFormat="1" ht="15">
      <c r="B2" s="342" t="s">
        <v>137</v>
      </c>
      <c r="C2" s="342"/>
      <c r="D2" s="342"/>
      <c r="E2" s="342"/>
      <c r="F2" s="342"/>
      <c r="G2" s="342"/>
      <c r="I2" s="215"/>
      <c r="J2" s="215"/>
      <c r="K2" s="23">
        <f>+K10+K25+K30-K12</f>
        <v>225.48516</v>
      </c>
      <c r="L2" s="23">
        <f>+L10+L25+L30</f>
        <v>0</v>
      </c>
      <c r="M2" s="23">
        <f>+M10+M25+M30</f>
        <v>36.300806884210004</v>
      </c>
      <c r="N2" s="23">
        <f>+N10+N25+N30</f>
        <v>208.738</v>
      </c>
      <c r="O2" s="23">
        <f aca="true" t="shared" si="1" ref="O2:AK2">+O10+O25+O30-O12</f>
        <v>0</v>
      </c>
      <c r="P2" s="23">
        <f>+P10+P25+P30</f>
        <v>485.90279288421</v>
      </c>
      <c r="Q2" s="227"/>
      <c r="R2" s="23">
        <f t="shared" si="1"/>
        <v>255.31582516000003</v>
      </c>
      <c r="S2" s="23">
        <f t="shared" si="1"/>
        <v>0</v>
      </c>
      <c r="T2" s="23">
        <f>+T10+T25+T30</f>
        <v>33.21009710923871</v>
      </c>
      <c r="U2" s="23">
        <f t="shared" si="1"/>
        <v>208.738</v>
      </c>
      <c r="V2" s="23">
        <f t="shared" si="1"/>
        <v>0</v>
      </c>
      <c r="W2" s="23">
        <f t="shared" si="1"/>
        <v>480.65892885741454</v>
      </c>
      <c r="X2" s="227"/>
      <c r="Y2" s="23">
        <f t="shared" si="1"/>
        <v>270.63477466960006</v>
      </c>
      <c r="Z2" s="23">
        <f t="shared" si="1"/>
        <v>0</v>
      </c>
      <c r="AA2" s="23">
        <f>+AA10+AA25+AA30</f>
        <v>30.014137191022584</v>
      </c>
      <c r="AB2" s="23">
        <f t="shared" si="1"/>
        <v>208.738</v>
      </c>
      <c r="AC2" s="23">
        <f t="shared" si="1"/>
        <v>0</v>
      </c>
      <c r="AD2" s="23">
        <f t="shared" si="1"/>
        <v>494.37979208457045</v>
      </c>
      <c r="AE2" s="227"/>
      <c r="AF2" s="23">
        <f t="shared" si="1"/>
        <v>286.87286114977604</v>
      </c>
      <c r="AG2" s="23">
        <f t="shared" si="1"/>
        <v>0</v>
      </c>
      <c r="AH2" s="23">
        <f>+AH10+AH25+AH30</f>
        <v>26.71025669972753</v>
      </c>
      <c r="AI2" s="23">
        <f t="shared" si="1"/>
        <v>208.738</v>
      </c>
      <c r="AJ2" s="23">
        <f t="shared" si="1"/>
        <v>0</v>
      </c>
      <c r="AK2" s="23">
        <f t="shared" si="1"/>
        <v>508.9660959886111</v>
      </c>
    </row>
    <row r="3" spans="2:37" s="201" customFormat="1" ht="15">
      <c r="B3" s="343" t="s">
        <v>136</v>
      </c>
      <c r="C3" s="343"/>
      <c r="D3" s="343"/>
      <c r="E3" s="343"/>
      <c r="F3" s="343"/>
      <c r="G3" s="343"/>
      <c r="I3" s="215"/>
      <c r="J3" s="215"/>
      <c r="K3" s="23">
        <f>+PROYECCIONES!D72</f>
        <v>225.48516</v>
      </c>
      <c r="L3" s="23"/>
      <c r="M3" s="23">
        <f>+PROYECCIONES!D74</f>
        <v>36.30048075228001</v>
      </c>
      <c r="N3" s="23">
        <f>+PROYECCIONES!D73</f>
        <v>208.738</v>
      </c>
      <c r="O3" s="23"/>
      <c r="P3" s="23">
        <f>SUM(K3:O3)</f>
        <v>470.52364075228</v>
      </c>
      <c r="Q3" s="227"/>
      <c r="R3" s="23">
        <f>+'[1]INGRESOS'!$N$102+'[1]INGRESOS'!$N$56</f>
        <v>255.31582516000003</v>
      </c>
      <c r="S3" s="23"/>
      <c r="T3" s="23">
        <f>+'[1]INGRESOS'!$N$103</f>
        <v>33.209986823648386</v>
      </c>
      <c r="U3" s="23">
        <f>+'[1]INGRESOS'!$N$63</f>
        <v>215.00014000000002</v>
      </c>
      <c r="V3" s="23"/>
      <c r="W3" s="23">
        <f>SUM(R3:V3)</f>
        <v>503.5259519836484</v>
      </c>
      <c r="X3" s="227"/>
      <c r="Y3" s="23">
        <f>+'[1]INGRESOS'!$O$102+'[1]INGRESOS'!$O$56</f>
        <v>270.63477466960006</v>
      </c>
      <c r="Z3" s="23"/>
      <c r="AA3" s="23">
        <f>+'[1]INGRESOS'!$O$103</f>
        <v>30.014239552104232</v>
      </c>
      <c r="AB3" s="23">
        <f>+'[1]INGRESOS'!$O$63</f>
        <v>221.4501442</v>
      </c>
      <c r="AC3" s="23"/>
      <c r="AD3" s="23">
        <f>SUM(Y3:AC3)</f>
        <v>522.0991584217043</v>
      </c>
      <c r="AE3" s="227"/>
      <c r="AF3" s="23">
        <f>+'[1]INGRESOS'!$P$102+'[1]INGRESOS'!$P$56</f>
        <v>286.87286114977604</v>
      </c>
      <c r="AG3" s="23"/>
      <c r="AH3" s="23">
        <f>+'[1]INGRESOS'!$P$103</f>
        <v>26.710043721784974</v>
      </c>
      <c r="AI3" s="23">
        <f>+'[1]INGRESOS'!$P$63</f>
        <v>228.093648526</v>
      </c>
      <c r="AJ3" s="23"/>
      <c r="AK3" s="23">
        <f>SUM(AF3:AJ3)</f>
        <v>541.6765533975611</v>
      </c>
    </row>
    <row r="4" spans="1:37" s="203" customFormat="1" ht="15">
      <c r="A4" s="336" t="s">
        <v>35</v>
      </c>
      <c r="B4" s="336" t="s">
        <v>47</v>
      </c>
      <c r="C4" s="336" t="s">
        <v>0</v>
      </c>
      <c r="D4" s="336" t="s">
        <v>2</v>
      </c>
      <c r="E4" s="336" t="s">
        <v>39</v>
      </c>
      <c r="F4" s="336" t="s">
        <v>37</v>
      </c>
      <c r="G4" s="338" t="s">
        <v>10</v>
      </c>
      <c r="H4" s="336" t="s">
        <v>45</v>
      </c>
      <c r="I4" s="332" t="s">
        <v>266</v>
      </c>
      <c r="J4" s="317"/>
      <c r="K4" s="335">
        <v>2012</v>
      </c>
      <c r="L4" s="335"/>
      <c r="M4" s="335"/>
      <c r="N4" s="335"/>
      <c r="O4" s="335"/>
      <c r="P4" s="335"/>
      <c r="Q4" s="317"/>
      <c r="R4" s="335">
        <v>2013</v>
      </c>
      <c r="S4" s="335"/>
      <c r="T4" s="335"/>
      <c r="U4" s="335"/>
      <c r="V4" s="335"/>
      <c r="W4" s="335"/>
      <c r="X4" s="317"/>
      <c r="Y4" s="335">
        <v>2014</v>
      </c>
      <c r="Z4" s="335"/>
      <c r="AA4" s="335"/>
      <c r="AB4" s="335"/>
      <c r="AC4" s="335"/>
      <c r="AD4" s="335"/>
      <c r="AE4" s="317"/>
      <c r="AF4" s="335">
        <v>2015</v>
      </c>
      <c r="AG4" s="335"/>
      <c r="AH4" s="335"/>
      <c r="AI4" s="335"/>
      <c r="AJ4" s="335"/>
      <c r="AK4" s="335"/>
    </row>
    <row r="5" spans="1:37" s="203" customFormat="1" ht="15">
      <c r="A5" s="337"/>
      <c r="B5" s="337"/>
      <c r="C5" s="337"/>
      <c r="D5" s="337"/>
      <c r="E5" s="337"/>
      <c r="F5" s="337"/>
      <c r="G5" s="339"/>
      <c r="H5" s="337"/>
      <c r="I5" s="333"/>
      <c r="J5" s="318"/>
      <c r="K5" s="202" t="s">
        <v>40</v>
      </c>
      <c r="L5" s="204" t="s">
        <v>41</v>
      </c>
      <c r="M5" s="202" t="s">
        <v>42</v>
      </c>
      <c r="N5" s="202" t="s">
        <v>43</v>
      </c>
      <c r="O5" s="202" t="s">
        <v>1</v>
      </c>
      <c r="P5" s="202" t="s">
        <v>44</v>
      </c>
      <c r="Q5" s="318"/>
      <c r="R5" s="202" t="s">
        <v>40</v>
      </c>
      <c r="S5" s="204" t="s">
        <v>41</v>
      </c>
      <c r="T5" s="202" t="s">
        <v>42</v>
      </c>
      <c r="U5" s="202" t="s">
        <v>43</v>
      </c>
      <c r="V5" s="202" t="s">
        <v>1</v>
      </c>
      <c r="W5" s="202" t="s">
        <v>44</v>
      </c>
      <c r="X5" s="318"/>
      <c r="Y5" s="202" t="s">
        <v>40</v>
      </c>
      <c r="Z5" s="204" t="s">
        <v>41</v>
      </c>
      <c r="AA5" s="202" t="s">
        <v>42</v>
      </c>
      <c r="AB5" s="202" t="s">
        <v>43</v>
      </c>
      <c r="AC5" s="202" t="s">
        <v>1</v>
      </c>
      <c r="AD5" s="202" t="s">
        <v>44</v>
      </c>
      <c r="AE5" s="318"/>
      <c r="AF5" s="202" t="s">
        <v>40</v>
      </c>
      <c r="AG5" s="204" t="s">
        <v>41</v>
      </c>
      <c r="AH5" s="202" t="s">
        <v>42</v>
      </c>
      <c r="AI5" s="202" t="s">
        <v>43</v>
      </c>
      <c r="AJ5" s="202" t="s">
        <v>1</v>
      </c>
      <c r="AK5" s="202" t="s">
        <v>44</v>
      </c>
    </row>
    <row r="6" spans="1:37" ht="24.75" customHeight="1">
      <c r="A6" s="321" t="s">
        <v>56</v>
      </c>
      <c r="B6" s="319" t="s">
        <v>81</v>
      </c>
      <c r="C6" s="328" t="s">
        <v>95</v>
      </c>
      <c r="D6" s="325" t="s">
        <v>525</v>
      </c>
      <c r="E6" s="325" t="s">
        <v>526</v>
      </c>
      <c r="F6" s="325" t="s">
        <v>527</v>
      </c>
      <c r="G6" s="1" t="s">
        <v>6</v>
      </c>
      <c r="H6" s="205">
        <f>+P6+W6+AD6+AK6</f>
        <v>1873.2606209793762</v>
      </c>
      <c r="I6" s="216"/>
      <c r="J6" s="222"/>
      <c r="K6" s="137">
        <f>+K3</f>
        <v>225.48516</v>
      </c>
      <c r="L6" s="137"/>
      <c r="M6" s="137"/>
      <c r="N6" s="137">
        <v>208.738</v>
      </c>
      <c r="O6" s="206"/>
      <c r="P6" s="206">
        <f aca="true" t="shared" si="2" ref="P6:P29">SUM(K6:O6)</f>
        <v>434.22316</v>
      </c>
      <c r="Q6" s="222"/>
      <c r="R6" s="137">
        <f>+R3</f>
        <v>255.31582516000003</v>
      </c>
      <c r="S6" s="137"/>
      <c r="T6" s="137"/>
      <c r="U6" s="137">
        <v>208.738</v>
      </c>
      <c r="V6" s="206"/>
      <c r="W6" s="206">
        <f aca="true" t="shared" si="3" ref="W6:W29">SUM(R6:V6)</f>
        <v>464.05382516000003</v>
      </c>
      <c r="X6" s="222"/>
      <c r="Y6" s="137">
        <f>+Y3</f>
        <v>270.63477466960006</v>
      </c>
      <c r="Z6" s="137"/>
      <c r="AA6" s="137"/>
      <c r="AB6" s="137">
        <v>208.738</v>
      </c>
      <c r="AC6" s="206"/>
      <c r="AD6" s="206">
        <f aca="true" t="shared" si="4" ref="AD6:AD29">SUM(Y6:AC6)</f>
        <v>479.37277466960006</v>
      </c>
      <c r="AE6" s="222"/>
      <c r="AF6" s="137">
        <f>+AF3</f>
        <v>286.87286114977604</v>
      </c>
      <c r="AG6" s="137"/>
      <c r="AH6" s="137"/>
      <c r="AI6" s="137">
        <v>208.738</v>
      </c>
      <c r="AJ6" s="206"/>
      <c r="AK6" s="206">
        <f aca="true" t="shared" si="5" ref="AK6:AK29">SUM(AF6:AJ6)</f>
        <v>495.61086114977604</v>
      </c>
    </row>
    <row r="7" spans="1:37" ht="24.75" customHeight="1">
      <c r="A7" s="322"/>
      <c r="B7" s="320"/>
      <c r="C7" s="329"/>
      <c r="D7" s="326"/>
      <c r="E7" s="344"/>
      <c r="F7" s="344"/>
      <c r="G7" s="1" t="s">
        <v>7</v>
      </c>
      <c r="H7" s="205">
        <f aca="true" t="shared" si="6" ref="H7:H29">+P7+W7+AD7+AK7</f>
        <v>0</v>
      </c>
      <c r="I7" s="217"/>
      <c r="J7" s="223"/>
      <c r="K7" s="137"/>
      <c r="L7" s="137"/>
      <c r="M7" s="137"/>
      <c r="N7" s="137"/>
      <c r="O7" s="206"/>
      <c r="P7" s="206">
        <f t="shared" si="2"/>
        <v>0</v>
      </c>
      <c r="Q7" s="223"/>
      <c r="R7" s="137"/>
      <c r="S7" s="137"/>
      <c r="T7" s="137"/>
      <c r="U7" s="137"/>
      <c r="V7" s="206"/>
      <c r="W7" s="206">
        <f t="shared" si="3"/>
        <v>0</v>
      </c>
      <c r="X7" s="223"/>
      <c r="Y7" s="137"/>
      <c r="Z7" s="137"/>
      <c r="AA7" s="137"/>
      <c r="AB7" s="137"/>
      <c r="AC7" s="206"/>
      <c r="AD7" s="206">
        <f t="shared" si="4"/>
        <v>0</v>
      </c>
      <c r="AE7" s="223"/>
      <c r="AF7" s="137"/>
      <c r="AG7" s="137"/>
      <c r="AH7" s="137"/>
      <c r="AI7" s="137"/>
      <c r="AJ7" s="206"/>
      <c r="AK7" s="206">
        <f t="shared" si="5"/>
        <v>0</v>
      </c>
    </row>
    <row r="8" spans="1:37" ht="24.75" customHeight="1">
      <c r="A8" s="322"/>
      <c r="B8" s="320"/>
      <c r="C8" s="329"/>
      <c r="D8" s="327"/>
      <c r="E8" s="323" t="s">
        <v>531</v>
      </c>
      <c r="F8" s="323" t="s">
        <v>532</v>
      </c>
      <c r="G8" s="2" t="s">
        <v>528</v>
      </c>
      <c r="H8" s="205">
        <f>+P8+W8+AD8+AK8</f>
        <v>23.316</v>
      </c>
      <c r="I8" s="217"/>
      <c r="J8" s="223"/>
      <c r="K8" s="137"/>
      <c r="L8" s="137"/>
      <c r="M8" s="137">
        <v>8.207</v>
      </c>
      <c r="N8" s="137"/>
      <c r="O8" s="206"/>
      <c r="P8" s="206">
        <f>SUM(K8:O8)</f>
        <v>8.207</v>
      </c>
      <c r="Q8" s="223"/>
      <c r="R8" s="137"/>
      <c r="S8" s="137"/>
      <c r="T8" s="137">
        <v>5.714</v>
      </c>
      <c r="U8" s="137"/>
      <c r="V8" s="206"/>
      <c r="W8" s="206">
        <f>SUM(R8:V8)</f>
        <v>5.714</v>
      </c>
      <c r="X8" s="223"/>
      <c r="Y8" s="137"/>
      <c r="Z8" s="137"/>
      <c r="AA8" s="137">
        <v>5.044</v>
      </c>
      <c r="AB8" s="137"/>
      <c r="AC8" s="206"/>
      <c r="AD8" s="206">
        <f>SUM(Y8:AC8)</f>
        <v>5.044</v>
      </c>
      <c r="AE8" s="223"/>
      <c r="AF8" s="137"/>
      <c r="AG8" s="137"/>
      <c r="AH8" s="137">
        <v>4.351</v>
      </c>
      <c r="AI8" s="137"/>
      <c r="AJ8" s="206"/>
      <c r="AK8" s="206">
        <f>SUM(AF8:AJ8)</f>
        <v>4.351</v>
      </c>
    </row>
    <row r="9" spans="1:37" ht="24.75" customHeight="1">
      <c r="A9" s="322"/>
      <c r="B9" s="320"/>
      <c r="C9" s="340"/>
      <c r="D9" s="324"/>
      <c r="E9" s="324"/>
      <c r="F9" s="324"/>
      <c r="G9" s="21" t="s">
        <v>122</v>
      </c>
      <c r="H9" s="205">
        <f t="shared" si="6"/>
        <v>3.7465212419587526</v>
      </c>
      <c r="I9" s="218"/>
      <c r="J9" s="224"/>
      <c r="K9" s="137"/>
      <c r="L9" s="137"/>
      <c r="M9" s="137">
        <f>+P6*0.002</f>
        <v>0.86844632</v>
      </c>
      <c r="N9" s="137"/>
      <c r="O9" s="206"/>
      <c r="P9" s="206">
        <f t="shared" si="2"/>
        <v>0.86844632</v>
      </c>
      <c r="Q9" s="224"/>
      <c r="R9" s="137"/>
      <c r="S9" s="137"/>
      <c r="T9" s="137">
        <f>+W6*0.002</f>
        <v>0.9281076503200001</v>
      </c>
      <c r="U9" s="137"/>
      <c r="V9" s="206"/>
      <c r="W9" s="206">
        <f t="shared" si="3"/>
        <v>0.9281076503200001</v>
      </c>
      <c r="X9" s="224"/>
      <c r="Y9" s="137"/>
      <c r="Z9" s="137"/>
      <c r="AA9" s="137">
        <f>+AD6*0.002</f>
        <v>0.9587455493392002</v>
      </c>
      <c r="AB9" s="137"/>
      <c r="AC9" s="206"/>
      <c r="AD9" s="206">
        <f t="shared" si="4"/>
        <v>0.9587455493392002</v>
      </c>
      <c r="AE9" s="224"/>
      <c r="AF9" s="137"/>
      <c r="AG9" s="137"/>
      <c r="AH9" s="137">
        <f>+AK6*0.002</f>
        <v>0.9912217222995521</v>
      </c>
      <c r="AI9" s="137"/>
      <c r="AJ9" s="206"/>
      <c r="AK9" s="206">
        <f t="shared" si="5"/>
        <v>0.9912217222995521</v>
      </c>
    </row>
    <row r="10" spans="1:37" s="211" customFormat="1" ht="15">
      <c r="A10" s="322"/>
      <c r="B10" s="320"/>
      <c r="C10" s="209"/>
      <c r="D10" s="209"/>
      <c r="E10" s="209"/>
      <c r="F10" s="209"/>
      <c r="G10" s="213" t="s">
        <v>235</v>
      </c>
      <c r="H10" s="212">
        <f>SUM(H6:H9)</f>
        <v>1900.323142221335</v>
      </c>
      <c r="I10" s="219">
        <f>+H10/H32</f>
        <v>0.9194641670443482</v>
      </c>
      <c r="J10" s="225"/>
      <c r="K10" s="212">
        <f aca="true" t="shared" si="7" ref="K10:AK10">SUM(K6:K9)</f>
        <v>225.48516</v>
      </c>
      <c r="L10" s="212">
        <f t="shared" si="7"/>
        <v>0</v>
      </c>
      <c r="M10" s="212">
        <f t="shared" si="7"/>
        <v>9.075446320000001</v>
      </c>
      <c r="N10" s="212">
        <f t="shared" si="7"/>
        <v>208.738</v>
      </c>
      <c r="O10" s="212">
        <f t="shared" si="7"/>
        <v>0</v>
      </c>
      <c r="P10" s="212">
        <f t="shared" si="7"/>
        <v>443.29860632</v>
      </c>
      <c r="Q10" s="225"/>
      <c r="R10" s="212">
        <f t="shared" si="7"/>
        <v>255.31582516000003</v>
      </c>
      <c r="S10" s="212">
        <f t="shared" si="7"/>
        <v>0</v>
      </c>
      <c r="T10" s="212">
        <f t="shared" si="7"/>
        <v>6.642107650320001</v>
      </c>
      <c r="U10" s="212">
        <f t="shared" si="7"/>
        <v>208.738</v>
      </c>
      <c r="V10" s="212">
        <f t="shared" si="7"/>
        <v>0</v>
      </c>
      <c r="W10" s="212">
        <f t="shared" si="7"/>
        <v>470.69593281032</v>
      </c>
      <c r="X10" s="225"/>
      <c r="Y10" s="212">
        <f t="shared" si="7"/>
        <v>270.63477466960006</v>
      </c>
      <c r="Z10" s="212">
        <f t="shared" si="7"/>
        <v>0</v>
      </c>
      <c r="AA10" s="212">
        <f t="shared" si="7"/>
        <v>6.0027455493392</v>
      </c>
      <c r="AB10" s="212">
        <f t="shared" si="7"/>
        <v>208.738</v>
      </c>
      <c r="AC10" s="212">
        <f t="shared" si="7"/>
        <v>0</v>
      </c>
      <c r="AD10" s="212">
        <f t="shared" si="7"/>
        <v>485.37552021893924</v>
      </c>
      <c r="AE10" s="225"/>
      <c r="AF10" s="212">
        <f t="shared" si="7"/>
        <v>286.87286114977604</v>
      </c>
      <c r="AG10" s="212">
        <f t="shared" si="7"/>
        <v>0</v>
      </c>
      <c r="AH10" s="212">
        <f t="shared" si="7"/>
        <v>5.342221722299552</v>
      </c>
      <c r="AI10" s="212">
        <f t="shared" si="7"/>
        <v>208.738</v>
      </c>
      <c r="AJ10" s="212">
        <f t="shared" si="7"/>
        <v>0</v>
      </c>
      <c r="AK10" s="212">
        <f t="shared" si="7"/>
        <v>500.9530828720756</v>
      </c>
    </row>
    <row r="11" spans="1:2" ht="4.5" customHeight="1">
      <c r="A11" s="322"/>
      <c r="B11" s="320"/>
    </row>
    <row r="12" spans="1:37" ht="32.25" customHeight="1">
      <c r="A12" s="322"/>
      <c r="B12" s="320"/>
      <c r="C12" s="328" t="s">
        <v>96</v>
      </c>
      <c r="D12" s="325" t="s">
        <v>97</v>
      </c>
      <c r="E12" s="325" t="s">
        <v>529</v>
      </c>
      <c r="F12" s="325" t="s">
        <v>530</v>
      </c>
      <c r="G12" s="1" t="s">
        <v>533</v>
      </c>
      <c r="H12" s="205">
        <f t="shared" si="6"/>
        <v>130.3938337057248</v>
      </c>
      <c r="I12" s="216"/>
      <c r="J12" s="222"/>
      <c r="K12" s="137">
        <f>+PROYECCIONES!D23</f>
        <v>15.378826</v>
      </c>
      <c r="L12" s="137"/>
      <c r="M12" s="137">
        <f>+M3*0.5</f>
        <v>18.150240376140005</v>
      </c>
      <c r="N12" s="137"/>
      <c r="O12" s="206"/>
      <c r="P12" s="206">
        <f t="shared" si="2"/>
        <v>33.52906637614001</v>
      </c>
      <c r="Q12" s="222"/>
      <c r="R12" s="137">
        <f>+PROYECCIONES!E23</f>
        <v>16.30155556</v>
      </c>
      <c r="S12" s="137"/>
      <c r="T12" s="137">
        <f>+T3*0.5</f>
        <v>16.604993411824193</v>
      </c>
      <c r="U12" s="137"/>
      <c r="V12" s="206"/>
      <c r="W12" s="206">
        <f t="shared" si="3"/>
        <v>32.90654897182419</v>
      </c>
      <c r="X12" s="222"/>
      <c r="Y12" s="137">
        <f>+PROYECCIONES!F23</f>
        <v>17.2796488936</v>
      </c>
      <c r="Z12" s="137"/>
      <c r="AA12" s="137">
        <f>+AA3*0.5</f>
        <v>15.007119776052116</v>
      </c>
      <c r="AB12" s="137"/>
      <c r="AC12" s="206"/>
      <c r="AD12" s="206">
        <f t="shared" si="4"/>
        <v>32.28676866965212</v>
      </c>
      <c r="AE12" s="222"/>
      <c r="AF12" s="137">
        <f>+PROYECCIONES!G23</f>
        <v>18.316427827216003</v>
      </c>
      <c r="AG12" s="137"/>
      <c r="AH12" s="137">
        <f>+AH3*0.5</f>
        <v>13.355021860892487</v>
      </c>
      <c r="AI12" s="137"/>
      <c r="AJ12" s="206"/>
      <c r="AK12" s="206">
        <f>SUM(AF12:AJ12)</f>
        <v>31.67144968810849</v>
      </c>
    </row>
    <row r="13" spans="1:37" ht="38.25">
      <c r="A13" s="322"/>
      <c r="B13" s="320"/>
      <c r="C13" s="329"/>
      <c r="D13" s="326"/>
      <c r="E13" s="326"/>
      <c r="F13" s="326"/>
      <c r="G13" s="1" t="s">
        <v>82</v>
      </c>
      <c r="H13" s="205"/>
      <c r="I13" s="217"/>
      <c r="J13" s="223"/>
      <c r="K13" s="137"/>
      <c r="L13" s="137"/>
      <c r="M13" s="137"/>
      <c r="N13" s="137"/>
      <c r="O13" s="206"/>
      <c r="P13" s="206"/>
      <c r="Q13" s="223"/>
      <c r="R13" s="137"/>
      <c r="S13" s="137"/>
      <c r="T13" s="137"/>
      <c r="U13" s="137"/>
      <c r="V13" s="206"/>
      <c r="W13" s="206"/>
      <c r="X13" s="223"/>
      <c r="Y13" s="137"/>
      <c r="Z13" s="137"/>
      <c r="AA13" s="137"/>
      <c r="AB13" s="137"/>
      <c r="AC13" s="206"/>
      <c r="AD13" s="206"/>
      <c r="AE13" s="223"/>
      <c r="AF13" s="137"/>
      <c r="AG13" s="137"/>
      <c r="AH13" s="137"/>
      <c r="AI13" s="137"/>
      <c r="AJ13" s="206"/>
      <c r="AK13" s="206"/>
    </row>
    <row r="14" spans="1:37" ht="25.5">
      <c r="A14" s="322"/>
      <c r="B14" s="320"/>
      <c r="C14" s="329"/>
      <c r="D14" s="326"/>
      <c r="E14" s="326"/>
      <c r="F14" s="326"/>
      <c r="G14" s="1" t="s">
        <v>83</v>
      </c>
      <c r="H14" s="205">
        <f t="shared" si="6"/>
        <v>0</v>
      </c>
      <c r="I14" s="217"/>
      <c r="J14" s="223"/>
      <c r="K14" s="137"/>
      <c r="L14" s="137"/>
      <c r="M14" s="137"/>
      <c r="N14" s="137"/>
      <c r="O14" s="206"/>
      <c r="P14" s="206">
        <f t="shared" si="2"/>
        <v>0</v>
      </c>
      <c r="Q14" s="223"/>
      <c r="R14" s="137"/>
      <c r="S14" s="137"/>
      <c r="T14" s="137"/>
      <c r="U14" s="137"/>
      <c r="V14" s="206"/>
      <c r="W14" s="206">
        <f t="shared" si="3"/>
        <v>0</v>
      </c>
      <c r="X14" s="223"/>
      <c r="Y14" s="137"/>
      <c r="Z14" s="137"/>
      <c r="AA14" s="137"/>
      <c r="AB14" s="137"/>
      <c r="AC14" s="206"/>
      <c r="AD14" s="206">
        <f t="shared" si="4"/>
        <v>0</v>
      </c>
      <c r="AE14" s="223"/>
      <c r="AF14" s="137"/>
      <c r="AG14" s="137"/>
      <c r="AH14" s="137"/>
      <c r="AI14" s="137"/>
      <c r="AJ14" s="206"/>
      <c r="AK14" s="206">
        <f t="shared" si="5"/>
        <v>0</v>
      </c>
    </row>
    <row r="15" spans="1:37" ht="38.25">
      <c r="A15" s="322"/>
      <c r="B15" s="320"/>
      <c r="C15" s="329"/>
      <c r="D15" s="326"/>
      <c r="E15" s="326"/>
      <c r="F15" s="326"/>
      <c r="G15" s="1" t="s">
        <v>84</v>
      </c>
      <c r="H15" s="205">
        <f t="shared" si="6"/>
        <v>0</v>
      </c>
      <c r="I15" s="217"/>
      <c r="J15" s="223"/>
      <c r="K15" s="137"/>
      <c r="L15" s="137"/>
      <c r="M15" s="137"/>
      <c r="N15" s="137"/>
      <c r="O15" s="206"/>
      <c r="P15" s="206">
        <f t="shared" si="2"/>
        <v>0</v>
      </c>
      <c r="Q15" s="223"/>
      <c r="R15" s="137"/>
      <c r="S15" s="137"/>
      <c r="T15" s="137"/>
      <c r="U15" s="137"/>
      <c r="V15" s="206"/>
      <c r="W15" s="206">
        <f t="shared" si="3"/>
        <v>0</v>
      </c>
      <c r="X15" s="223"/>
      <c r="Y15" s="137"/>
      <c r="Z15" s="137"/>
      <c r="AA15" s="137"/>
      <c r="AB15" s="137"/>
      <c r="AC15" s="206"/>
      <c r="AD15" s="206">
        <f t="shared" si="4"/>
        <v>0</v>
      </c>
      <c r="AE15" s="223"/>
      <c r="AF15" s="137"/>
      <c r="AG15" s="137"/>
      <c r="AH15" s="137"/>
      <c r="AI15" s="137"/>
      <c r="AJ15" s="206"/>
      <c r="AK15" s="206">
        <f t="shared" si="5"/>
        <v>0</v>
      </c>
    </row>
    <row r="16" spans="1:37" ht="25.5">
      <c r="A16" s="322"/>
      <c r="B16" s="320"/>
      <c r="C16" s="329"/>
      <c r="D16" s="326"/>
      <c r="E16" s="326"/>
      <c r="F16" s="326"/>
      <c r="G16" s="1" t="s">
        <v>85</v>
      </c>
      <c r="H16" s="205">
        <f t="shared" si="6"/>
        <v>0</v>
      </c>
      <c r="I16" s="217"/>
      <c r="J16" s="223"/>
      <c r="K16" s="137"/>
      <c r="L16" s="137"/>
      <c r="M16" s="137"/>
      <c r="N16" s="137"/>
      <c r="O16" s="206"/>
      <c r="P16" s="206">
        <f t="shared" si="2"/>
        <v>0</v>
      </c>
      <c r="Q16" s="223"/>
      <c r="R16" s="137"/>
      <c r="S16" s="137"/>
      <c r="T16" s="137"/>
      <c r="U16" s="137"/>
      <c r="V16" s="206"/>
      <c r="W16" s="206">
        <f t="shared" si="3"/>
        <v>0</v>
      </c>
      <c r="X16" s="223"/>
      <c r="Y16" s="137"/>
      <c r="Z16" s="137"/>
      <c r="AA16" s="137"/>
      <c r="AB16" s="137"/>
      <c r="AC16" s="206"/>
      <c r="AD16" s="206">
        <f t="shared" si="4"/>
        <v>0</v>
      </c>
      <c r="AE16" s="223"/>
      <c r="AF16" s="137"/>
      <c r="AG16" s="137"/>
      <c r="AH16" s="137"/>
      <c r="AI16" s="137"/>
      <c r="AJ16" s="206"/>
      <c r="AK16" s="206">
        <f t="shared" si="5"/>
        <v>0</v>
      </c>
    </row>
    <row r="17" spans="1:37" ht="25.5">
      <c r="A17" s="322"/>
      <c r="B17" s="320"/>
      <c r="C17" s="329"/>
      <c r="D17" s="326"/>
      <c r="E17" s="326"/>
      <c r="F17" s="326"/>
      <c r="G17" s="1" t="s">
        <v>86</v>
      </c>
      <c r="H17" s="205">
        <f t="shared" si="6"/>
        <v>0</v>
      </c>
      <c r="I17" s="217"/>
      <c r="J17" s="223"/>
      <c r="K17" s="137"/>
      <c r="L17" s="137"/>
      <c r="M17" s="137"/>
      <c r="N17" s="137"/>
      <c r="O17" s="206"/>
      <c r="P17" s="206">
        <f t="shared" si="2"/>
        <v>0</v>
      </c>
      <c r="Q17" s="223"/>
      <c r="R17" s="137"/>
      <c r="S17" s="137"/>
      <c r="T17" s="137"/>
      <c r="U17" s="137"/>
      <c r="V17" s="206"/>
      <c r="W17" s="206">
        <f t="shared" si="3"/>
        <v>0</v>
      </c>
      <c r="X17" s="223"/>
      <c r="Y17" s="137"/>
      <c r="Z17" s="137"/>
      <c r="AA17" s="137"/>
      <c r="AB17" s="137"/>
      <c r="AC17" s="206"/>
      <c r="AD17" s="206">
        <f t="shared" si="4"/>
        <v>0</v>
      </c>
      <c r="AE17" s="223"/>
      <c r="AF17" s="137"/>
      <c r="AG17" s="137"/>
      <c r="AH17" s="137"/>
      <c r="AI17" s="137"/>
      <c r="AJ17" s="206"/>
      <c r="AK17" s="206">
        <f t="shared" si="5"/>
        <v>0</v>
      </c>
    </row>
    <row r="18" spans="1:37" ht="38.25">
      <c r="A18" s="322"/>
      <c r="B18" s="320"/>
      <c r="C18" s="329"/>
      <c r="D18" s="326"/>
      <c r="E18" s="326"/>
      <c r="F18" s="326"/>
      <c r="G18" s="1" t="s">
        <v>87</v>
      </c>
      <c r="H18" s="205">
        <f t="shared" si="6"/>
        <v>0</v>
      </c>
      <c r="I18" s="217"/>
      <c r="J18" s="223"/>
      <c r="K18" s="137"/>
      <c r="L18" s="137"/>
      <c r="M18" s="137"/>
      <c r="N18" s="137"/>
      <c r="O18" s="206"/>
      <c r="P18" s="206">
        <f t="shared" si="2"/>
        <v>0</v>
      </c>
      <c r="Q18" s="223"/>
      <c r="R18" s="137"/>
      <c r="S18" s="137"/>
      <c r="T18" s="137"/>
      <c r="U18" s="137"/>
      <c r="V18" s="206"/>
      <c r="W18" s="206">
        <f t="shared" si="3"/>
        <v>0</v>
      </c>
      <c r="X18" s="223"/>
      <c r="Y18" s="137"/>
      <c r="Z18" s="137"/>
      <c r="AA18" s="137"/>
      <c r="AB18" s="137"/>
      <c r="AC18" s="206"/>
      <c r="AD18" s="206">
        <f t="shared" si="4"/>
        <v>0</v>
      </c>
      <c r="AE18" s="223"/>
      <c r="AF18" s="137"/>
      <c r="AG18" s="137"/>
      <c r="AH18" s="137"/>
      <c r="AI18" s="137"/>
      <c r="AJ18" s="206"/>
      <c r="AK18" s="206">
        <f t="shared" si="5"/>
        <v>0</v>
      </c>
    </row>
    <row r="19" spans="1:37" ht="38.25">
      <c r="A19" s="322"/>
      <c r="B19" s="320"/>
      <c r="C19" s="329"/>
      <c r="D19" s="326"/>
      <c r="E19" s="326"/>
      <c r="F19" s="326"/>
      <c r="G19" s="1" t="s">
        <v>88</v>
      </c>
      <c r="H19" s="205">
        <f t="shared" si="6"/>
        <v>0</v>
      </c>
      <c r="I19" s="217"/>
      <c r="J19" s="223"/>
      <c r="K19" s="137"/>
      <c r="L19" s="137"/>
      <c r="M19" s="137"/>
      <c r="N19" s="137"/>
      <c r="O19" s="206"/>
      <c r="P19" s="206">
        <f t="shared" si="2"/>
        <v>0</v>
      </c>
      <c r="Q19" s="223"/>
      <c r="R19" s="137"/>
      <c r="S19" s="137"/>
      <c r="T19" s="137"/>
      <c r="U19" s="137"/>
      <c r="V19" s="206"/>
      <c r="W19" s="206">
        <f t="shared" si="3"/>
        <v>0</v>
      </c>
      <c r="X19" s="223"/>
      <c r="Y19" s="137"/>
      <c r="Z19" s="137"/>
      <c r="AA19" s="137"/>
      <c r="AB19" s="137"/>
      <c r="AC19" s="206"/>
      <c r="AD19" s="206">
        <f t="shared" si="4"/>
        <v>0</v>
      </c>
      <c r="AE19" s="223"/>
      <c r="AF19" s="137"/>
      <c r="AG19" s="137"/>
      <c r="AH19" s="137"/>
      <c r="AI19" s="137"/>
      <c r="AJ19" s="206"/>
      <c r="AK19" s="206">
        <f t="shared" si="5"/>
        <v>0</v>
      </c>
    </row>
    <row r="20" spans="1:37" ht="51">
      <c r="A20" s="322"/>
      <c r="B20" s="320"/>
      <c r="C20" s="329"/>
      <c r="D20" s="326"/>
      <c r="E20" s="326"/>
      <c r="F20" s="326"/>
      <c r="G20" s="1" t="s">
        <v>89</v>
      </c>
      <c r="H20" s="205">
        <f t="shared" si="6"/>
        <v>0</v>
      </c>
      <c r="I20" s="217"/>
      <c r="J20" s="223"/>
      <c r="K20" s="137"/>
      <c r="L20" s="137"/>
      <c r="M20" s="137"/>
      <c r="N20" s="137"/>
      <c r="O20" s="206"/>
      <c r="P20" s="206">
        <f t="shared" si="2"/>
        <v>0</v>
      </c>
      <c r="Q20" s="223"/>
      <c r="R20" s="137"/>
      <c r="S20" s="137"/>
      <c r="T20" s="137"/>
      <c r="U20" s="137"/>
      <c r="V20" s="206"/>
      <c r="W20" s="206">
        <f t="shared" si="3"/>
        <v>0</v>
      </c>
      <c r="X20" s="223"/>
      <c r="Y20" s="137"/>
      <c r="Z20" s="137"/>
      <c r="AA20" s="137"/>
      <c r="AB20" s="137"/>
      <c r="AC20" s="206"/>
      <c r="AD20" s="206">
        <f t="shared" si="4"/>
        <v>0</v>
      </c>
      <c r="AE20" s="223"/>
      <c r="AF20" s="137"/>
      <c r="AG20" s="137"/>
      <c r="AH20" s="137"/>
      <c r="AI20" s="137"/>
      <c r="AJ20" s="206"/>
      <c r="AK20" s="206">
        <f t="shared" si="5"/>
        <v>0</v>
      </c>
    </row>
    <row r="21" spans="1:37" ht="38.25">
      <c r="A21" s="322"/>
      <c r="B21" s="320"/>
      <c r="C21" s="329"/>
      <c r="D21" s="326"/>
      <c r="E21" s="326"/>
      <c r="F21" s="326"/>
      <c r="G21" s="1" t="s">
        <v>90</v>
      </c>
      <c r="H21" s="205">
        <f t="shared" si="6"/>
        <v>0</v>
      </c>
      <c r="I21" s="217"/>
      <c r="J21" s="223"/>
      <c r="K21" s="137"/>
      <c r="L21" s="137"/>
      <c r="M21" s="137"/>
      <c r="N21" s="137"/>
      <c r="O21" s="206"/>
      <c r="P21" s="206">
        <f t="shared" si="2"/>
        <v>0</v>
      </c>
      <c r="Q21" s="223"/>
      <c r="R21" s="137"/>
      <c r="S21" s="137"/>
      <c r="T21" s="137"/>
      <c r="U21" s="137"/>
      <c r="V21" s="206"/>
      <c r="W21" s="206">
        <f t="shared" si="3"/>
        <v>0</v>
      </c>
      <c r="X21" s="223"/>
      <c r="Y21" s="137"/>
      <c r="Z21" s="137"/>
      <c r="AA21" s="137"/>
      <c r="AB21" s="137"/>
      <c r="AC21" s="206"/>
      <c r="AD21" s="206">
        <f t="shared" si="4"/>
        <v>0</v>
      </c>
      <c r="AE21" s="223"/>
      <c r="AF21" s="137"/>
      <c r="AG21" s="137"/>
      <c r="AH21" s="137"/>
      <c r="AI21" s="137"/>
      <c r="AJ21" s="206"/>
      <c r="AK21" s="206">
        <f t="shared" si="5"/>
        <v>0</v>
      </c>
    </row>
    <row r="22" spans="1:37" ht="38.25">
      <c r="A22" s="322"/>
      <c r="B22" s="320"/>
      <c r="C22" s="329"/>
      <c r="D22" s="326"/>
      <c r="E22" s="326"/>
      <c r="F22" s="326"/>
      <c r="G22" s="1" t="s">
        <v>91</v>
      </c>
      <c r="H22" s="205">
        <f t="shared" si="6"/>
        <v>0</v>
      </c>
      <c r="I22" s="217"/>
      <c r="J22" s="223"/>
      <c r="K22" s="137"/>
      <c r="L22" s="137"/>
      <c r="M22" s="137"/>
      <c r="N22" s="137"/>
      <c r="O22" s="206"/>
      <c r="P22" s="206">
        <f t="shared" si="2"/>
        <v>0</v>
      </c>
      <c r="Q22" s="223"/>
      <c r="R22" s="137"/>
      <c r="S22" s="137"/>
      <c r="T22" s="137"/>
      <c r="U22" s="137"/>
      <c r="V22" s="206"/>
      <c r="W22" s="206">
        <f t="shared" si="3"/>
        <v>0</v>
      </c>
      <c r="X22" s="223"/>
      <c r="Y22" s="137"/>
      <c r="Z22" s="137"/>
      <c r="AA22" s="137"/>
      <c r="AB22" s="137"/>
      <c r="AC22" s="206"/>
      <c r="AD22" s="206">
        <f t="shared" si="4"/>
        <v>0</v>
      </c>
      <c r="AE22" s="223"/>
      <c r="AF22" s="137"/>
      <c r="AG22" s="137"/>
      <c r="AH22" s="137"/>
      <c r="AI22" s="137"/>
      <c r="AJ22" s="206"/>
      <c r="AK22" s="206">
        <f t="shared" si="5"/>
        <v>0</v>
      </c>
    </row>
    <row r="23" spans="1:37" ht="51">
      <c r="A23" s="322"/>
      <c r="B23" s="320"/>
      <c r="C23" s="330"/>
      <c r="D23" s="327"/>
      <c r="E23" s="327"/>
      <c r="F23" s="327"/>
      <c r="G23" s="1" t="s">
        <v>79</v>
      </c>
      <c r="H23" s="205">
        <f t="shared" si="6"/>
        <v>0</v>
      </c>
      <c r="I23" s="217"/>
      <c r="J23" s="223"/>
      <c r="K23" s="137"/>
      <c r="L23" s="137"/>
      <c r="M23" s="137"/>
      <c r="N23" s="137"/>
      <c r="O23" s="206"/>
      <c r="P23" s="206">
        <f t="shared" si="2"/>
        <v>0</v>
      </c>
      <c r="Q23" s="223"/>
      <c r="R23" s="137"/>
      <c r="S23" s="137"/>
      <c r="T23" s="137"/>
      <c r="U23" s="137"/>
      <c r="V23" s="206"/>
      <c r="W23" s="206">
        <f t="shared" si="3"/>
        <v>0</v>
      </c>
      <c r="X23" s="223"/>
      <c r="Y23" s="137"/>
      <c r="Z23" s="137"/>
      <c r="AA23" s="137"/>
      <c r="AB23" s="137"/>
      <c r="AC23" s="206"/>
      <c r="AD23" s="206">
        <f t="shared" si="4"/>
        <v>0</v>
      </c>
      <c r="AE23" s="223"/>
      <c r="AF23" s="137"/>
      <c r="AG23" s="137"/>
      <c r="AH23" s="137"/>
      <c r="AI23" s="137"/>
      <c r="AJ23" s="206"/>
      <c r="AK23" s="206">
        <f t="shared" si="5"/>
        <v>0</v>
      </c>
    </row>
    <row r="24" spans="1:37" ht="51">
      <c r="A24" s="322"/>
      <c r="B24" s="320"/>
      <c r="C24" s="331"/>
      <c r="D24" s="324"/>
      <c r="E24" s="324"/>
      <c r="F24" s="324"/>
      <c r="G24" s="1" t="s">
        <v>80</v>
      </c>
      <c r="H24" s="205">
        <f>+P24+W24+AD24+AK24</f>
        <v>0</v>
      </c>
      <c r="I24" s="218"/>
      <c r="J24" s="224"/>
      <c r="K24" s="137"/>
      <c r="L24" s="137"/>
      <c r="M24" s="137"/>
      <c r="N24" s="137"/>
      <c r="O24" s="206"/>
      <c r="P24" s="206">
        <f>SUM(K24:O24)</f>
        <v>0</v>
      </c>
      <c r="Q24" s="224"/>
      <c r="R24" s="137"/>
      <c r="S24" s="137"/>
      <c r="T24" s="137"/>
      <c r="U24" s="137"/>
      <c r="V24" s="206"/>
      <c r="W24" s="206">
        <f>SUM(R24:V24)</f>
        <v>0</v>
      </c>
      <c r="X24" s="224"/>
      <c r="Y24" s="137"/>
      <c r="Z24" s="137"/>
      <c r="AA24" s="137"/>
      <c r="AB24" s="137"/>
      <c r="AC24" s="206"/>
      <c r="AD24" s="206">
        <f>SUM(Y24:AC24)</f>
        <v>0</v>
      </c>
      <c r="AE24" s="224"/>
      <c r="AF24" s="137"/>
      <c r="AG24" s="137"/>
      <c r="AH24" s="137"/>
      <c r="AI24" s="137"/>
      <c r="AJ24" s="206"/>
      <c r="AK24" s="206">
        <f>SUM(AF24:AJ24)</f>
        <v>0</v>
      </c>
    </row>
    <row r="25" spans="1:37" s="211" customFormat="1" ht="15">
      <c r="A25" s="322"/>
      <c r="B25" s="320"/>
      <c r="C25" s="209"/>
      <c r="D25" s="209"/>
      <c r="E25" s="209"/>
      <c r="F25" s="209"/>
      <c r="G25" s="213" t="s">
        <v>235</v>
      </c>
      <c r="H25" s="212">
        <f>SUM(H12:H24)</f>
        <v>130.3938337057248</v>
      </c>
      <c r="I25" s="219">
        <f>+H25/H32</f>
        <v>0.06309056340586804</v>
      </c>
      <c r="J25" s="225"/>
      <c r="K25" s="212">
        <f aca="true" t="shared" si="8" ref="K25:AK25">SUM(K12:K24)</f>
        <v>15.378826</v>
      </c>
      <c r="L25" s="212">
        <f t="shared" si="8"/>
        <v>0</v>
      </c>
      <c r="M25" s="212">
        <f t="shared" si="8"/>
        <v>18.150240376140005</v>
      </c>
      <c r="N25" s="212">
        <f t="shared" si="8"/>
        <v>0</v>
      </c>
      <c r="O25" s="212">
        <f t="shared" si="8"/>
        <v>0</v>
      </c>
      <c r="P25" s="212">
        <f t="shared" si="8"/>
        <v>33.52906637614001</v>
      </c>
      <c r="Q25" s="225"/>
      <c r="R25" s="212">
        <f t="shared" si="8"/>
        <v>16.30155556</v>
      </c>
      <c r="S25" s="212">
        <f t="shared" si="8"/>
        <v>0</v>
      </c>
      <c r="T25" s="212">
        <f t="shared" si="8"/>
        <v>16.604993411824193</v>
      </c>
      <c r="U25" s="212">
        <f t="shared" si="8"/>
        <v>0</v>
      </c>
      <c r="V25" s="212">
        <f t="shared" si="8"/>
        <v>0</v>
      </c>
      <c r="W25" s="212">
        <f t="shared" si="8"/>
        <v>32.90654897182419</v>
      </c>
      <c r="X25" s="225"/>
      <c r="Y25" s="212">
        <f t="shared" si="8"/>
        <v>17.2796488936</v>
      </c>
      <c r="Z25" s="212">
        <f t="shared" si="8"/>
        <v>0</v>
      </c>
      <c r="AA25" s="212">
        <f t="shared" si="8"/>
        <v>15.007119776052116</v>
      </c>
      <c r="AB25" s="212">
        <f t="shared" si="8"/>
        <v>0</v>
      </c>
      <c r="AC25" s="212">
        <f t="shared" si="8"/>
        <v>0</v>
      </c>
      <c r="AD25" s="212">
        <f t="shared" si="8"/>
        <v>32.28676866965212</v>
      </c>
      <c r="AE25" s="225"/>
      <c r="AF25" s="212">
        <f t="shared" si="8"/>
        <v>18.316427827216003</v>
      </c>
      <c r="AG25" s="212">
        <f t="shared" si="8"/>
        <v>0</v>
      </c>
      <c r="AH25" s="212">
        <f t="shared" si="8"/>
        <v>13.355021860892487</v>
      </c>
      <c r="AI25" s="212">
        <f t="shared" si="8"/>
        <v>0</v>
      </c>
      <c r="AJ25" s="212">
        <f t="shared" si="8"/>
        <v>0</v>
      </c>
      <c r="AK25" s="212">
        <f t="shared" si="8"/>
        <v>31.67144968810849</v>
      </c>
    </row>
    <row r="26" spans="1:2" ht="4.5" customHeight="1">
      <c r="A26" s="322"/>
      <c r="B26" s="320"/>
    </row>
    <row r="27" spans="1:37" ht="38.25">
      <c r="A27" s="322"/>
      <c r="B27" s="320"/>
      <c r="C27" s="334" t="s">
        <v>98</v>
      </c>
      <c r="D27" s="325" t="s">
        <v>534</v>
      </c>
      <c r="E27" s="325" t="s">
        <v>535</v>
      </c>
      <c r="F27" s="345" t="s">
        <v>536</v>
      </c>
      <c r="G27" s="1" t="s">
        <v>93</v>
      </c>
      <c r="H27" s="205">
        <f t="shared" si="6"/>
        <v>9.075120188070002</v>
      </c>
      <c r="I27" s="220"/>
      <c r="J27" s="226"/>
      <c r="K27" s="137"/>
      <c r="L27" s="137"/>
      <c r="M27" s="137">
        <f>+M3*0.25</f>
        <v>9.075120188070002</v>
      </c>
      <c r="N27" s="137"/>
      <c r="O27" s="206"/>
      <c r="P27" s="206">
        <f t="shared" si="2"/>
        <v>9.075120188070002</v>
      </c>
      <c r="Q27" s="226"/>
      <c r="R27" s="137"/>
      <c r="S27" s="137"/>
      <c r="T27" s="137"/>
      <c r="U27" s="137"/>
      <c r="V27" s="206"/>
      <c r="W27" s="206">
        <f t="shared" si="3"/>
        <v>0</v>
      </c>
      <c r="X27" s="226"/>
      <c r="Y27" s="137"/>
      <c r="Z27" s="137"/>
      <c r="AA27" s="137"/>
      <c r="AB27" s="137"/>
      <c r="AC27" s="206"/>
      <c r="AD27" s="206">
        <f t="shared" si="4"/>
        <v>0</v>
      </c>
      <c r="AE27" s="226"/>
      <c r="AF27" s="137"/>
      <c r="AG27" s="137"/>
      <c r="AH27" s="137"/>
      <c r="AI27" s="137"/>
      <c r="AJ27" s="206"/>
      <c r="AK27" s="206">
        <f t="shared" si="5"/>
        <v>0</v>
      </c>
    </row>
    <row r="28" spans="1:37" ht="25.5">
      <c r="A28" s="322"/>
      <c r="B28" s="320"/>
      <c r="C28" s="334"/>
      <c r="D28" s="326"/>
      <c r="E28" s="326"/>
      <c r="F28" s="345"/>
      <c r="G28" s="1" t="s">
        <v>92</v>
      </c>
      <c r="H28" s="205">
        <f t="shared" si="6"/>
        <v>9.962996047094515</v>
      </c>
      <c r="I28" s="220"/>
      <c r="J28" s="226"/>
      <c r="K28" s="137"/>
      <c r="L28" s="137"/>
      <c r="M28" s="137"/>
      <c r="N28" s="137"/>
      <c r="O28" s="206"/>
      <c r="P28" s="206">
        <f t="shared" si="2"/>
        <v>0</v>
      </c>
      <c r="Q28" s="226"/>
      <c r="R28" s="137"/>
      <c r="S28" s="137"/>
      <c r="T28" s="137">
        <f>+T3*0.3</f>
        <v>9.962996047094515</v>
      </c>
      <c r="U28" s="137"/>
      <c r="V28" s="206"/>
      <c r="W28" s="206">
        <f t="shared" si="3"/>
        <v>9.962996047094515</v>
      </c>
      <c r="X28" s="226"/>
      <c r="Y28" s="137"/>
      <c r="Z28" s="137"/>
      <c r="AA28" s="137"/>
      <c r="AB28" s="137"/>
      <c r="AC28" s="206"/>
      <c r="AD28" s="206">
        <f t="shared" si="4"/>
        <v>0</v>
      </c>
      <c r="AE28" s="226"/>
      <c r="AF28" s="137"/>
      <c r="AG28" s="137"/>
      <c r="AH28" s="137"/>
      <c r="AI28" s="137"/>
      <c r="AJ28" s="206"/>
      <c r="AK28" s="206">
        <f t="shared" si="5"/>
        <v>0</v>
      </c>
    </row>
    <row r="29" spans="1:37" ht="38.25">
      <c r="A29" s="322"/>
      <c r="B29" s="320"/>
      <c r="C29" s="334"/>
      <c r="D29" s="344"/>
      <c r="E29" s="344"/>
      <c r="F29" s="345"/>
      <c r="G29" s="1" t="s">
        <v>94</v>
      </c>
      <c r="H29" s="205">
        <f t="shared" si="6"/>
        <v>17.01728498216676</v>
      </c>
      <c r="I29" s="220"/>
      <c r="J29" s="226"/>
      <c r="K29" s="137"/>
      <c r="L29" s="137"/>
      <c r="M29" s="137"/>
      <c r="N29" s="137"/>
      <c r="O29" s="206"/>
      <c r="P29" s="206">
        <f t="shared" si="2"/>
        <v>0</v>
      </c>
      <c r="Q29" s="226"/>
      <c r="R29" s="137"/>
      <c r="S29" s="137"/>
      <c r="T29" s="137"/>
      <c r="U29" s="137"/>
      <c r="V29" s="206"/>
      <c r="W29" s="206">
        <f t="shared" si="3"/>
        <v>0</v>
      </c>
      <c r="X29" s="226"/>
      <c r="Y29" s="137"/>
      <c r="Z29" s="137"/>
      <c r="AA29" s="137">
        <f>+AA3*0.3</f>
        <v>9.004271865631269</v>
      </c>
      <c r="AB29" s="137"/>
      <c r="AC29" s="206"/>
      <c r="AD29" s="206">
        <f t="shared" si="4"/>
        <v>9.004271865631269</v>
      </c>
      <c r="AE29" s="226"/>
      <c r="AF29" s="137"/>
      <c r="AG29" s="137"/>
      <c r="AH29" s="137">
        <f>+AH3*0.3</f>
        <v>8.013013116535491</v>
      </c>
      <c r="AI29" s="137"/>
      <c r="AJ29" s="206"/>
      <c r="AK29" s="206">
        <f t="shared" si="5"/>
        <v>8.013013116535491</v>
      </c>
    </row>
    <row r="30" spans="1:37" s="211" customFormat="1" ht="15">
      <c r="A30" s="209"/>
      <c r="B30" s="209"/>
      <c r="C30" s="209"/>
      <c r="D30" s="209"/>
      <c r="E30" s="209"/>
      <c r="F30" s="209"/>
      <c r="G30" s="213" t="s">
        <v>235</v>
      </c>
      <c r="H30" s="212">
        <f>SUM(H27:H29)</f>
        <v>36.05540121733128</v>
      </c>
      <c r="I30" s="219">
        <f>+H30/H32</f>
        <v>0.017445269549783777</v>
      </c>
      <c r="J30" s="225"/>
      <c r="K30" s="212">
        <f aca="true" t="shared" si="9" ref="K30:AK30">SUM(K27:K29)</f>
        <v>0</v>
      </c>
      <c r="L30" s="212">
        <f t="shared" si="9"/>
        <v>0</v>
      </c>
      <c r="M30" s="212">
        <f t="shared" si="9"/>
        <v>9.075120188070002</v>
      </c>
      <c r="N30" s="212">
        <f t="shared" si="9"/>
        <v>0</v>
      </c>
      <c r="O30" s="212">
        <f t="shared" si="9"/>
        <v>0</v>
      </c>
      <c r="P30" s="212">
        <f t="shared" si="9"/>
        <v>9.075120188070002</v>
      </c>
      <c r="Q30" s="225"/>
      <c r="R30" s="212">
        <f t="shared" si="9"/>
        <v>0</v>
      </c>
      <c r="S30" s="212">
        <f t="shared" si="9"/>
        <v>0</v>
      </c>
      <c r="T30" s="212">
        <f t="shared" si="9"/>
        <v>9.962996047094515</v>
      </c>
      <c r="U30" s="212">
        <f t="shared" si="9"/>
        <v>0</v>
      </c>
      <c r="V30" s="212">
        <f t="shared" si="9"/>
        <v>0</v>
      </c>
      <c r="W30" s="212">
        <f t="shared" si="9"/>
        <v>9.962996047094515</v>
      </c>
      <c r="X30" s="225"/>
      <c r="Y30" s="212">
        <f t="shared" si="9"/>
        <v>0</v>
      </c>
      <c r="Z30" s="212">
        <f t="shared" si="9"/>
        <v>0</v>
      </c>
      <c r="AA30" s="212">
        <f t="shared" si="9"/>
        <v>9.004271865631269</v>
      </c>
      <c r="AB30" s="212">
        <f t="shared" si="9"/>
        <v>0</v>
      </c>
      <c r="AC30" s="212">
        <f t="shared" si="9"/>
        <v>0</v>
      </c>
      <c r="AD30" s="212">
        <f t="shared" si="9"/>
        <v>9.004271865631269</v>
      </c>
      <c r="AE30" s="225"/>
      <c r="AF30" s="212">
        <f t="shared" si="9"/>
        <v>0</v>
      </c>
      <c r="AG30" s="212">
        <f t="shared" si="9"/>
        <v>0</v>
      </c>
      <c r="AH30" s="212">
        <f t="shared" si="9"/>
        <v>8.013013116535491</v>
      </c>
      <c r="AI30" s="212">
        <f t="shared" si="9"/>
        <v>0</v>
      </c>
      <c r="AJ30" s="212">
        <f t="shared" si="9"/>
        <v>0</v>
      </c>
      <c r="AK30" s="212">
        <f t="shared" si="9"/>
        <v>8.013013116535491</v>
      </c>
    </row>
    <row r="31" ht="4.5" customHeight="1"/>
    <row r="32" spans="1:37" s="211" customFormat="1" ht="15">
      <c r="A32" s="209"/>
      <c r="B32" s="209"/>
      <c r="C32" s="209"/>
      <c r="D32" s="209"/>
      <c r="E32" s="209"/>
      <c r="F32" s="209"/>
      <c r="G32" s="214" t="s">
        <v>44</v>
      </c>
      <c r="H32" s="212">
        <f>+H30+H25+H10</f>
        <v>2066.772377144391</v>
      </c>
      <c r="I32" s="219">
        <f>+I30+I25+I10</f>
        <v>1</v>
      </c>
      <c r="J32" s="225"/>
      <c r="K32" s="212">
        <f aca="true" t="shared" si="10" ref="K32:AK32">+K30+K25+K10</f>
        <v>240.863986</v>
      </c>
      <c r="L32" s="212">
        <f t="shared" si="10"/>
        <v>0</v>
      </c>
      <c r="M32" s="212">
        <f t="shared" si="10"/>
        <v>36.300806884210004</v>
      </c>
      <c r="N32" s="212">
        <f t="shared" si="10"/>
        <v>208.738</v>
      </c>
      <c r="O32" s="212">
        <f t="shared" si="10"/>
        <v>0</v>
      </c>
      <c r="P32" s="212">
        <f t="shared" si="10"/>
        <v>485.90279288421</v>
      </c>
      <c r="Q32" s="225"/>
      <c r="R32" s="212">
        <f t="shared" si="10"/>
        <v>271.61738072</v>
      </c>
      <c r="S32" s="212">
        <f t="shared" si="10"/>
        <v>0</v>
      </c>
      <c r="T32" s="212">
        <f t="shared" si="10"/>
        <v>33.21009710923871</v>
      </c>
      <c r="U32" s="212">
        <f t="shared" si="10"/>
        <v>208.738</v>
      </c>
      <c r="V32" s="212">
        <f t="shared" si="10"/>
        <v>0</v>
      </c>
      <c r="W32" s="212">
        <f t="shared" si="10"/>
        <v>513.5654778292387</v>
      </c>
      <c r="X32" s="225"/>
      <c r="Y32" s="212">
        <f t="shared" si="10"/>
        <v>287.91442356320005</v>
      </c>
      <c r="Z32" s="212">
        <f t="shared" si="10"/>
        <v>0</v>
      </c>
      <c r="AA32" s="212">
        <f t="shared" si="10"/>
        <v>30.014137191022584</v>
      </c>
      <c r="AB32" s="212">
        <f t="shared" si="10"/>
        <v>208.738</v>
      </c>
      <c r="AC32" s="212">
        <f t="shared" si="10"/>
        <v>0</v>
      </c>
      <c r="AD32" s="212">
        <f t="shared" si="10"/>
        <v>526.6665607542226</v>
      </c>
      <c r="AE32" s="225"/>
      <c r="AF32" s="212">
        <f t="shared" si="10"/>
        <v>305.18928897699203</v>
      </c>
      <c r="AG32" s="212">
        <f t="shared" si="10"/>
        <v>0</v>
      </c>
      <c r="AH32" s="212">
        <f t="shared" si="10"/>
        <v>26.71025669972753</v>
      </c>
      <c r="AI32" s="212">
        <f t="shared" si="10"/>
        <v>208.738</v>
      </c>
      <c r="AJ32" s="212">
        <f t="shared" si="10"/>
        <v>0</v>
      </c>
      <c r="AK32" s="212">
        <f t="shared" si="10"/>
        <v>540.6375456767196</v>
      </c>
    </row>
  </sheetData>
  <sheetProtection/>
  <mergeCells count="36">
    <mergeCell ref="J4:J5"/>
    <mergeCell ref="B1:G1"/>
    <mergeCell ref="B2:G2"/>
    <mergeCell ref="B3:G3"/>
    <mergeCell ref="D27:D29"/>
    <mergeCell ref="E6:E7"/>
    <mergeCell ref="E27:E29"/>
    <mergeCell ref="F27:F29"/>
    <mergeCell ref="F4:F5"/>
    <mergeCell ref="F6:F7"/>
    <mergeCell ref="C4:C5"/>
    <mergeCell ref="C6:C9"/>
    <mergeCell ref="D4:D5"/>
    <mergeCell ref="E4:E5"/>
    <mergeCell ref="D6:D9"/>
    <mergeCell ref="E8:E9"/>
    <mergeCell ref="I4:I5"/>
    <mergeCell ref="C27:C29"/>
    <mergeCell ref="R4:W4"/>
    <mergeCell ref="Y4:AD4"/>
    <mergeCell ref="AF4:AK4"/>
    <mergeCell ref="A4:A5"/>
    <mergeCell ref="B4:B5"/>
    <mergeCell ref="G4:G5"/>
    <mergeCell ref="H4:H5"/>
    <mergeCell ref="K4:P4"/>
    <mergeCell ref="Q4:Q5"/>
    <mergeCell ref="X4:X5"/>
    <mergeCell ref="AE4:AE5"/>
    <mergeCell ref="B6:B29"/>
    <mergeCell ref="A6:A29"/>
    <mergeCell ref="F8:F9"/>
    <mergeCell ref="E12:E24"/>
    <mergeCell ref="C12:C24"/>
    <mergeCell ref="D12:D24"/>
    <mergeCell ref="F12:F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6" r:id="rId1"/>
  <colBreaks count="1" manualBreakCount="1">
    <brk id="2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70"/>
  <sheetViews>
    <sheetView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11.421875" style="89" customWidth="1"/>
    <col min="2" max="2" width="10.421875" style="89" bestFit="1" customWidth="1"/>
    <col min="3" max="3" width="13.140625" style="138" customWidth="1"/>
    <col min="4" max="4" width="17.00390625" style="138" customWidth="1"/>
    <col min="5" max="5" width="22.421875" style="138" customWidth="1"/>
    <col min="6" max="6" width="24.00390625" style="138" customWidth="1"/>
    <col min="7" max="7" width="32.00390625" style="138" customWidth="1"/>
    <col min="8" max="8" width="13.00390625" style="139" bestFit="1" customWidth="1"/>
    <col min="9" max="9" width="8.00390625" style="161" bestFit="1" customWidth="1"/>
    <col min="10" max="10" width="1.7109375" style="161" customWidth="1"/>
    <col min="11" max="15" width="8.7109375" style="138" customWidth="1"/>
    <col min="16" max="16" width="8.7109375" style="89" customWidth="1"/>
    <col min="17" max="17" width="1.7109375" style="161" customWidth="1"/>
    <col min="18" max="23" width="8.7109375" style="89" customWidth="1"/>
    <col min="24" max="24" width="1.7109375" style="161" customWidth="1"/>
    <col min="25" max="30" width="8.7109375" style="89" customWidth="1"/>
    <col min="31" max="31" width="1.7109375" style="161" customWidth="1"/>
    <col min="32" max="37" width="8.7109375" style="89" customWidth="1"/>
    <col min="38" max="16384" width="11.421875" style="89" customWidth="1"/>
  </cols>
  <sheetData>
    <row r="1" spans="2:37" s="153" customFormat="1" ht="12.75">
      <c r="B1" s="311" t="s">
        <v>134</v>
      </c>
      <c r="C1" s="311"/>
      <c r="D1" s="311"/>
      <c r="E1" s="311"/>
      <c r="F1" s="311"/>
      <c r="G1" s="311"/>
      <c r="I1" s="181"/>
      <c r="J1" s="181"/>
      <c r="K1" s="229">
        <f aca="true" t="shared" si="0" ref="K1:AK1">+K3-K2</f>
        <v>0</v>
      </c>
      <c r="L1" s="229">
        <f t="shared" si="0"/>
        <v>0</v>
      </c>
      <c r="M1" s="229">
        <f t="shared" si="0"/>
        <v>0</v>
      </c>
      <c r="N1" s="229">
        <f t="shared" si="0"/>
        <v>0</v>
      </c>
      <c r="O1" s="229">
        <f t="shared" si="0"/>
        <v>0</v>
      </c>
      <c r="P1" s="229">
        <f t="shared" si="0"/>
        <v>0</v>
      </c>
      <c r="Q1" s="228"/>
      <c r="R1" s="229">
        <f t="shared" si="0"/>
        <v>0</v>
      </c>
      <c r="S1" s="229">
        <f t="shared" si="0"/>
        <v>0</v>
      </c>
      <c r="T1" s="229">
        <f t="shared" si="0"/>
        <v>0</v>
      </c>
      <c r="U1" s="229">
        <f t="shared" si="0"/>
        <v>0</v>
      </c>
      <c r="V1" s="229">
        <f t="shared" si="0"/>
        <v>0</v>
      </c>
      <c r="W1" s="229">
        <f t="shared" si="0"/>
        <v>0</v>
      </c>
      <c r="X1" s="228"/>
      <c r="Y1" s="229">
        <f t="shared" si="0"/>
        <v>0</v>
      </c>
      <c r="Z1" s="229">
        <f t="shared" si="0"/>
        <v>-0.0004951138769939689</v>
      </c>
      <c r="AA1" s="229">
        <f t="shared" si="0"/>
        <v>0</v>
      </c>
      <c r="AB1" s="229">
        <f t="shared" si="0"/>
        <v>0</v>
      </c>
      <c r="AC1" s="229">
        <f t="shared" si="0"/>
        <v>0</v>
      </c>
      <c r="AD1" s="229">
        <f t="shared" si="0"/>
        <v>-0.0004951138770366015</v>
      </c>
      <c r="AE1" s="228"/>
      <c r="AF1" s="229">
        <f t="shared" si="0"/>
        <v>0</v>
      </c>
      <c r="AG1" s="229">
        <f t="shared" si="0"/>
        <v>-0.0003642861786801177</v>
      </c>
      <c r="AH1" s="229">
        <f t="shared" si="0"/>
        <v>0</v>
      </c>
      <c r="AI1" s="229">
        <f t="shared" si="0"/>
        <v>0</v>
      </c>
      <c r="AJ1" s="229">
        <f t="shared" si="0"/>
        <v>0</v>
      </c>
      <c r="AK1" s="229">
        <f t="shared" si="0"/>
        <v>-0.00036428617863748514</v>
      </c>
    </row>
    <row r="2" spans="2:37" s="153" customFormat="1" ht="12.75">
      <c r="B2" s="312" t="s">
        <v>137</v>
      </c>
      <c r="C2" s="312"/>
      <c r="D2" s="312"/>
      <c r="E2" s="312"/>
      <c r="F2" s="312"/>
      <c r="G2" s="312"/>
      <c r="I2" s="181"/>
      <c r="J2" s="181"/>
      <c r="K2" s="229">
        <f aca="true" t="shared" si="1" ref="K2:AK2">+K14+K20+K26+K30</f>
        <v>211.9257527272727</v>
      </c>
      <c r="L2" s="229">
        <f t="shared" si="1"/>
        <v>0</v>
      </c>
      <c r="M2" s="229">
        <f t="shared" si="1"/>
        <v>0</v>
      </c>
      <c r="N2" s="229">
        <f t="shared" si="1"/>
        <v>0</v>
      </c>
      <c r="O2" s="229">
        <f t="shared" si="1"/>
        <v>0</v>
      </c>
      <c r="P2" s="229">
        <f t="shared" si="1"/>
        <v>211.9257527272727</v>
      </c>
      <c r="Q2" s="228"/>
      <c r="R2" s="229">
        <f t="shared" si="1"/>
        <v>224.64129789090907</v>
      </c>
      <c r="S2" s="229">
        <f t="shared" si="1"/>
        <v>0</v>
      </c>
      <c r="T2" s="229">
        <f t="shared" si="1"/>
        <v>0</v>
      </c>
      <c r="U2" s="229">
        <f t="shared" si="1"/>
        <v>0</v>
      </c>
      <c r="V2" s="229">
        <f t="shared" si="1"/>
        <v>0</v>
      </c>
      <c r="W2" s="229">
        <f t="shared" si="1"/>
        <v>224.64129789090907</v>
      </c>
      <c r="X2" s="228"/>
      <c r="Y2" s="229">
        <f t="shared" si="1"/>
        <v>238.11977576436362</v>
      </c>
      <c r="Z2" s="229">
        <f t="shared" si="1"/>
        <v>112.795</v>
      </c>
      <c r="AA2" s="229">
        <f t="shared" si="1"/>
        <v>0</v>
      </c>
      <c r="AB2" s="229">
        <f t="shared" si="1"/>
        <v>0</v>
      </c>
      <c r="AC2" s="229">
        <f t="shared" si="1"/>
        <v>0</v>
      </c>
      <c r="AD2" s="229">
        <f t="shared" si="1"/>
        <v>350.91477576436364</v>
      </c>
      <c r="AE2" s="228"/>
      <c r="AF2" s="229">
        <f t="shared" si="1"/>
        <v>252.40696231022545</v>
      </c>
      <c r="AG2" s="229">
        <f t="shared" si="1"/>
        <v>113.952</v>
      </c>
      <c r="AH2" s="229">
        <f t="shared" si="1"/>
        <v>0</v>
      </c>
      <c r="AI2" s="229">
        <f t="shared" si="1"/>
        <v>0</v>
      </c>
      <c r="AJ2" s="229">
        <f t="shared" si="1"/>
        <v>0</v>
      </c>
      <c r="AK2" s="229">
        <f t="shared" si="1"/>
        <v>366.3589623102254</v>
      </c>
    </row>
    <row r="3" spans="2:37" s="153" customFormat="1" ht="12.75">
      <c r="B3" s="313" t="s">
        <v>136</v>
      </c>
      <c r="C3" s="313"/>
      <c r="D3" s="311"/>
      <c r="E3" s="311"/>
      <c r="F3" s="311"/>
      <c r="G3" s="311"/>
      <c r="I3" s="181"/>
      <c r="J3" s="181"/>
      <c r="K3" s="229">
        <f>+PROYECCIONES!D24</f>
        <v>211.9257527272727</v>
      </c>
      <c r="L3" s="229">
        <v>0</v>
      </c>
      <c r="M3" s="229">
        <v>0</v>
      </c>
      <c r="N3" s="229">
        <v>0</v>
      </c>
      <c r="O3" s="229">
        <v>0</v>
      </c>
      <c r="P3" s="229">
        <f>SUM(K3:O3)</f>
        <v>211.9257527272727</v>
      </c>
      <c r="Q3" s="228"/>
      <c r="R3" s="229">
        <f>+PROYECCIONES!E24</f>
        <v>224.64129789090907</v>
      </c>
      <c r="S3" s="229">
        <v>0</v>
      </c>
      <c r="T3" s="229">
        <v>0</v>
      </c>
      <c r="U3" s="229">
        <v>0</v>
      </c>
      <c r="V3" s="229">
        <v>0</v>
      </c>
      <c r="W3" s="229">
        <f>SUM(R3:V3)</f>
        <v>224.64129789090907</v>
      </c>
      <c r="X3" s="228"/>
      <c r="Y3" s="229">
        <f>+PROYECCIONES!F24</f>
        <v>238.11977576436362</v>
      </c>
      <c r="Z3" s="229">
        <f>+'[1]INGRESOS'!$O$46</f>
        <v>112.79450488612301</v>
      </c>
      <c r="AA3" s="229">
        <v>0</v>
      </c>
      <c r="AB3" s="229">
        <v>0</v>
      </c>
      <c r="AC3" s="229">
        <v>0</v>
      </c>
      <c r="AD3" s="229">
        <f>SUM(Y3:AC3)</f>
        <v>350.9142806504866</v>
      </c>
      <c r="AE3" s="228"/>
      <c r="AF3" s="229">
        <f>+PROYECCIONES!G24</f>
        <v>252.40696231022545</v>
      </c>
      <c r="AG3" s="229">
        <f>+'[1]INGRESOS'!$P$46</f>
        <v>113.95163571382132</v>
      </c>
      <c r="AH3" s="229">
        <v>0</v>
      </c>
      <c r="AI3" s="229">
        <v>0</v>
      </c>
      <c r="AJ3" s="229">
        <v>0</v>
      </c>
      <c r="AK3" s="229">
        <f>SUM(AF3:AJ3)</f>
        <v>366.3585980240468</v>
      </c>
    </row>
    <row r="4" spans="1:37" s="136" customFormat="1" ht="12.75">
      <c r="A4" s="307" t="s">
        <v>35</v>
      </c>
      <c r="B4" s="307" t="s">
        <v>47</v>
      </c>
      <c r="C4" s="355" t="s">
        <v>0</v>
      </c>
      <c r="D4" s="307" t="s">
        <v>2</v>
      </c>
      <c r="E4" s="307" t="s">
        <v>39</v>
      </c>
      <c r="F4" s="307" t="s">
        <v>37</v>
      </c>
      <c r="G4" s="307" t="s">
        <v>10</v>
      </c>
      <c r="H4" s="361" t="s">
        <v>45</v>
      </c>
      <c r="I4" s="309"/>
      <c r="J4" s="299"/>
      <c r="K4" s="354">
        <v>2012</v>
      </c>
      <c r="L4" s="354"/>
      <c r="M4" s="354"/>
      <c r="N4" s="354"/>
      <c r="O4" s="354"/>
      <c r="P4" s="354"/>
      <c r="Q4" s="299"/>
      <c r="R4" s="354">
        <v>2013</v>
      </c>
      <c r="S4" s="354"/>
      <c r="T4" s="354"/>
      <c r="U4" s="354"/>
      <c r="V4" s="354"/>
      <c r="W4" s="354"/>
      <c r="X4" s="299"/>
      <c r="Y4" s="354">
        <v>2014</v>
      </c>
      <c r="Z4" s="354"/>
      <c r="AA4" s="354"/>
      <c r="AB4" s="354"/>
      <c r="AC4" s="354"/>
      <c r="AD4" s="354"/>
      <c r="AE4" s="299"/>
      <c r="AF4" s="354">
        <v>2015</v>
      </c>
      <c r="AG4" s="354"/>
      <c r="AH4" s="354"/>
      <c r="AI4" s="354"/>
      <c r="AJ4" s="354"/>
      <c r="AK4" s="354"/>
    </row>
    <row r="5" spans="1:37" s="136" customFormat="1" ht="12.75">
      <c r="A5" s="308"/>
      <c r="B5" s="308"/>
      <c r="C5" s="356"/>
      <c r="D5" s="307"/>
      <c r="E5" s="307"/>
      <c r="F5" s="307"/>
      <c r="G5" s="307"/>
      <c r="H5" s="362"/>
      <c r="I5" s="310"/>
      <c r="J5" s="300"/>
      <c r="K5" s="28" t="s">
        <v>40</v>
      </c>
      <c r="L5" s="29" t="s">
        <v>41</v>
      </c>
      <c r="M5" s="28" t="s">
        <v>42</v>
      </c>
      <c r="N5" s="28" t="s">
        <v>43</v>
      </c>
      <c r="O5" s="28" t="s">
        <v>1</v>
      </c>
      <c r="P5" s="28" t="s">
        <v>44</v>
      </c>
      <c r="Q5" s="300"/>
      <c r="R5" s="28" t="s">
        <v>40</v>
      </c>
      <c r="S5" s="29" t="s">
        <v>41</v>
      </c>
      <c r="T5" s="28" t="s">
        <v>42</v>
      </c>
      <c r="U5" s="28" t="s">
        <v>43</v>
      </c>
      <c r="V5" s="28" t="s">
        <v>1</v>
      </c>
      <c r="W5" s="28" t="s">
        <v>44</v>
      </c>
      <c r="X5" s="300"/>
      <c r="Y5" s="28" t="s">
        <v>40</v>
      </c>
      <c r="Z5" s="29" t="s">
        <v>41</v>
      </c>
      <c r="AA5" s="28" t="s">
        <v>42</v>
      </c>
      <c r="AB5" s="28" t="s">
        <v>43</v>
      </c>
      <c r="AC5" s="28" t="s">
        <v>1</v>
      </c>
      <c r="AD5" s="28" t="s">
        <v>44</v>
      </c>
      <c r="AE5" s="300"/>
      <c r="AF5" s="28" t="s">
        <v>40</v>
      </c>
      <c r="AG5" s="29" t="s">
        <v>41</v>
      </c>
      <c r="AH5" s="28" t="s">
        <v>42</v>
      </c>
      <c r="AI5" s="28" t="s">
        <v>43</v>
      </c>
      <c r="AJ5" s="28" t="s">
        <v>1</v>
      </c>
      <c r="AK5" s="28" t="s">
        <v>44</v>
      </c>
    </row>
    <row r="6" spans="1:37" ht="25.5">
      <c r="A6" s="357" t="s">
        <v>56</v>
      </c>
      <c r="B6" s="357" t="s">
        <v>133</v>
      </c>
      <c r="C6" s="359" t="s">
        <v>68</v>
      </c>
      <c r="D6" s="347" t="s">
        <v>346</v>
      </c>
      <c r="E6" s="346" t="s">
        <v>347</v>
      </c>
      <c r="F6" s="20" t="s">
        <v>348</v>
      </c>
      <c r="G6" s="20" t="s">
        <v>57</v>
      </c>
      <c r="H6" s="31">
        <f aca="true" t="shared" si="2" ref="H6:H13">+P6+W6+AD6+AK6</f>
        <v>23.177344717319272</v>
      </c>
      <c r="I6" s="121"/>
      <c r="J6" s="172"/>
      <c r="K6" s="30">
        <f>+K3*0.025</f>
        <v>5.298143818181818</v>
      </c>
      <c r="L6" s="30"/>
      <c r="M6" s="30"/>
      <c r="N6" s="30"/>
      <c r="O6" s="30"/>
      <c r="P6" s="30">
        <f aca="true" t="shared" si="3" ref="P6:P28">SUM(K6:O6)</f>
        <v>5.298143818181818</v>
      </c>
      <c r="Q6" s="172"/>
      <c r="R6" s="30">
        <f>+R3*0.025</f>
        <v>5.616032447272727</v>
      </c>
      <c r="S6" s="30"/>
      <c r="T6" s="30"/>
      <c r="U6" s="30"/>
      <c r="V6" s="30"/>
      <c r="W6" s="30">
        <f aca="true" t="shared" si="4" ref="W6:W28">SUM(R6:V6)</f>
        <v>5.616032447272727</v>
      </c>
      <c r="X6" s="172"/>
      <c r="Y6" s="30">
        <f>+Y3*0.025</f>
        <v>5.952994394109091</v>
      </c>
      <c r="Z6" s="30"/>
      <c r="AA6" s="30"/>
      <c r="AB6" s="30"/>
      <c r="AC6" s="30"/>
      <c r="AD6" s="30">
        <f aca="true" t="shared" si="5" ref="AD6:AD28">SUM(Y6:AC6)</f>
        <v>5.952994394109091</v>
      </c>
      <c r="AE6" s="172"/>
      <c r="AF6" s="30">
        <f>+AF3*0.025</f>
        <v>6.310174057755637</v>
      </c>
      <c r="AG6" s="30"/>
      <c r="AH6" s="30"/>
      <c r="AI6" s="30"/>
      <c r="AJ6" s="30"/>
      <c r="AK6" s="30">
        <f aca="true" t="shared" si="6" ref="AK6:AK28">SUM(AF6:AJ6)</f>
        <v>6.310174057755637</v>
      </c>
    </row>
    <row r="7" spans="1:37" ht="25.5">
      <c r="A7" s="358"/>
      <c r="B7" s="358"/>
      <c r="C7" s="360"/>
      <c r="D7" s="353"/>
      <c r="E7" s="346"/>
      <c r="F7" s="20" t="s">
        <v>349</v>
      </c>
      <c r="G7" s="20" t="s">
        <v>58</v>
      </c>
      <c r="H7" s="31">
        <f t="shared" si="2"/>
        <v>92.70937886927709</v>
      </c>
      <c r="I7" s="122"/>
      <c r="J7" s="173"/>
      <c r="K7" s="30">
        <f>+K3*0.1</f>
        <v>21.19257527272727</v>
      </c>
      <c r="L7" s="30"/>
      <c r="M7" s="30"/>
      <c r="N7" s="30"/>
      <c r="O7" s="30"/>
      <c r="P7" s="30">
        <f t="shared" si="3"/>
        <v>21.19257527272727</v>
      </c>
      <c r="Q7" s="173"/>
      <c r="R7" s="30">
        <f>+R3*0.1</f>
        <v>22.464129789090908</v>
      </c>
      <c r="S7" s="30"/>
      <c r="T7" s="30"/>
      <c r="U7" s="30"/>
      <c r="V7" s="30"/>
      <c r="W7" s="30">
        <f t="shared" si="4"/>
        <v>22.464129789090908</v>
      </c>
      <c r="X7" s="173"/>
      <c r="Y7" s="30">
        <f>+Y3*0.1</f>
        <v>23.811977576436362</v>
      </c>
      <c r="Z7" s="30"/>
      <c r="AA7" s="30"/>
      <c r="AB7" s="30"/>
      <c r="AC7" s="30"/>
      <c r="AD7" s="30">
        <f t="shared" si="5"/>
        <v>23.811977576436362</v>
      </c>
      <c r="AE7" s="173"/>
      <c r="AF7" s="30">
        <f>+AF3*0.1</f>
        <v>25.240696231022547</v>
      </c>
      <c r="AG7" s="30"/>
      <c r="AH7" s="30"/>
      <c r="AI7" s="30"/>
      <c r="AJ7" s="30"/>
      <c r="AK7" s="30">
        <f t="shared" si="6"/>
        <v>25.240696231022547</v>
      </c>
    </row>
    <row r="8" spans="1:37" ht="25.5">
      <c r="A8" s="358"/>
      <c r="B8" s="358"/>
      <c r="C8" s="360"/>
      <c r="D8" s="353"/>
      <c r="E8" s="346"/>
      <c r="F8" s="20" t="s">
        <v>350</v>
      </c>
      <c r="G8" s="20" t="s">
        <v>351</v>
      </c>
      <c r="H8" s="31">
        <f t="shared" si="2"/>
        <v>46.354689434638544</v>
      </c>
      <c r="I8" s="122"/>
      <c r="J8" s="173"/>
      <c r="K8" s="30">
        <f>+K3*0.05</f>
        <v>10.596287636363636</v>
      </c>
      <c r="L8" s="30"/>
      <c r="M8" s="30"/>
      <c r="N8" s="30"/>
      <c r="O8" s="30"/>
      <c r="P8" s="30">
        <f t="shared" si="3"/>
        <v>10.596287636363636</v>
      </c>
      <c r="Q8" s="173"/>
      <c r="R8" s="30">
        <f>+R3*0.05</f>
        <v>11.232064894545454</v>
      </c>
      <c r="S8" s="30"/>
      <c r="T8" s="30"/>
      <c r="U8" s="30"/>
      <c r="V8" s="30"/>
      <c r="W8" s="30">
        <f t="shared" si="4"/>
        <v>11.232064894545454</v>
      </c>
      <c r="X8" s="173"/>
      <c r="Y8" s="30">
        <f>+Y3*0.05</f>
        <v>11.905988788218181</v>
      </c>
      <c r="Z8" s="30"/>
      <c r="AA8" s="30"/>
      <c r="AB8" s="30"/>
      <c r="AC8" s="30"/>
      <c r="AD8" s="30">
        <f t="shared" si="5"/>
        <v>11.905988788218181</v>
      </c>
      <c r="AE8" s="173"/>
      <c r="AF8" s="30">
        <f>+AF3*0.05</f>
        <v>12.620348115511273</v>
      </c>
      <c r="AG8" s="30"/>
      <c r="AH8" s="30"/>
      <c r="AI8" s="30"/>
      <c r="AJ8" s="30"/>
      <c r="AK8" s="30">
        <f t="shared" si="6"/>
        <v>12.620348115511273</v>
      </c>
    </row>
    <row r="9" spans="1:37" ht="38.25">
      <c r="A9" s="358"/>
      <c r="B9" s="358"/>
      <c r="C9" s="360"/>
      <c r="D9" s="353"/>
      <c r="E9" s="346" t="s">
        <v>352</v>
      </c>
      <c r="F9" s="20" t="s">
        <v>353</v>
      </c>
      <c r="G9" s="20" t="s">
        <v>383</v>
      </c>
      <c r="H9" s="31">
        <f t="shared" si="2"/>
        <v>0</v>
      </c>
      <c r="I9" s="122"/>
      <c r="J9" s="173"/>
      <c r="K9" s="30"/>
      <c r="L9" s="30"/>
      <c r="M9" s="30"/>
      <c r="N9" s="30"/>
      <c r="O9" s="30"/>
      <c r="P9" s="30">
        <f t="shared" si="3"/>
        <v>0</v>
      </c>
      <c r="Q9" s="173"/>
      <c r="R9" s="30"/>
      <c r="S9" s="30"/>
      <c r="T9" s="30"/>
      <c r="U9" s="30"/>
      <c r="V9" s="30"/>
      <c r="W9" s="30">
        <f t="shared" si="4"/>
        <v>0</v>
      </c>
      <c r="X9" s="173"/>
      <c r="Y9" s="30"/>
      <c r="Z9" s="30"/>
      <c r="AA9" s="30"/>
      <c r="AB9" s="30"/>
      <c r="AC9" s="30"/>
      <c r="AD9" s="30">
        <f t="shared" si="5"/>
        <v>0</v>
      </c>
      <c r="AE9" s="173"/>
      <c r="AF9" s="30"/>
      <c r="AG9" s="30"/>
      <c r="AH9" s="30"/>
      <c r="AI9" s="30"/>
      <c r="AJ9" s="30"/>
      <c r="AK9" s="30">
        <f t="shared" si="6"/>
        <v>0</v>
      </c>
    </row>
    <row r="10" spans="1:37" ht="25.5">
      <c r="A10" s="358"/>
      <c r="B10" s="358"/>
      <c r="C10" s="360"/>
      <c r="D10" s="353"/>
      <c r="E10" s="346"/>
      <c r="F10" s="20" t="s">
        <v>371</v>
      </c>
      <c r="G10" s="20" t="s">
        <v>59</v>
      </c>
      <c r="H10" s="31">
        <f t="shared" si="2"/>
        <v>92.70937886927709</v>
      </c>
      <c r="I10" s="122"/>
      <c r="J10" s="173"/>
      <c r="K10" s="30">
        <f>+K3*0.1</f>
        <v>21.19257527272727</v>
      </c>
      <c r="L10" s="30"/>
      <c r="M10" s="30"/>
      <c r="N10" s="30"/>
      <c r="O10" s="30"/>
      <c r="P10" s="30">
        <f t="shared" si="3"/>
        <v>21.19257527272727</v>
      </c>
      <c r="Q10" s="173"/>
      <c r="R10" s="30">
        <f>+R3*0.1</f>
        <v>22.464129789090908</v>
      </c>
      <c r="S10" s="30"/>
      <c r="T10" s="30"/>
      <c r="U10" s="30"/>
      <c r="V10" s="30"/>
      <c r="W10" s="30">
        <f t="shared" si="4"/>
        <v>22.464129789090908</v>
      </c>
      <c r="X10" s="173"/>
      <c r="Y10" s="30">
        <f>+Y3*0.1</f>
        <v>23.811977576436362</v>
      </c>
      <c r="Z10" s="30"/>
      <c r="AA10" s="30"/>
      <c r="AB10" s="30"/>
      <c r="AC10" s="30"/>
      <c r="AD10" s="30">
        <f t="shared" si="5"/>
        <v>23.811977576436362</v>
      </c>
      <c r="AE10" s="173"/>
      <c r="AF10" s="30">
        <f>+AF3*0.1</f>
        <v>25.240696231022547</v>
      </c>
      <c r="AG10" s="30"/>
      <c r="AH10" s="30"/>
      <c r="AI10" s="30"/>
      <c r="AJ10" s="30"/>
      <c r="AK10" s="30">
        <f t="shared" si="6"/>
        <v>25.240696231022547</v>
      </c>
    </row>
    <row r="11" spans="1:37" ht="38.25">
      <c r="A11" s="358"/>
      <c r="B11" s="358"/>
      <c r="C11" s="360"/>
      <c r="D11" s="353"/>
      <c r="E11" s="346" t="s">
        <v>354</v>
      </c>
      <c r="F11" s="346" t="s">
        <v>355</v>
      </c>
      <c r="G11" s="20" t="s">
        <v>64</v>
      </c>
      <c r="H11" s="31">
        <f t="shared" si="2"/>
        <v>17.87920089913745</v>
      </c>
      <c r="I11" s="122"/>
      <c r="J11" s="173"/>
      <c r="K11" s="30"/>
      <c r="L11" s="30"/>
      <c r="M11" s="30"/>
      <c r="N11" s="30"/>
      <c r="O11" s="30"/>
      <c r="P11" s="30">
        <f>SUM(K11:O11)</f>
        <v>0</v>
      </c>
      <c r="Q11" s="173"/>
      <c r="R11" s="30">
        <f>+R3*0.025</f>
        <v>5.616032447272727</v>
      </c>
      <c r="S11" s="30"/>
      <c r="T11" s="30"/>
      <c r="U11" s="30"/>
      <c r="V11" s="30"/>
      <c r="W11" s="30">
        <f>SUM(R11:V11)</f>
        <v>5.616032447272727</v>
      </c>
      <c r="X11" s="173"/>
      <c r="Y11" s="30">
        <f>+Y3*0.025</f>
        <v>5.952994394109091</v>
      </c>
      <c r="Z11" s="30"/>
      <c r="AA11" s="30"/>
      <c r="AB11" s="30"/>
      <c r="AC11" s="30"/>
      <c r="AD11" s="30">
        <f>SUM(Y11:AC11)</f>
        <v>5.952994394109091</v>
      </c>
      <c r="AE11" s="173"/>
      <c r="AF11" s="30">
        <f>+AF3*0.025</f>
        <v>6.310174057755637</v>
      </c>
      <c r="AG11" s="30"/>
      <c r="AH11" s="30"/>
      <c r="AI11" s="30"/>
      <c r="AJ11" s="30"/>
      <c r="AK11" s="30">
        <f>SUM(AF11:AJ11)</f>
        <v>6.310174057755637</v>
      </c>
    </row>
    <row r="12" spans="1:37" ht="38.25">
      <c r="A12" s="358"/>
      <c r="B12" s="358"/>
      <c r="C12" s="360"/>
      <c r="D12" s="353"/>
      <c r="E12" s="346"/>
      <c r="F12" s="346"/>
      <c r="G12" s="20" t="s">
        <v>65</v>
      </c>
      <c r="H12" s="31">
        <f t="shared" si="2"/>
        <v>5.298143818181818</v>
      </c>
      <c r="I12" s="122"/>
      <c r="J12" s="173"/>
      <c r="K12" s="30">
        <f>+K3*0.025</f>
        <v>5.298143818181818</v>
      </c>
      <c r="L12" s="30"/>
      <c r="M12" s="30"/>
      <c r="N12" s="30"/>
      <c r="O12" s="30"/>
      <c r="P12" s="30">
        <f>SUM(K12:O12)</f>
        <v>5.298143818181818</v>
      </c>
      <c r="Q12" s="173"/>
      <c r="R12" s="30"/>
      <c r="S12" s="30"/>
      <c r="T12" s="30"/>
      <c r="U12" s="30"/>
      <c r="V12" s="30"/>
      <c r="W12" s="30">
        <f>SUM(R12:V12)</f>
        <v>0</v>
      </c>
      <c r="X12" s="173"/>
      <c r="Y12" s="30"/>
      <c r="Z12" s="30"/>
      <c r="AA12" s="30"/>
      <c r="AB12" s="30"/>
      <c r="AC12" s="30"/>
      <c r="AD12" s="30">
        <f>SUM(Y12:AC12)</f>
        <v>0</v>
      </c>
      <c r="AE12" s="173"/>
      <c r="AF12" s="30"/>
      <c r="AG12" s="30"/>
      <c r="AH12" s="30"/>
      <c r="AI12" s="30"/>
      <c r="AJ12" s="30"/>
      <c r="AK12" s="30">
        <f>SUM(AF12:AJ12)</f>
        <v>0</v>
      </c>
    </row>
    <row r="13" spans="1:37" ht="12.75">
      <c r="A13" s="358"/>
      <c r="B13" s="358"/>
      <c r="C13" s="360"/>
      <c r="D13" s="348"/>
      <c r="E13" s="346"/>
      <c r="F13" s="346"/>
      <c r="G13" s="20" t="s">
        <v>376</v>
      </c>
      <c r="H13" s="31">
        <f t="shared" si="2"/>
        <v>23.177344717319272</v>
      </c>
      <c r="I13" s="122"/>
      <c r="J13" s="173"/>
      <c r="K13" s="30">
        <f>+K3*0.025</f>
        <v>5.298143818181818</v>
      </c>
      <c r="L13" s="30"/>
      <c r="M13" s="30"/>
      <c r="N13" s="30"/>
      <c r="O13" s="30"/>
      <c r="P13" s="30">
        <f>SUM(K13:O13)</f>
        <v>5.298143818181818</v>
      </c>
      <c r="Q13" s="173"/>
      <c r="R13" s="30">
        <f>+R3*0.025</f>
        <v>5.616032447272727</v>
      </c>
      <c r="S13" s="30"/>
      <c r="T13" s="30"/>
      <c r="U13" s="30"/>
      <c r="V13" s="30"/>
      <c r="W13" s="30">
        <f>SUM(R13:V13)</f>
        <v>5.616032447272727</v>
      </c>
      <c r="X13" s="173"/>
      <c r="Y13" s="30">
        <f>+Y3*0.025</f>
        <v>5.952994394109091</v>
      </c>
      <c r="Z13" s="30"/>
      <c r="AA13" s="30"/>
      <c r="AB13" s="30"/>
      <c r="AC13" s="30"/>
      <c r="AD13" s="30">
        <f>SUM(Y13:AC13)</f>
        <v>5.952994394109091</v>
      </c>
      <c r="AE13" s="173"/>
      <c r="AF13" s="30">
        <f>+AF3*0.025</f>
        <v>6.310174057755637</v>
      </c>
      <c r="AG13" s="30"/>
      <c r="AH13" s="30"/>
      <c r="AI13" s="30"/>
      <c r="AJ13" s="30"/>
      <c r="AK13" s="30">
        <f>SUM(AF13:AJ13)</f>
        <v>6.310174057755637</v>
      </c>
    </row>
    <row r="14" spans="1:37" s="98" customFormat="1" ht="12.75">
      <c r="A14" s="358"/>
      <c r="B14" s="358"/>
      <c r="C14" s="360"/>
      <c r="D14" s="176"/>
      <c r="E14" s="155"/>
      <c r="F14" s="158"/>
      <c r="G14" s="148" t="s">
        <v>235</v>
      </c>
      <c r="H14" s="177">
        <f>SUM(H6:H13)</f>
        <v>301.30548132515054</v>
      </c>
      <c r="I14" s="178">
        <f>+H14/H32</f>
        <v>0.2611326313628683</v>
      </c>
      <c r="J14" s="179"/>
      <c r="K14" s="177">
        <f aca="true" t="shared" si="7" ref="K14:AK14">SUM(K6:K13)</f>
        <v>68.87586963636363</v>
      </c>
      <c r="L14" s="177">
        <f t="shared" si="7"/>
        <v>0</v>
      </c>
      <c r="M14" s="177">
        <f t="shared" si="7"/>
        <v>0</v>
      </c>
      <c r="N14" s="177">
        <f t="shared" si="7"/>
        <v>0</v>
      </c>
      <c r="O14" s="177">
        <f t="shared" si="7"/>
        <v>0</v>
      </c>
      <c r="P14" s="177">
        <f t="shared" si="7"/>
        <v>68.87586963636363</v>
      </c>
      <c r="Q14" s="179"/>
      <c r="R14" s="177">
        <f t="shared" si="7"/>
        <v>73.00842181454546</v>
      </c>
      <c r="S14" s="177">
        <f t="shared" si="7"/>
        <v>0</v>
      </c>
      <c r="T14" s="177">
        <f t="shared" si="7"/>
        <v>0</v>
      </c>
      <c r="U14" s="177">
        <f t="shared" si="7"/>
        <v>0</v>
      </c>
      <c r="V14" s="177">
        <f t="shared" si="7"/>
        <v>0</v>
      </c>
      <c r="W14" s="177">
        <f t="shared" si="7"/>
        <v>73.00842181454546</v>
      </c>
      <c r="X14" s="179"/>
      <c r="Y14" s="177">
        <f t="shared" si="7"/>
        <v>77.38892712341817</v>
      </c>
      <c r="Z14" s="177">
        <f t="shared" si="7"/>
        <v>0</v>
      </c>
      <c r="AA14" s="177">
        <f t="shared" si="7"/>
        <v>0</v>
      </c>
      <c r="AB14" s="177">
        <f t="shared" si="7"/>
        <v>0</v>
      </c>
      <c r="AC14" s="177">
        <f t="shared" si="7"/>
        <v>0</v>
      </c>
      <c r="AD14" s="177">
        <f t="shared" si="7"/>
        <v>77.38892712341817</v>
      </c>
      <c r="AE14" s="179"/>
      <c r="AF14" s="177">
        <f t="shared" si="7"/>
        <v>82.03226275082326</v>
      </c>
      <c r="AG14" s="177">
        <f t="shared" si="7"/>
        <v>0</v>
      </c>
      <c r="AH14" s="177">
        <f t="shared" si="7"/>
        <v>0</v>
      </c>
      <c r="AI14" s="177">
        <f t="shared" si="7"/>
        <v>0</v>
      </c>
      <c r="AJ14" s="177">
        <f t="shared" si="7"/>
        <v>0</v>
      </c>
      <c r="AK14" s="177">
        <f t="shared" si="7"/>
        <v>82.03226275082326</v>
      </c>
    </row>
    <row r="15" spans="1:6" ht="4.5" customHeight="1">
      <c r="A15" s="358"/>
      <c r="B15" s="358"/>
      <c r="C15" s="360"/>
      <c r="F15" s="159"/>
    </row>
    <row r="16" spans="1:37" ht="25.5">
      <c r="A16" s="358"/>
      <c r="B16" s="358"/>
      <c r="C16" s="360"/>
      <c r="D16" s="347" t="s">
        <v>356</v>
      </c>
      <c r="E16" s="346" t="s">
        <v>357</v>
      </c>
      <c r="F16" s="20" t="s">
        <v>358</v>
      </c>
      <c r="G16" s="20" t="s">
        <v>60</v>
      </c>
      <c r="H16" s="31">
        <f>+P16+W16+AD16+AK16</f>
        <v>23.177344717319272</v>
      </c>
      <c r="I16" s="121"/>
      <c r="J16" s="172"/>
      <c r="K16" s="30">
        <f>+K3*0.025</f>
        <v>5.298143818181818</v>
      </c>
      <c r="L16" s="30"/>
      <c r="M16" s="30"/>
      <c r="N16" s="30"/>
      <c r="O16" s="30"/>
      <c r="P16" s="30">
        <f t="shared" si="3"/>
        <v>5.298143818181818</v>
      </c>
      <c r="Q16" s="172"/>
      <c r="R16" s="30">
        <f>+R3*0.025</f>
        <v>5.616032447272727</v>
      </c>
      <c r="S16" s="30"/>
      <c r="T16" s="30"/>
      <c r="U16" s="30"/>
      <c r="V16" s="30"/>
      <c r="W16" s="30">
        <f t="shared" si="4"/>
        <v>5.616032447272727</v>
      </c>
      <c r="X16" s="172"/>
      <c r="Y16" s="30">
        <f>+Y3*0.025</f>
        <v>5.952994394109091</v>
      </c>
      <c r="Z16" s="30"/>
      <c r="AA16" s="30"/>
      <c r="AB16" s="30"/>
      <c r="AC16" s="30"/>
      <c r="AD16" s="30">
        <f t="shared" si="5"/>
        <v>5.952994394109091</v>
      </c>
      <c r="AE16" s="172"/>
      <c r="AF16" s="30">
        <f>+AF3*0.025</f>
        <v>6.310174057755637</v>
      </c>
      <c r="AG16" s="30"/>
      <c r="AH16" s="30"/>
      <c r="AI16" s="30"/>
      <c r="AJ16" s="30"/>
      <c r="AK16" s="30">
        <f t="shared" si="6"/>
        <v>6.310174057755637</v>
      </c>
    </row>
    <row r="17" spans="1:37" ht="25.5">
      <c r="A17" s="358"/>
      <c r="B17" s="358"/>
      <c r="C17" s="360"/>
      <c r="D17" s="353"/>
      <c r="E17" s="346"/>
      <c r="F17" s="20" t="s">
        <v>359</v>
      </c>
      <c r="G17" s="20" t="s">
        <v>61</v>
      </c>
      <c r="H17" s="31">
        <f>+P17+W17+AD17+AK17</f>
        <v>46.354689434638544</v>
      </c>
      <c r="I17" s="122"/>
      <c r="J17" s="173"/>
      <c r="K17" s="30">
        <f>+K3*0.05</f>
        <v>10.596287636363636</v>
      </c>
      <c r="L17" s="30"/>
      <c r="M17" s="30"/>
      <c r="N17" s="30"/>
      <c r="O17" s="30"/>
      <c r="P17" s="30">
        <f t="shared" si="3"/>
        <v>10.596287636363636</v>
      </c>
      <c r="Q17" s="173"/>
      <c r="R17" s="30">
        <f>+R3*0.05</f>
        <v>11.232064894545454</v>
      </c>
      <c r="S17" s="30"/>
      <c r="T17" s="30"/>
      <c r="U17" s="30"/>
      <c r="V17" s="30"/>
      <c r="W17" s="30">
        <f t="shared" si="4"/>
        <v>11.232064894545454</v>
      </c>
      <c r="X17" s="173"/>
      <c r="Y17" s="30">
        <f>+Y3*0.05</f>
        <v>11.905988788218181</v>
      </c>
      <c r="Z17" s="30"/>
      <c r="AA17" s="30"/>
      <c r="AB17" s="30"/>
      <c r="AC17" s="30"/>
      <c r="AD17" s="30">
        <f t="shared" si="5"/>
        <v>11.905988788218181</v>
      </c>
      <c r="AE17" s="173"/>
      <c r="AF17" s="30">
        <f>+AF3*0.05</f>
        <v>12.620348115511273</v>
      </c>
      <c r="AG17" s="30"/>
      <c r="AH17" s="30"/>
      <c r="AI17" s="30"/>
      <c r="AJ17" s="30"/>
      <c r="AK17" s="30">
        <f t="shared" si="6"/>
        <v>12.620348115511273</v>
      </c>
    </row>
    <row r="18" spans="1:37" ht="25.5">
      <c r="A18" s="358"/>
      <c r="B18" s="358"/>
      <c r="C18" s="360"/>
      <c r="D18" s="353"/>
      <c r="E18" s="20" t="s">
        <v>360</v>
      </c>
      <c r="F18" s="20" t="s">
        <v>361</v>
      </c>
      <c r="G18" s="20" t="s">
        <v>62</v>
      </c>
      <c r="H18" s="31">
        <f>+P18+W18+AD18+AK18</f>
        <v>139.06406830391563</v>
      </c>
      <c r="I18" s="122"/>
      <c r="J18" s="173"/>
      <c r="K18" s="30">
        <f>+K3*0.15</f>
        <v>31.788862909090906</v>
      </c>
      <c r="L18" s="30"/>
      <c r="M18" s="30"/>
      <c r="N18" s="30"/>
      <c r="O18" s="30"/>
      <c r="P18" s="30">
        <f t="shared" si="3"/>
        <v>31.788862909090906</v>
      </c>
      <c r="Q18" s="173"/>
      <c r="R18" s="30">
        <f>+R3*0.15</f>
        <v>33.69619468363636</v>
      </c>
      <c r="S18" s="30"/>
      <c r="T18" s="30"/>
      <c r="U18" s="30"/>
      <c r="V18" s="30"/>
      <c r="W18" s="30">
        <f t="shared" si="4"/>
        <v>33.69619468363636</v>
      </c>
      <c r="X18" s="173"/>
      <c r="Y18" s="30">
        <f>+Y3*0.15</f>
        <v>35.717966364654544</v>
      </c>
      <c r="Z18" s="30"/>
      <c r="AA18" s="30"/>
      <c r="AB18" s="30"/>
      <c r="AC18" s="30"/>
      <c r="AD18" s="30">
        <f t="shared" si="5"/>
        <v>35.717966364654544</v>
      </c>
      <c r="AE18" s="173"/>
      <c r="AF18" s="30">
        <f>+AF3*0.15</f>
        <v>37.86104434653382</v>
      </c>
      <c r="AG18" s="30"/>
      <c r="AH18" s="30"/>
      <c r="AI18" s="30"/>
      <c r="AJ18" s="30"/>
      <c r="AK18" s="30">
        <f t="shared" si="6"/>
        <v>37.86104434653382</v>
      </c>
    </row>
    <row r="19" spans="1:37" ht="25.5">
      <c r="A19" s="358"/>
      <c r="B19" s="358"/>
      <c r="C19" s="360"/>
      <c r="D19" s="348"/>
      <c r="E19" s="20" t="s">
        <v>362</v>
      </c>
      <c r="F19" s="20" t="s">
        <v>363</v>
      </c>
      <c r="G19" s="20" t="s">
        <v>66</v>
      </c>
      <c r="H19" s="31">
        <f>+P19+W19+AD19+AK19</f>
        <v>226.747</v>
      </c>
      <c r="I19" s="123"/>
      <c r="J19" s="174"/>
      <c r="K19" s="30"/>
      <c r="L19" s="30"/>
      <c r="M19" s="30"/>
      <c r="N19" s="30"/>
      <c r="O19" s="30"/>
      <c r="P19" s="30">
        <f>SUM(K19:O19)</f>
        <v>0</v>
      </c>
      <c r="Q19" s="174"/>
      <c r="R19" s="30"/>
      <c r="S19" s="30"/>
      <c r="T19" s="30"/>
      <c r="U19" s="30"/>
      <c r="V19" s="30"/>
      <c r="W19" s="30">
        <f>SUM(R19:V19)</f>
        <v>0</v>
      </c>
      <c r="X19" s="174"/>
      <c r="Y19" s="30"/>
      <c r="Z19" s="30">
        <v>112.795</v>
      </c>
      <c r="AA19" s="30"/>
      <c r="AB19" s="30"/>
      <c r="AC19" s="30"/>
      <c r="AD19" s="30">
        <f>SUM(Y19:AC19)</f>
        <v>112.795</v>
      </c>
      <c r="AE19" s="174"/>
      <c r="AF19" s="30"/>
      <c r="AG19" s="30">
        <v>113.952</v>
      </c>
      <c r="AH19" s="30"/>
      <c r="AI19" s="30"/>
      <c r="AJ19" s="30"/>
      <c r="AK19" s="30">
        <f>SUM(AF19:AJ19)</f>
        <v>113.952</v>
      </c>
    </row>
    <row r="20" spans="1:37" s="98" customFormat="1" ht="12.75">
      <c r="A20" s="358"/>
      <c r="B20" s="358"/>
      <c r="C20" s="360"/>
      <c r="D20" s="176"/>
      <c r="E20" s="155"/>
      <c r="F20" s="158"/>
      <c r="G20" s="148" t="s">
        <v>235</v>
      </c>
      <c r="H20" s="177">
        <f>SUM(H16:H19)</f>
        <v>435.34310245587346</v>
      </c>
      <c r="I20" s="178">
        <f>+H20/H32</f>
        <v>0.3772991098270065</v>
      </c>
      <c r="J20" s="179"/>
      <c r="K20" s="177">
        <f aca="true" t="shared" si="8" ref="K20:AK20">SUM(K16:K19)</f>
        <v>47.683294363636364</v>
      </c>
      <c r="L20" s="177">
        <f t="shared" si="8"/>
        <v>0</v>
      </c>
      <c r="M20" s="177">
        <f t="shared" si="8"/>
        <v>0</v>
      </c>
      <c r="N20" s="177">
        <f t="shared" si="8"/>
        <v>0</v>
      </c>
      <c r="O20" s="177">
        <f t="shared" si="8"/>
        <v>0</v>
      </c>
      <c r="P20" s="177">
        <f t="shared" si="8"/>
        <v>47.683294363636364</v>
      </c>
      <c r="Q20" s="179"/>
      <c r="R20" s="177">
        <f t="shared" si="8"/>
        <v>50.54429202545454</v>
      </c>
      <c r="S20" s="177">
        <f t="shared" si="8"/>
        <v>0</v>
      </c>
      <c r="T20" s="177">
        <f t="shared" si="8"/>
        <v>0</v>
      </c>
      <c r="U20" s="177">
        <f t="shared" si="8"/>
        <v>0</v>
      </c>
      <c r="V20" s="177">
        <f t="shared" si="8"/>
        <v>0</v>
      </c>
      <c r="W20" s="177">
        <f t="shared" si="8"/>
        <v>50.54429202545454</v>
      </c>
      <c r="X20" s="179"/>
      <c r="Y20" s="177">
        <f t="shared" si="8"/>
        <v>53.576949546981815</v>
      </c>
      <c r="Z20" s="177">
        <f t="shared" si="8"/>
        <v>112.795</v>
      </c>
      <c r="AA20" s="177">
        <f t="shared" si="8"/>
        <v>0</v>
      </c>
      <c r="AB20" s="177">
        <f t="shared" si="8"/>
        <v>0</v>
      </c>
      <c r="AC20" s="177">
        <f t="shared" si="8"/>
        <v>0</v>
      </c>
      <c r="AD20" s="177">
        <f t="shared" si="8"/>
        <v>166.37194954698182</v>
      </c>
      <c r="AE20" s="179"/>
      <c r="AF20" s="177">
        <f t="shared" si="8"/>
        <v>56.791566519800725</v>
      </c>
      <c r="AG20" s="177">
        <f t="shared" si="8"/>
        <v>113.952</v>
      </c>
      <c r="AH20" s="177">
        <f t="shared" si="8"/>
        <v>0</v>
      </c>
      <c r="AI20" s="177">
        <f t="shared" si="8"/>
        <v>0</v>
      </c>
      <c r="AJ20" s="177">
        <f t="shared" si="8"/>
        <v>0</v>
      </c>
      <c r="AK20" s="177">
        <f t="shared" si="8"/>
        <v>170.7435665198007</v>
      </c>
    </row>
    <row r="21" spans="1:6" ht="4.5" customHeight="1">
      <c r="A21" s="358"/>
      <c r="B21" s="358"/>
      <c r="C21" s="360"/>
      <c r="F21" s="159"/>
    </row>
    <row r="22" spans="1:37" ht="25.5">
      <c r="A22" s="358"/>
      <c r="B22" s="358"/>
      <c r="C22" s="360"/>
      <c r="D22" s="349" t="s">
        <v>364</v>
      </c>
      <c r="E22" s="20" t="s">
        <v>365</v>
      </c>
      <c r="F22" s="20" t="s">
        <v>366</v>
      </c>
      <c r="G22" s="20" t="s">
        <v>63</v>
      </c>
      <c r="H22" s="31">
        <f>+P22+W22+AD22+AK22</f>
        <v>92.70937886927709</v>
      </c>
      <c r="I22" s="121"/>
      <c r="J22" s="172"/>
      <c r="K22" s="30">
        <f>+K3*0.1</f>
        <v>21.19257527272727</v>
      </c>
      <c r="L22" s="30"/>
      <c r="M22" s="30"/>
      <c r="N22" s="30"/>
      <c r="O22" s="30"/>
      <c r="P22" s="30">
        <f t="shared" si="3"/>
        <v>21.19257527272727</v>
      </c>
      <c r="Q22" s="172"/>
      <c r="R22" s="30">
        <f>+R3*0.1</f>
        <v>22.464129789090908</v>
      </c>
      <c r="S22" s="30"/>
      <c r="T22" s="30"/>
      <c r="U22" s="30"/>
      <c r="V22" s="30"/>
      <c r="W22" s="30">
        <f t="shared" si="4"/>
        <v>22.464129789090908</v>
      </c>
      <c r="X22" s="172"/>
      <c r="Y22" s="30">
        <f>+Y3*0.1</f>
        <v>23.811977576436362</v>
      </c>
      <c r="Z22" s="30"/>
      <c r="AA22" s="30"/>
      <c r="AB22" s="30"/>
      <c r="AC22" s="30"/>
      <c r="AD22" s="30">
        <f t="shared" si="5"/>
        <v>23.811977576436362</v>
      </c>
      <c r="AE22" s="172"/>
      <c r="AF22" s="30">
        <f>+AF3*0.1</f>
        <v>25.240696231022547</v>
      </c>
      <c r="AG22" s="30"/>
      <c r="AH22" s="30"/>
      <c r="AI22" s="30"/>
      <c r="AJ22" s="30"/>
      <c r="AK22" s="30">
        <f t="shared" si="6"/>
        <v>25.240696231022547</v>
      </c>
    </row>
    <row r="23" spans="1:37" ht="38.25">
      <c r="A23" s="358"/>
      <c r="B23" s="358"/>
      <c r="C23" s="360"/>
      <c r="D23" s="350"/>
      <c r="E23" s="20" t="s">
        <v>380</v>
      </c>
      <c r="F23" s="20" t="s">
        <v>381</v>
      </c>
      <c r="G23" s="20" t="s">
        <v>382</v>
      </c>
      <c r="H23" s="31">
        <f>+P23+W23+AD23+AK23</f>
        <v>92.70937886927709</v>
      </c>
      <c r="I23" s="122"/>
      <c r="J23" s="173"/>
      <c r="K23" s="30">
        <f>+K3*0.1</f>
        <v>21.19257527272727</v>
      </c>
      <c r="L23" s="30"/>
      <c r="M23" s="30"/>
      <c r="N23" s="30"/>
      <c r="O23" s="30"/>
      <c r="P23" s="30">
        <f t="shared" si="3"/>
        <v>21.19257527272727</v>
      </c>
      <c r="Q23" s="173"/>
      <c r="R23" s="30">
        <f>+R3*0.1</f>
        <v>22.464129789090908</v>
      </c>
      <c r="S23" s="30"/>
      <c r="T23" s="30"/>
      <c r="U23" s="30"/>
      <c r="V23" s="30"/>
      <c r="W23" s="30">
        <f t="shared" si="4"/>
        <v>22.464129789090908</v>
      </c>
      <c r="X23" s="173"/>
      <c r="Y23" s="30">
        <f>+Y3*0.1</f>
        <v>23.811977576436362</v>
      </c>
      <c r="Z23" s="30"/>
      <c r="AA23" s="30"/>
      <c r="AB23" s="30"/>
      <c r="AC23" s="30"/>
      <c r="AD23" s="30">
        <f t="shared" si="5"/>
        <v>23.811977576436362</v>
      </c>
      <c r="AE23" s="173"/>
      <c r="AF23" s="30">
        <f>+AF3*0.1</f>
        <v>25.240696231022547</v>
      </c>
      <c r="AG23" s="30"/>
      <c r="AH23" s="30"/>
      <c r="AI23" s="30"/>
      <c r="AJ23" s="30"/>
      <c r="AK23" s="30">
        <f t="shared" si="6"/>
        <v>25.240696231022547</v>
      </c>
    </row>
    <row r="24" spans="1:37" ht="38.25">
      <c r="A24" s="358"/>
      <c r="B24" s="358"/>
      <c r="C24" s="360"/>
      <c r="D24" s="350"/>
      <c r="E24" s="347" t="s">
        <v>367</v>
      </c>
      <c r="F24" s="20" t="s">
        <v>378</v>
      </c>
      <c r="G24" s="20" t="s">
        <v>377</v>
      </c>
      <c r="H24" s="31">
        <f>+P24+W24+AD24+AK24</f>
        <v>46.354689434638544</v>
      </c>
      <c r="I24" s="122"/>
      <c r="J24" s="173"/>
      <c r="K24" s="30">
        <f>+K3*0.05</f>
        <v>10.596287636363636</v>
      </c>
      <c r="L24" s="30"/>
      <c r="M24" s="30"/>
      <c r="N24" s="30"/>
      <c r="O24" s="30"/>
      <c r="P24" s="30">
        <f>SUM(K24:O24)</f>
        <v>10.596287636363636</v>
      </c>
      <c r="Q24" s="173"/>
      <c r="R24" s="30">
        <f>+R3*0.05</f>
        <v>11.232064894545454</v>
      </c>
      <c r="S24" s="30"/>
      <c r="T24" s="30"/>
      <c r="U24" s="30"/>
      <c r="V24" s="30"/>
      <c r="W24" s="30">
        <f>SUM(R24:V24)</f>
        <v>11.232064894545454</v>
      </c>
      <c r="X24" s="173"/>
      <c r="Y24" s="30">
        <f>+Y3*0.05</f>
        <v>11.905988788218181</v>
      </c>
      <c r="Z24" s="30"/>
      <c r="AA24" s="30"/>
      <c r="AB24" s="30"/>
      <c r="AC24" s="30"/>
      <c r="AD24" s="30">
        <f>SUM(Y24:AC24)</f>
        <v>11.905988788218181</v>
      </c>
      <c r="AE24" s="173"/>
      <c r="AF24" s="30">
        <f>+AF3*0.05</f>
        <v>12.620348115511273</v>
      </c>
      <c r="AG24" s="30"/>
      <c r="AH24" s="30"/>
      <c r="AI24" s="30"/>
      <c r="AJ24" s="30"/>
      <c r="AK24" s="30">
        <f>SUM(AF24:AJ24)</f>
        <v>12.620348115511273</v>
      </c>
    </row>
    <row r="25" spans="1:37" ht="38.25">
      <c r="A25" s="358"/>
      <c r="B25" s="358"/>
      <c r="C25" s="360"/>
      <c r="D25" s="351"/>
      <c r="E25" s="348"/>
      <c r="F25" s="20" t="s">
        <v>379</v>
      </c>
      <c r="G25" s="20" t="s">
        <v>368</v>
      </c>
      <c r="H25" s="31">
        <f>+P25+W25+AD25+AK25</f>
        <v>23.177344717319272</v>
      </c>
      <c r="I25" s="123"/>
      <c r="J25" s="174"/>
      <c r="K25" s="30">
        <f>+K3*0.025</f>
        <v>5.298143818181818</v>
      </c>
      <c r="L25" s="30"/>
      <c r="M25" s="30"/>
      <c r="N25" s="30"/>
      <c r="O25" s="30"/>
      <c r="P25" s="30">
        <f>SUM(K25:O25)</f>
        <v>5.298143818181818</v>
      </c>
      <c r="Q25" s="174"/>
      <c r="R25" s="30">
        <f>+R3*0.025</f>
        <v>5.616032447272727</v>
      </c>
      <c r="S25" s="30"/>
      <c r="T25" s="30"/>
      <c r="U25" s="30"/>
      <c r="V25" s="30"/>
      <c r="W25" s="30">
        <f>SUM(R25:V25)</f>
        <v>5.616032447272727</v>
      </c>
      <c r="X25" s="174"/>
      <c r="Y25" s="30">
        <f>+Y3*0.025</f>
        <v>5.952994394109091</v>
      </c>
      <c r="Z25" s="30"/>
      <c r="AA25" s="30"/>
      <c r="AB25" s="30"/>
      <c r="AC25" s="30"/>
      <c r="AD25" s="30">
        <f>SUM(Y25:AC25)</f>
        <v>5.952994394109091</v>
      </c>
      <c r="AE25" s="174"/>
      <c r="AF25" s="30">
        <f>+AF3*0.025</f>
        <v>6.310174057755637</v>
      </c>
      <c r="AG25" s="30"/>
      <c r="AH25" s="30"/>
      <c r="AI25" s="30"/>
      <c r="AJ25" s="30"/>
      <c r="AK25" s="30">
        <f>SUM(AF25:AJ25)</f>
        <v>6.310174057755637</v>
      </c>
    </row>
    <row r="26" spans="1:37" s="98" customFormat="1" ht="12.75">
      <c r="A26" s="358"/>
      <c r="B26" s="358"/>
      <c r="C26" s="360"/>
      <c r="D26" s="176"/>
      <c r="E26" s="155"/>
      <c r="F26" s="158"/>
      <c r="G26" s="148" t="s">
        <v>235</v>
      </c>
      <c r="H26" s="177">
        <f>SUM(H22:H25)</f>
        <v>254.950791890512</v>
      </c>
      <c r="I26" s="178">
        <f>+H26/H32</f>
        <v>0.2209583803839655</v>
      </c>
      <c r="J26" s="179"/>
      <c r="K26" s="177">
        <f aca="true" t="shared" si="9" ref="K26:AK26">SUM(K22:K25)</f>
        <v>58.279582</v>
      </c>
      <c r="L26" s="177">
        <f t="shared" si="9"/>
        <v>0</v>
      </c>
      <c r="M26" s="177">
        <f t="shared" si="9"/>
        <v>0</v>
      </c>
      <c r="N26" s="177">
        <f t="shared" si="9"/>
        <v>0</v>
      </c>
      <c r="O26" s="177">
        <f t="shared" si="9"/>
        <v>0</v>
      </c>
      <c r="P26" s="177">
        <f t="shared" si="9"/>
        <v>58.279582</v>
      </c>
      <c r="Q26" s="179"/>
      <c r="R26" s="177">
        <f t="shared" si="9"/>
        <v>61.77635692</v>
      </c>
      <c r="S26" s="177">
        <f t="shared" si="9"/>
        <v>0</v>
      </c>
      <c r="T26" s="177">
        <f t="shared" si="9"/>
        <v>0</v>
      </c>
      <c r="U26" s="177">
        <f t="shared" si="9"/>
        <v>0</v>
      </c>
      <c r="V26" s="177">
        <f t="shared" si="9"/>
        <v>0</v>
      </c>
      <c r="W26" s="177">
        <f t="shared" si="9"/>
        <v>61.77635692</v>
      </c>
      <c r="X26" s="179"/>
      <c r="Y26" s="177">
        <f t="shared" si="9"/>
        <v>65.4829383352</v>
      </c>
      <c r="Z26" s="177">
        <f t="shared" si="9"/>
        <v>0</v>
      </c>
      <c r="AA26" s="177">
        <f t="shared" si="9"/>
        <v>0</v>
      </c>
      <c r="AB26" s="177">
        <f t="shared" si="9"/>
        <v>0</v>
      </c>
      <c r="AC26" s="177">
        <f t="shared" si="9"/>
        <v>0</v>
      </c>
      <c r="AD26" s="177">
        <f t="shared" si="9"/>
        <v>65.4829383352</v>
      </c>
      <c r="AE26" s="179"/>
      <c r="AF26" s="177">
        <f t="shared" si="9"/>
        <v>69.411914635312</v>
      </c>
      <c r="AG26" s="177">
        <f t="shared" si="9"/>
        <v>0</v>
      </c>
      <c r="AH26" s="177">
        <f t="shared" si="9"/>
        <v>0</v>
      </c>
      <c r="AI26" s="177">
        <f t="shared" si="9"/>
        <v>0</v>
      </c>
      <c r="AJ26" s="177">
        <f t="shared" si="9"/>
        <v>0</v>
      </c>
      <c r="AK26" s="177">
        <f t="shared" si="9"/>
        <v>69.411914635312</v>
      </c>
    </row>
    <row r="27" spans="1:6" ht="4.5" customHeight="1">
      <c r="A27" s="358"/>
      <c r="B27" s="358"/>
      <c r="C27" s="360"/>
      <c r="F27" s="159"/>
    </row>
    <row r="28" spans="1:37" ht="38.25">
      <c r="A28" s="358"/>
      <c r="B28" s="358"/>
      <c r="C28" s="360"/>
      <c r="D28" s="347" t="s">
        <v>372</v>
      </c>
      <c r="E28" s="20" t="s">
        <v>369</v>
      </c>
      <c r="F28" s="20" t="s">
        <v>370</v>
      </c>
      <c r="G28" s="20" t="s">
        <v>67</v>
      </c>
      <c r="H28" s="31">
        <f>+P28+W28+AD28+AK28</f>
        <v>139.06406830391563</v>
      </c>
      <c r="I28" s="121"/>
      <c r="J28" s="172"/>
      <c r="K28" s="30">
        <f>+K3*0.15</f>
        <v>31.788862909090906</v>
      </c>
      <c r="L28" s="30"/>
      <c r="M28" s="30"/>
      <c r="N28" s="30"/>
      <c r="O28" s="30"/>
      <c r="P28" s="30">
        <f t="shared" si="3"/>
        <v>31.788862909090906</v>
      </c>
      <c r="Q28" s="172"/>
      <c r="R28" s="30">
        <f>+R3*0.15</f>
        <v>33.69619468363636</v>
      </c>
      <c r="S28" s="30"/>
      <c r="T28" s="30"/>
      <c r="U28" s="30"/>
      <c r="V28" s="30"/>
      <c r="W28" s="30">
        <f t="shared" si="4"/>
        <v>33.69619468363636</v>
      </c>
      <c r="X28" s="172"/>
      <c r="Y28" s="30">
        <f>+Y3*0.15</f>
        <v>35.717966364654544</v>
      </c>
      <c r="Z28" s="30"/>
      <c r="AA28" s="30"/>
      <c r="AB28" s="30"/>
      <c r="AC28" s="30"/>
      <c r="AD28" s="30">
        <f t="shared" si="5"/>
        <v>35.717966364654544</v>
      </c>
      <c r="AE28" s="172"/>
      <c r="AF28" s="30">
        <f>+AF3*0.15</f>
        <v>37.86104434653382</v>
      </c>
      <c r="AG28" s="30"/>
      <c r="AH28" s="30"/>
      <c r="AI28" s="30"/>
      <c r="AJ28" s="30"/>
      <c r="AK28" s="30">
        <f t="shared" si="6"/>
        <v>37.86104434653382</v>
      </c>
    </row>
    <row r="29" spans="1:37" ht="51">
      <c r="A29" s="358"/>
      <c r="B29" s="358"/>
      <c r="C29" s="360"/>
      <c r="D29" s="352"/>
      <c r="E29" s="20" t="s">
        <v>374</v>
      </c>
      <c r="F29" s="20" t="s">
        <v>375</v>
      </c>
      <c r="G29" s="20" t="s">
        <v>373</v>
      </c>
      <c r="H29" s="31">
        <f>+P29+W29+AD29+AK29</f>
        <v>23.177344717319272</v>
      </c>
      <c r="I29" s="123"/>
      <c r="J29" s="174"/>
      <c r="K29" s="30">
        <f>+K3*0.025</f>
        <v>5.298143818181818</v>
      </c>
      <c r="L29" s="30"/>
      <c r="M29" s="30"/>
      <c r="N29" s="30"/>
      <c r="O29" s="30"/>
      <c r="P29" s="30">
        <f>SUM(K29:O29)</f>
        <v>5.298143818181818</v>
      </c>
      <c r="Q29" s="174"/>
      <c r="R29" s="30">
        <f>+R3*0.025</f>
        <v>5.616032447272727</v>
      </c>
      <c r="S29" s="30"/>
      <c r="T29" s="30"/>
      <c r="U29" s="30"/>
      <c r="V29" s="30"/>
      <c r="W29" s="30">
        <f>SUM(R29:V29)</f>
        <v>5.616032447272727</v>
      </c>
      <c r="X29" s="174"/>
      <c r="Y29" s="30">
        <f>+Y3*0.025</f>
        <v>5.952994394109091</v>
      </c>
      <c r="Z29" s="30"/>
      <c r="AA29" s="30"/>
      <c r="AB29" s="30"/>
      <c r="AC29" s="30"/>
      <c r="AD29" s="30">
        <f>SUM(Y29:AC29)</f>
        <v>5.952994394109091</v>
      </c>
      <c r="AE29" s="174"/>
      <c r="AF29" s="30">
        <f>+AF3*0.025</f>
        <v>6.310174057755637</v>
      </c>
      <c r="AG29" s="30"/>
      <c r="AH29" s="30"/>
      <c r="AI29" s="30"/>
      <c r="AJ29" s="30"/>
      <c r="AK29" s="30">
        <f>SUM(AF29:AJ29)</f>
        <v>6.310174057755637</v>
      </c>
    </row>
    <row r="30" spans="3:37" s="98" customFormat="1" ht="12.75">
      <c r="C30" s="176"/>
      <c r="D30" s="176"/>
      <c r="E30" s="155"/>
      <c r="F30" s="158"/>
      <c r="G30" s="148" t="s">
        <v>235</v>
      </c>
      <c r="H30" s="177">
        <f>SUM(H28:H29)</f>
        <v>162.2414130212349</v>
      </c>
      <c r="I30" s="178">
        <f>+H30/H32</f>
        <v>0.14060987842615985</v>
      </c>
      <c r="J30" s="179"/>
      <c r="K30" s="177">
        <f aca="true" t="shared" si="10" ref="K30:AK30">SUM(K28:K29)</f>
        <v>37.08700672727272</v>
      </c>
      <c r="L30" s="177">
        <f t="shared" si="10"/>
        <v>0</v>
      </c>
      <c r="M30" s="177">
        <f t="shared" si="10"/>
        <v>0</v>
      </c>
      <c r="N30" s="177">
        <f t="shared" si="10"/>
        <v>0</v>
      </c>
      <c r="O30" s="177">
        <f t="shared" si="10"/>
        <v>0</v>
      </c>
      <c r="P30" s="177">
        <f t="shared" si="10"/>
        <v>37.08700672727272</v>
      </c>
      <c r="Q30" s="179"/>
      <c r="R30" s="177">
        <f t="shared" si="10"/>
        <v>39.312227130909086</v>
      </c>
      <c r="S30" s="177">
        <f t="shared" si="10"/>
        <v>0</v>
      </c>
      <c r="T30" s="177">
        <f t="shared" si="10"/>
        <v>0</v>
      </c>
      <c r="U30" s="177">
        <f t="shared" si="10"/>
        <v>0</v>
      </c>
      <c r="V30" s="177">
        <f t="shared" si="10"/>
        <v>0</v>
      </c>
      <c r="W30" s="177">
        <f t="shared" si="10"/>
        <v>39.312227130909086</v>
      </c>
      <c r="X30" s="179"/>
      <c r="Y30" s="177">
        <f t="shared" si="10"/>
        <v>41.670960758763634</v>
      </c>
      <c r="Z30" s="177">
        <f t="shared" si="10"/>
        <v>0</v>
      </c>
      <c r="AA30" s="177">
        <f t="shared" si="10"/>
        <v>0</v>
      </c>
      <c r="AB30" s="177">
        <f t="shared" si="10"/>
        <v>0</v>
      </c>
      <c r="AC30" s="177">
        <f t="shared" si="10"/>
        <v>0</v>
      </c>
      <c r="AD30" s="177">
        <f t="shared" si="10"/>
        <v>41.670960758763634</v>
      </c>
      <c r="AE30" s="179"/>
      <c r="AF30" s="177">
        <f t="shared" si="10"/>
        <v>44.171218404289455</v>
      </c>
      <c r="AG30" s="177">
        <f t="shared" si="10"/>
        <v>0</v>
      </c>
      <c r="AH30" s="177">
        <f t="shared" si="10"/>
        <v>0</v>
      </c>
      <c r="AI30" s="177">
        <f t="shared" si="10"/>
        <v>0</v>
      </c>
      <c r="AJ30" s="177">
        <f t="shared" si="10"/>
        <v>0</v>
      </c>
      <c r="AK30" s="177">
        <f t="shared" si="10"/>
        <v>44.171218404289455</v>
      </c>
    </row>
    <row r="31" spans="3:6" ht="4.5" customHeight="1">
      <c r="C31" s="176"/>
      <c r="F31" s="159"/>
    </row>
    <row r="32" spans="3:37" s="98" customFormat="1" ht="12.75">
      <c r="C32" s="155"/>
      <c r="D32" s="155"/>
      <c r="E32" s="155"/>
      <c r="F32" s="158"/>
      <c r="G32" s="148" t="s">
        <v>44</v>
      </c>
      <c r="H32" s="96">
        <f aca="true" t="shared" si="11" ref="H32:AK32">+H14+H20+H26+H30</f>
        <v>1153.8407886927707</v>
      </c>
      <c r="I32" s="119">
        <f t="shared" si="11"/>
        <v>1.0000000000000002</v>
      </c>
      <c r="J32" s="151"/>
      <c r="K32" s="96">
        <f t="shared" si="11"/>
        <v>211.9257527272727</v>
      </c>
      <c r="L32" s="96">
        <f t="shared" si="11"/>
        <v>0</v>
      </c>
      <c r="M32" s="96">
        <f t="shared" si="11"/>
        <v>0</v>
      </c>
      <c r="N32" s="96">
        <f t="shared" si="11"/>
        <v>0</v>
      </c>
      <c r="O32" s="96">
        <f t="shared" si="11"/>
        <v>0</v>
      </c>
      <c r="P32" s="96">
        <f t="shared" si="11"/>
        <v>211.9257527272727</v>
      </c>
      <c r="Q32" s="151"/>
      <c r="R32" s="96">
        <f t="shared" si="11"/>
        <v>224.64129789090907</v>
      </c>
      <c r="S32" s="96">
        <f t="shared" si="11"/>
        <v>0</v>
      </c>
      <c r="T32" s="96">
        <f t="shared" si="11"/>
        <v>0</v>
      </c>
      <c r="U32" s="96">
        <f t="shared" si="11"/>
        <v>0</v>
      </c>
      <c r="V32" s="96">
        <f t="shared" si="11"/>
        <v>0</v>
      </c>
      <c r="W32" s="96">
        <f t="shared" si="11"/>
        <v>224.64129789090907</v>
      </c>
      <c r="X32" s="151"/>
      <c r="Y32" s="96">
        <f t="shared" si="11"/>
        <v>238.11977576436362</v>
      </c>
      <c r="Z32" s="96">
        <f t="shared" si="11"/>
        <v>112.795</v>
      </c>
      <c r="AA32" s="96">
        <f t="shared" si="11"/>
        <v>0</v>
      </c>
      <c r="AB32" s="96">
        <f t="shared" si="11"/>
        <v>0</v>
      </c>
      <c r="AC32" s="96">
        <f t="shared" si="11"/>
        <v>0</v>
      </c>
      <c r="AD32" s="96">
        <f t="shared" si="11"/>
        <v>350.91477576436364</v>
      </c>
      <c r="AE32" s="151"/>
      <c r="AF32" s="96">
        <f t="shared" si="11"/>
        <v>252.40696231022545</v>
      </c>
      <c r="AG32" s="96">
        <f t="shared" si="11"/>
        <v>113.952</v>
      </c>
      <c r="AH32" s="96">
        <f t="shared" si="11"/>
        <v>0</v>
      </c>
      <c r="AI32" s="96">
        <f t="shared" si="11"/>
        <v>0</v>
      </c>
      <c r="AJ32" s="96">
        <f t="shared" si="11"/>
        <v>0</v>
      </c>
      <c r="AK32" s="96">
        <f t="shared" si="11"/>
        <v>366.3589623102254</v>
      </c>
    </row>
    <row r="33" ht="12.75">
      <c r="F33" s="159"/>
    </row>
    <row r="34" spans="3:6" ht="12.75">
      <c r="C34" s="176"/>
      <c r="D34" s="180"/>
      <c r="F34" s="159"/>
    </row>
    <row r="35" spans="3:6" ht="12.75">
      <c r="C35" s="176"/>
      <c r="F35" s="159"/>
    </row>
    <row r="36" spans="4:6" ht="12.75">
      <c r="D36" s="180"/>
      <c r="F36" s="159"/>
    </row>
    <row r="37" spans="3:6" ht="12.75">
      <c r="C37" s="176"/>
      <c r="F37" s="159"/>
    </row>
    <row r="38" ht="12.75">
      <c r="F38" s="159"/>
    </row>
    <row r="39" spans="3:6" ht="12.75">
      <c r="C39" s="176"/>
      <c r="F39" s="159"/>
    </row>
    <row r="40" spans="1:37" s="138" customFormat="1" ht="12.75">
      <c r="A40" s="89"/>
      <c r="B40" s="89"/>
      <c r="H40" s="139"/>
      <c r="I40" s="161"/>
      <c r="J40" s="161"/>
      <c r="P40" s="89"/>
      <c r="Q40" s="161"/>
      <c r="R40" s="89"/>
      <c r="S40" s="89"/>
      <c r="T40" s="89"/>
      <c r="U40" s="89"/>
      <c r="V40" s="89"/>
      <c r="W40" s="89"/>
      <c r="X40" s="161"/>
      <c r="Y40" s="89"/>
      <c r="Z40" s="89"/>
      <c r="AA40" s="89"/>
      <c r="AB40" s="89"/>
      <c r="AC40" s="89"/>
      <c r="AD40" s="89"/>
      <c r="AE40" s="161"/>
      <c r="AF40" s="89"/>
      <c r="AG40" s="89"/>
      <c r="AH40" s="89"/>
      <c r="AI40" s="89"/>
      <c r="AJ40" s="89"/>
      <c r="AK40" s="89"/>
    </row>
    <row r="41" spans="1:37" s="138" customFormat="1" ht="12.75">
      <c r="A41" s="89"/>
      <c r="B41" s="89"/>
      <c r="H41" s="139"/>
      <c r="I41" s="161"/>
      <c r="J41" s="161"/>
      <c r="P41" s="89"/>
      <c r="Q41" s="161"/>
      <c r="R41" s="89"/>
      <c r="S41" s="89"/>
      <c r="T41" s="89"/>
      <c r="U41" s="89"/>
      <c r="V41" s="89"/>
      <c r="W41" s="89"/>
      <c r="X41" s="161"/>
      <c r="Y41" s="89"/>
      <c r="Z41" s="89"/>
      <c r="AA41" s="89"/>
      <c r="AB41" s="89"/>
      <c r="AC41" s="89"/>
      <c r="AD41" s="89"/>
      <c r="AE41" s="161"/>
      <c r="AF41" s="89"/>
      <c r="AG41" s="89"/>
      <c r="AH41" s="89"/>
      <c r="AI41" s="89"/>
      <c r="AJ41" s="89"/>
      <c r="AK41" s="89"/>
    </row>
    <row r="42" spans="1:37" s="138" customFormat="1" ht="12.75">
      <c r="A42" s="89"/>
      <c r="B42" s="89"/>
      <c r="H42" s="139"/>
      <c r="I42" s="161"/>
      <c r="J42" s="161"/>
      <c r="P42" s="89"/>
      <c r="Q42" s="161"/>
      <c r="R42" s="89"/>
      <c r="S42" s="89"/>
      <c r="T42" s="89"/>
      <c r="U42" s="89"/>
      <c r="V42" s="89"/>
      <c r="W42" s="89"/>
      <c r="X42" s="161"/>
      <c r="Y42" s="89"/>
      <c r="Z42" s="89"/>
      <c r="AA42" s="89"/>
      <c r="AB42" s="89"/>
      <c r="AC42" s="89"/>
      <c r="AD42" s="89"/>
      <c r="AE42" s="161"/>
      <c r="AF42" s="89"/>
      <c r="AG42" s="89"/>
      <c r="AH42" s="89"/>
      <c r="AI42" s="89"/>
      <c r="AJ42" s="89"/>
      <c r="AK42" s="89"/>
    </row>
    <row r="43" spans="1:37" s="138" customFormat="1" ht="12.75">
      <c r="A43" s="89"/>
      <c r="B43" s="89"/>
      <c r="H43" s="139"/>
      <c r="I43" s="161"/>
      <c r="J43" s="161"/>
      <c r="P43" s="89"/>
      <c r="Q43" s="161"/>
      <c r="R43" s="89"/>
      <c r="S43" s="89"/>
      <c r="T43" s="89"/>
      <c r="U43" s="89"/>
      <c r="V43" s="89"/>
      <c r="W43" s="89"/>
      <c r="X43" s="161"/>
      <c r="Y43" s="89"/>
      <c r="Z43" s="89"/>
      <c r="AA43" s="89"/>
      <c r="AB43" s="89"/>
      <c r="AC43" s="89"/>
      <c r="AD43" s="89"/>
      <c r="AE43" s="161"/>
      <c r="AF43" s="89"/>
      <c r="AG43" s="89"/>
      <c r="AH43" s="89"/>
      <c r="AI43" s="89"/>
      <c r="AJ43" s="89"/>
      <c r="AK43" s="89"/>
    </row>
    <row r="44" spans="1:37" s="138" customFormat="1" ht="12.75">
      <c r="A44" s="89"/>
      <c r="B44" s="89"/>
      <c r="C44" s="180"/>
      <c r="H44" s="139"/>
      <c r="I44" s="161"/>
      <c r="J44" s="161"/>
      <c r="P44" s="89"/>
      <c r="Q44" s="161"/>
      <c r="R44" s="89"/>
      <c r="S44" s="89"/>
      <c r="T44" s="89"/>
      <c r="U44" s="89"/>
      <c r="V44" s="89"/>
      <c r="W44" s="89"/>
      <c r="X44" s="161"/>
      <c r="Y44" s="89"/>
      <c r="Z44" s="89"/>
      <c r="AA44" s="89"/>
      <c r="AB44" s="89"/>
      <c r="AC44" s="89"/>
      <c r="AD44" s="89"/>
      <c r="AE44" s="161"/>
      <c r="AF44" s="89"/>
      <c r="AG44" s="89"/>
      <c r="AH44" s="89"/>
      <c r="AI44" s="89"/>
      <c r="AJ44" s="89"/>
      <c r="AK44" s="89"/>
    </row>
    <row r="45" spans="1:37" s="138" customFormat="1" ht="12.75">
      <c r="A45" s="89"/>
      <c r="B45" s="89"/>
      <c r="H45" s="139"/>
      <c r="I45" s="161"/>
      <c r="J45" s="161"/>
      <c r="P45" s="89"/>
      <c r="Q45" s="161"/>
      <c r="R45" s="89"/>
      <c r="S45" s="89"/>
      <c r="T45" s="89"/>
      <c r="U45" s="89"/>
      <c r="V45" s="89"/>
      <c r="W45" s="89"/>
      <c r="X45" s="161"/>
      <c r="Y45" s="89"/>
      <c r="Z45" s="89"/>
      <c r="AA45" s="89"/>
      <c r="AB45" s="89"/>
      <c r="AC45" s="89"/>
      <c r="AD45" s="89"/>
      <c r="AE45" s="161"/>
      <c r="AF45" s="89"/>
      <c r="AG45" s="89"/>
      <c r="AH45" s="89"/>
      <c r="AI45" s="89"/>
      <c r="AJ45" s="89"/>
      <c r="AK45" s="89"/>
    </row>
    <row r="46" spans="1:37" s="138" customFormat="1" ht="12.75">
      <c r="A46" s="89"/>
      <c r="B46" s="89"/>
      <c r="H46" s="139"/>
      <c r="I46" s="161"/>
      <c r="J46" s="161"/>
      <c r="P46" s="89"/>
      <c r="Q46" s="161"/>
      <c r="R46" s="89"/>
      <c r="S46" s="89"/>
      <c r="T46" s="89"/>
      <c r="U46" s="89"/>
      <c r="V46" s="89"/>
      <c r="W46" s="89"/>
      <c r="X46" s="161"/>
      <c r="Y46" s="89"/>
      <c r="Z46" s="89"/>
      <c r="AA46" s="89"/>
      <c r="AB46" s="89"/>
      <c r="AC46" s="89"/>
      <c r="AD46" s="89"/>
      <c r="AE46" s="161"/>
      <c r="AF46" s="89"/>
      <c r="AG46" s="89"/>
      <c r="AH46" s="89"/>
      <c r="AI46" s="89"/>
      <c r="AJ46" s="89"/>
      <c r="AK46" s="89"/>
    </row>
    <row r="47" spans="1:37" s="138" customFormat="1" ht="12.75">
      <c r="A47" s="89"/>
      <c r="B47" s="89"/>
      <c r="H47" s="139"/>
      <c r="I47" s="161"/>
      <c r="J47" s="161"/>
      <c r="P47" s="89"/>
      <c r="Q47" s="161"/>
      <c r="R47" s="89"/>
      <c r="S47" s="89"/>
      <c r="T47" s="89"/>
      <c r="U47" s="89"/>
      <c r="V47" s="89"/>
      <c r="W47" s="89"/>
      <c r="X47" s="161"/>
      <c r="Y47" s="89"/>
      <c r="Z47" s="89"/>
      <c r="AA47" s="89"/>
      <c r="AB47" s="89"/>
      <c r="AC47" s="89"/>
      <c r="AD47" s="89"/>
      <c r="AE47" s="161"/>
      <c r="AF47" s="89"/>
      <c r="AG47" s="89"/>
      <c r="AH47" s="89"/>
      <c r="AI47" s="89"/>
      <c r="AJ47" s="89"/>
      <c r="AK47" s="89"/>
    </row>
    <row r="48" spans="1:37" s="138" customFormat="1" ht="12.75">
      <c r="A48" s="89"/>
      <c r="B48" s="89"/>
      <c r="H48" s="139"/>
      <c r="I48" s="161"/>
      <c r="J48" s="161"/>
      <c r="P48" s="89"/>
      <c r="Q48" s="161"/>
      <c r="R48" s="89"/>
      <c r="S48" s="89"/>
      <c r="T48" s="89"/>
      <c r="U48" s="89"/>
      <c r="V48" s="89"/>
      <c r="W48" s="89"/>
      <c r="X48" s="161"/>
      <c r="Y48" s="89"/>
      <c r="Z48" s="89"/>
      <c r="AA48" s="89"/>
      <c r="AB48" s="89"/>
      <c r="AC48" s="89"/>
      <c r="AD48" s="89"/>
      <c r="AE48" s="161"/>
      <c r="AF48" s="89"/>
      <c r="AG48" s="89"/>
      <c r="AH48" s="89"/>
      <c r="AI48" s="89"/>
      <c r="AJ48" s="89"/>
      <c r="AK48" s="89"/>
    </row>
    <row r="49" spans="1:37" s="138" customFormat="1" ht="12.75">
      <c r="A49" s="89"/>
      <c r="B49" s="89"/>
      <c r="C49" s="180"/>
      <c r="H49" s="139"/>
      <c r="I49" s="161"/>
      <c r="J49" s="161"/>
      <c r="P49" s="89"/>
      <c r="Q49" s="161"/>
      <c r="R49" s="89"/>
      <c r="S49" s="89"/>
      <c r="T49" s="89"/>
      <c r="U49" s="89"/>
      <c r="V49" s="89"/>
      <c r="W49" s="89"/>
      <c r="X49" s="161"/>
      <c r="Y49" s="89"/>
      <c r="Z49" s="89"/>
      <c r="AA49" s="89"/>
      <c r="AB49" s="89"/>
      <c r="AC49" s="89"/>
      <c r="AD49" s="89"/>
      <c r="AE49" s="161"/>
      <c r="AF49" s="89"/>
      <c r="AG49" s="89"/>
      <c r="AH49" s="89"/>
      <c r="AI49" s="89"/>
      <c r="AJ49" s="89"/>
      <c r="AK49" s="89"/>
    </row>
    <row r="50" spans="1:37" s="138" customFormat="1" ht="12.75">
      <c r="A50" s="89"/>
      <c r="B50" s="89"/>
      <c r="H50" s="139"/>
      <c r="I50" s="161"/>
      <c r="J50" s="161"/>
      <c r="P50" s="89"/>
      <c r="Q50" s="161"/>
      <c r="R50" s="89"/>
      <c r="S50" s="89"/>
      <c r="T50" s="89"/>
      <c r="U50" s="89"/>
      <c r="V50" s="89"/>
      <c r="W50" s="89"/>
      <c r="X50" s="161"/>
      <c r="Y50" s="89"/>
      <c r="Z50" s="89"/>
      <c r="AA50" s="89"/>
      <c r="AB50" s="89"/>
      <c r="AC50" s="89"/>
      <c r="AD50" s="89"/>
      <c r="AE50" s="161"/>
      <c r="AF50" s="89"/>
      <c r="AG50" s="89"/>
      <c r="AH50" s="89"/>
      <c r="AI50" s="89"/>
      <c r="AJ50" s="89"/>
      <c r="AK50" s="89"/>
    </row>
    <row r="51" spans="1:37" s="138" customFormat="1" ht="12.75">
      <c r="A51" s="89"/>
      <c r="B51" s="89"/>
      <c r="C51" s="176"/>
      <c r="H51" s="139"/>
      <c r="I51" s="161"/>
      <c r="J51" s="161"/>
      <c r="P51" s="89"/>
      <c r="Q51" s="161"/>
      <c r="R51" s="89"/>
      <c r="S51" s="89"/>
      <c r="T51" s="89"/>
      <c r="U51" s="89"/>
      <c r="V51" s="89"/>
      <c r="W51" s="89"/>
      <c r="X51" s="161"/>
      <c r="Y51" s="89"/>
      <c r="Z51" s="89"/>
      <c r="AA51" s="89"/>
      <c r="AB51" s="89"/>
      <c r="AC51" s="89"/>
      <c r="AD51" s="89"/>
      <c r="AE51" s="161"/>
      <c r="AF51" s="89"/>
      <c r="AG51" s="89"/>
      <c r="AH51" s="89"/>
      <c r="AI51" s="89"/>
      <c r="AJ51" s="89"/>
      <c r="AK51" s="89"/>
    </row>
    <row r="52" spans="1:37" s="138" customFormat="1" ht="12.75">
      <c r="A52" s="89"/>
      <c r="B52" s="89"/>
      <c r="H52" s="139"/>
      <c r="I52" s="161"/>
      <c r="J52" s="161"/>
      <c r="P52" s="89"/>
      <c r="Q52" s="161"/>
      <c r="R52" s="89"/>
      <c r="S52" s="89"/>
      <c r="T52" s="89"/>
      <c r="U52" s="89"/>
      <c r="V52" s="89"/>
      <c r="W52" s="89"/>
      <c r="X52" s="161"/>
      <c r="Y52" s="89"/>
      <c r="Z52" s="89"/>
      <c r="AA52" s="89"/>
      <c r="AB52" s="89"/>
      <c r="AC52" s="89"/>
      <c r="AD52" s="89"/>
      <c r="AE52" s="161"/>
      <c r="AF52" s="89"/>
      <c r="AG52" s="89"/>
      <c r="AH52" s="89"/>
      <c r="AI52" s="89"/>
      <c r="AJ52" s="89"/>
      <c r="AK52" s="89"/>
    </row>
    <row r="53" spans="1:37" s="138" customFormat="1" ht="12.75">
      <c r="A53" s="89"/>
      <c r="B53" s="89"/>
      <c r="H53" s="139"/>
      <c r="I53" s="161"/>
      <c r="J53" s="161"/>
      <c r="P53" s="89"/>
      <c r="Q53" s="161"/>
      <c r="R53" s="89"/>
      <c r="S53" s="89"/>
      <c r="T53" s="89"/>
      <c r="U53" s="89"/>
      <c r="V53" s="89"/>
      <c r="W53" s="89"/>
      <c r="X53" s="161"/>
      <c r="Y53" s="89"/>
      <c r="Z53" s="89"/>
      <c r="AA53" s="89"/>
      <c r="AB53" s="89"/>
      <c r="AC53" s="89"/>
      <c r="AD53" s="89"/>
      <c r="AE53" s="161"/>
      <c r="AF53" s="89"/>
      <c r="AG53" s="89"/>
      <c r="AH53" s="89"/>
      <c r="AI53" s="89"/>
      <c r="AJ53" s="89"/>
      <c r="AK53" s="89"/>
    </row>
    <row r="54" spans="1:37" s="138" customFormat="1" ht="12.75">
      <c r="A54" s="89"/>
      <c r="B54" s="89"/>
      <c r="C54" s="180"/>
      <c r="H54" s="139"/>
      <c r="I54" s="161"/>
      <c r="J54" s="161"/>
      <c r="P54" s="89"/>
      <c r="Q54" s="161"/>
      <c r="R54" s="89"/>
      <c r="S54" s="89"/>
      <c r="T54" s="89"/>
      <c r="U54" s="89"/>
      <c r="V54" s="89"/>
      <c r="W54" s="89"/>
      <c r="X54" s="161"/>
      <c r="Y54" s="89"/>
      <c r="Z54" s="89"/>
      <c r="AA54" s="89"/>
      <c r="AB54" s="89"/>
      <c r="AC54" s="89"/>
      <c r="AD54" s="89"/>
      <c r="AE54" s="161"/>
      <c r="AF54" s="89"/>
      <c r="AG54" s="89"/>
      <c r="AH54" s="89"/>
      <c r="AI54" s="89"/>
      <c r="AJ54" s="89"/>
      <c r="AK54" s="89"/>
    </row>
    <row r="55" spans="1:37" s="138" customFormat="1" ht="12.75">
      <c r="A55" s="89"/>
      <c r="B55" s="89"/>
      <c r="C55" s="180"/>
      <c r="H55" s="139"/>
      <c r="I55" s="161"/>
      <c r="J55" s="161"/>
      <c r="P55" s="89"/>
      <c r="Q55" s="161"/>
      <c r="R55" s="89"/>
      <c r="S55" s="89"/>
      <c r="T55" s="89"/>
      <c r="U55" s="89"/>
      <c r="V55" s="89"/>
      <c r="W55" s="89"/>
      <c r="X55" s="161"/>
      <c r="Y55" s="89"/>
      <c r="Z55" s="89"/>
      <c r="AA55" s="89"/>
      <c r="AB55" s="89"/>
      <c r="AC55" s="89"/>
      <c r="AD55" s="89"/>
      <c r="AE55" s="161"/>
      <c r="AF55" s="89"/>
      <c r="AG55" s="89"/>
      <c r="AH55" s="89"/>
      <c r="AI55" s="89"/>
      <c r="AJ55" s="89"/>
      <c r="AK55" s="89"/>
    </row>
    <row r="56" spans="1:37" s="138" customFormat="1" ht="12.75">
      <c r="A56" s="89"/>
      <c r="B56" s="89"/>
      <c r="C56" s="180"/>
      <c r="H56" s="139"/>
      <c r="I56" s="161"/>
      <c r="J56" s="161"/>
      <c r="P56" s="89"/>
      <c r="Q56" s="161"/>
      <c r="R56" s="89"/>
      <c r="S56" s="89"/>
      <c r="T56" s="89"/>
      <c r="U56" s="89"/>
      <c r="V56" s="89"/>
      <c r="W56" s="89"/>
      <c r="X56" s="161"/>
      <c r="Y56" s="89"/>
      <c r="Z56" s="89"/>
      <c r="AA56" s="89"/>
      <c r="AB56" s="89"/>
      <c r="AC56" s="89"/>
      <c r="AD56" s="89"/>
      <c r="AE56" s="161"/>
      <c r="AF56" s="89"/>
      <c r="AG56" s="89"/>
      <c r="AH56" s="89"/>
      <c r="AI56" s="89"/>
      <c r="AJ56" s="89"/>
      <c r="AK56" s="89"/>
    </row>
    <row r="57" spans="1:37" s="138" customFormat="1" ht="12.75">
      <c r="A57" s="89"/>
      <c r="B57" s="89"/>
      <c r="H57" s="139"/>
      <c r="I57" s="161"/>
      <c r="J57" s="161"/>
      <c r="P57" s="89"/>
      <c r="Q57" s="161"/>
      <c r="R57" s="89"/>
      <c r="S57" s="89"/>
      <c r="T57" s="89"/>
      <c r="U57" s="89"/>
      <c r="V57" s="89"/>
      <c r="W57" s="89"/>
      <c r="X57" s="161"/>
      <c r="Y57" s="89"/>
      <c r="Z57" s="89"/>
      <c r="AA57" s="89"/>
      <c r="AB57" s="89"/>
      <c r="AC57" s="89"/>
      <c r="AD57" s="89"/>
      <c r="AE57" s="161"/>
      <c r="AF57" s="89"/>
      <c r="AG57" s="89"/>
      <c r="AH57" s="89"/>
      <c r="AI57" s="89"/>
      <c r="AJ57" s="89"/>
      <c r="AK57" s="89"/>
    </row>
    <row r="58" spans="1:37" s="138" customFormat="1" ht="12.75">
      <c r="A58" s="89"/>
      <c r="B58" s="89"/>
      <c r="H58" s="139"/>
      <c r="I58" s="161"/>
      <c r="J58" s="161"/>
      <c r="P58" s="89"/>
      <c r="Q58" s="161"/>
      <c r="R58" s="89"/>
      <c r="S58" s="89"/>
      <c r="T58" s="89"/>
      <c r="U58" s="89"/>
      <c r="V58" s="89"/>
      <c r="W58" s="89"/>
      <c r="X58" s="161"/>
      <c r="Y58" s="89"/>
      <c r="Z58" s="89"/>
      <c r="AA58" s="89"/>
      <c r="AB58" s="89"/>
      <c r="AC58" s="89"/>
      <c r="AD58" s="89"/>
      <c r="AE58" s="161"/>
      <c r="AF58" s="89"/>
      <c r="AG58" s="89"/>
      <c r="AH58" s="89"/>
      <c r="AI58" s="89"/>
      <c r="AJ58" s="89"/>
      <c r="AK58" s="89"/>
    </row>
    <row r="59" spans="1:37" s="138" customFormat="1" ht="12.75">
      <c r="A59" s="89"/>
      <c r="B59" s="89"/>
      <c r="H59" s="139"/>
      <c r="I59" s="161"/>
      <c r="J59" s="161"/>
      <c r="P59" s="89"/>
      <c r="Q59" s="161"/>
      <c r="R59" s="89"/>
      <c r="S59" s="89"/>
      <c r="T59" s="89"/>
      <c r="U59" s="89"/>
      <c r="V59" s="89"/>
      <c r="W59" s="89"/>
      <c r="X59" s="161"/>
      <c r="Y59" s="89"/>
      <c r="Z59" s="89"/>
      <c r="AA59" s="89"/>
      <c r="AB59" s="89"/>
      <c r="AC59" s="89"/>
      <c r="AD59" s="89"/>
      <c r="AE59" s="161"/>
      <c r="AF59" s="89"/>
      <c r="AG59" s="89"/>
      <c r="AH59" s="89"/>
      <c r="AI59" s="89"/>
      <c r="AJ59" s="89"/>
      <c r="AK59" s="89"/>
    </row>
    <row r="60" spans="1:37" s="138" customFormat="1" ht="12.75">
      <c r="A60" s="89"/>
      <c r="B60" s="89"/>
      <c r="H60" s="139"/>
      <c r="I60" s="161"/>
      <c r="J60" s="161"/>
      <c r="P60" s="89"/>
      <c r="Q60" s="161"/>
      <c r="R60" s="89"/>
      <c r="S60" s="89"/>
      <c r="T60" s="89"/>
      <c r="U60" s="89"/>
      <c r="V60" s="89"/>
      <c r="W60" s="89"/>
      <c r="X60" s="161"/>
      <c r="Y60" s="89"/>
      <c r="Z60" s="89"/>
      <c r="AA60" s="89"/>
      <c r="AB60" s="89"/>
      <c r="AC60" s="89"/>
      <c r="AD60" s="89"/>
      <c r="AE60" s="161"/>
      <c r="AF60" s="89"/>
      <c r="AG60" s="89"/>
      <c r="AH60" s="89"/>
      <c r="AI60" s="89"/>
      <c r="AJ60" s="89"/>
      <c r="AK60" s="89"/>
    </row>
    <row r="61" spans="1:37" s="138" customFormat="1" ht="12.75">
      <c r="A61" s="89"/>
      <c r="B61" s="89"/>
      <c r="H61" s="139"/>
      <c r="I61" s="161"/>
      <c r="J61" s="161"/>
      <c r="P61" s="89"/>
      <c r="Q61" s="161"/>
      <c r="R61" s="89"/>
      <c r="S61" s="89"/>
      <c r="T61" s="89"/>
      <c r="U61" s="89"/>
      <c r="V61" s="89"/>
      <c r="W61" s="89"/>
      <c r="X61" s="161"/>
      <c r="Y61" s="89"/>
      <c r="Z61" s="89"/>
      <c r="AA61" s="89"/>
      <c r="AB61" s="89"/>
      <c r="AC61" s="89"/>
      <c r="AD61" s="89"/>
      <c r="AE61" s="161"/>
      <c r="AF61" s="89"/>
      <c r="AG61" s="89"/>
      <c r="AH61" s="89"/>
      <c r="AI61" s="89"/>
      <c r="AJ61" s="89"/>
      <c r="AK61" s="89"/>
    </row>
    <row r="62" spans="1:37" s="138" customFormat="1" ht="12.75">
      <c r="A62" s="89"/>
      <c r="B62" s="89"/>
      <c r="H62" s="139"/>
      <c r="I62" s="161"/>
      <c r="J62" s="161"/>
      <c r="P62" s="89"/>
      <c r="Q62" s="161"/>
      <c r="R62" s="89"/>
      <c r="S62" s="89"/>
      <c r="T62" s="89"/>
      <c r="U62" s="89"/>
      <c r="V62" s="89"/>
      <c r="W62" s="89"/>
      <c r="X62" s="161"/>
      <c r="Y62" s="89"/>
      <c r="Z62" s="89"/>
      <c r="AA62" s="89"/>
      <c r="AB62" s="89"/>
      <c r="AC62" s="89"/>
      <c r="AD62" s="89"/>
      <c r="AE62" s="161"/>
      <c r="AF62" s="89"/>
      <c r="AG62" s="89"/>
      <c r="AH62" s="89"/>
      <c r="AI62" s="89"/>
      <c r="AJ62" s="89"/>
      <c r="AK62" s="89"/>
    </row>
    <row r="63" spans="1:37" s="138" customFormat="1" ht="12.75">
      <c r="A63" s="89"/>
      <c r="B63" s="89"/>
      <c r="H63" s="139"/>
      <c r="I63" s="161"/>
      <c r="J63" s="161"/>
      <c r="P63" s="89"/>
      <c r="Q63" s="161"/>
      <c r="R63" s="89"/>
      <c r="S63" s="89"/>
      <c r="T63" s="89"/>
      <c r="U63" s="89"/>
      <c r="V63" s="89"/>
      <c r="W63" s="89"/>
      <c r="X63" s="161"/>
      <c r="Y63" s="89"/>
      <c r="Z63" s="89"/>
      <c r="AA63" s="89"/>
      <c r="AB63" s="89"/>
      <c r="AC63" s="89"/>
      <c r="AD63" s="89"/>
      <c r="AE63" s="161"/>
      <c r="AF63" s="89"/>
      <c r="AG63" s="89"/>
      <c r="AH63" s="89"/>
      <c r="AI63" s="89"/>
      <c r="AJ63" s="89"/>
      <c r="AK63" s="89"/>
    </row>
    <row r="64" spans="1:37" s="138" customFormat="1" ht="12.75">
      <c r="A64" s="89"/>
      <c r="B64" s="89"/>
      <c r="C64" s="180"/>
      <c r="H64" s="139"/>
      <c r="I64" s="161"/>
      <c r="J64" s="161"/>
      <c r="P64" s="89"/>
      <c r="Q64" s="161"/>
      <c r="R64" s="89"/>
      <c r="S64" s="89"/>
      <c r="T64" s="89"/>
      <c r="U64" s="89"/>
      <c r="V64" s="89"/>
      <c r="W64" s="89"/>
      <c r="X64" s="161"/>
      <c r="Y64" s="89"/>
      <c r="Z64" s="89"/>
      <c r="AA64" s="89"/>
      <c r="AB64" s="89"/>
      <c r="AC64" s="89"/>
      <c r="AD64" s="89"/>
      <c r="AE64" s="161"/>
      <c r="AF64" s="89"/>
      <c r="AG64" s="89"/>
      <c r="AH64" s="89"/>
      <c r="AI64" s="89"/>
      <c r="AJ64" s="89"/>
      <c r="AK64" s="89"/>
    </row>
    <row r="65" spans="1:37" s="138" customFormat="1" ht="12.75">
      <c r="A65" s="89"/>
      <c r="B65" s="89"/>
      <c r="H65" s="139"/>
      <c r="I65" s="161"/>
      <c r="J65" s="161"/>
      <c r="P65" s="89"/>
      <c r="Q65" s="161"/>
      <c r="R65" s="89"/>
      <c r="S65" s="89"/>
      <c r="T65" s="89"/>
      <c r="U65" s="89"/>
      <c r="V65" s="89"/>
      <c r="W65" s="89"/>
      <c r="X65" s="161"/>
      <c r="Y65" s="89"/>
      <c r="Z65" s="89"/>
      <c r="AA65" s="89"/>
      <c r="AB65" s="89"/>
      <c r="AC65" s="89"/>
      <c r="AD65" s="89"/>
      <c r="AE65" s="161"/>
      <c r="AF65" s="89"/>
      <c r="AG65" s="89"/>
      <c r="AH65" s="89"/>
      <c r="AI65" s="89"/>
      <c r="AJ65" s="89"/>
      <c r="AK65" s="89"/>
    </row>
    <row r="66" spans="1:37" s="138" customFormat="1" ht="12.75">
      <c r="A66" s="89"/>
      <c r="B66" s="89"/>
      <c r="H66" s="139"/>
      <c r="I66" s="161"/>
      <c r="J66" s="161"/>
      <c r="P66" s="89"/>
      <c r="Q66" s="161"/>
      <c r="R66" s="89"/>
      <c r="S66" s="89"/>
      <c r="T66" s="89"/>
      <c r="U66" s="89"/>
      <c r="V66" s="89"/>
      <c r="W66" s="89"/>
      <c r="X66" s="161"/>
      <c r="Y66" s="89"/>
      <c r="Z66" s="89"/>
      <c r="AA66" s="89"/>
      <c r="AB66" s="89"/>
      <c r="AC66" s="89"/>
      <c r="AD66" s="89"/>
      <c r="AE66" s="161"/>
      <c r="AF66" s="89"/>
      <c r="AG66" s="89"/>
      <c r="AH66" s="89"/>
      <c r="AI66" s="89"/>
      <c r="AJ66" s="89"/>
      <c r="AK66" s="89"/>
    </row>
    <row r="67" spans="1:37" s="138" customFormat="1" ht="12.75">
      <c r="A67" s="89"/>
      <c r="B67" s="89"/>
      <c r="H67" s="139"/>
      <c r="I67" s="161"/>
      <c r="J67" s="161"/>
      <c r="P67" s="89"/>
      <c r="Q67" s="161"/>
      <c r="R67" s="89"/>
      <c r="S67" s="89"/>
      <c r="T67" s="89"/>
      <c r="U67" s="89"/>
      <c r="V67" s="89"/>
      <c r="W67" s="89"/>
      <c r="X67" s="161"/>
      <c r="Y67" s="89"/>
      <c r="Z67" s="89"/>
      <c r="AA67" s="89"/>
      <c r="AB67" s="89"/>
      <c r="AC67" s="89"/>
      <c r="AD67" s="89"/>
      <c r="AE67" s="161"/>
      <c r="AF67" s="89"/>
      <c r="AG67" s="89"/>
      <c r="AH67" s="89"/>
      <c r="AI67" s="89"/>
      <c r="AJ67" s="89"/>
      <c r="AK67" s="89"/>
    </row>
    <row r="68" spans="1:37" s="138" customFormat="1" ht="12.75">
      <c r="A68" s="89"/>
      <c r="B68" s="89"/>
      <c r="H68" s="139"/>
      <c r="I68" s="161"/>
      <c r="J68" s="161"/>
      <c r="P68" s="89"/>
      <c r="Q68" s="161"/>
      <c r="R68" s="89"/>
      <c r="S68" s="89"/>
      <c r="T68" s="89"/>
      <c r="U68" s="89"/>
      <c r="V68" s="89"/>
      <c r="W68" s="89"/>
      <c r="X68" s="161"/>
      <c r="Y68" s="89"/>
      <c r="Z68" s="89"/>
      <c r="AA68" s="89"/>
      <c r="AB68" s="89"/>
      <c r="AC68" s="89"/>
      <c r="AD68" s="89"/>
      <c r="AE68" s="161"/>
      <c r="AF68" s="89"/>
      <c r="AG68" s="89"/>
      <c r="AH68" s="89"/>
      <c r="AI68" s="89"/>
      <c r="AJ68" s="89"/>
      <c r="AK68" s="89"/>
    </row>
    <row r="69" spans="1:37" s="138" customFormat="1" ht="12.75">
      <c r="A69" s="89"/>
      <c r="B69" s="89"/>
      <c r="H69" s="139"/>
      <c r="I69" s="161"/>
      <c r="J69" s="161"/>
      <c r="P69" s="89"/>
      <c r="Q69" s="161"/>
      <c r="R69" s="89"/>
      <c r="S69" s="89"/>
      <c r="T69" s="89"/>
      <c r="U69" s="89"/>
      <c r="V69" s="89"/>
      <c r="W69" s="89"/>
      <c r="X69" s="161"/>
      <c r="Y69" s="89"/>
      <c r="Z69" s="89"/>
      <c r="AA69" s="89"/>
      <c r="AB69" s="89"/>
      <c r="AC69" s="89"/>
      <c r="AD69" s="89"/>
      <c r="AE69" s="161"/>
      <c r="AF69" s="89"/>
      <c r="AG69" s="89"/>
      <c r="AH69" s="89"/>
      <c r="AI69" s="89"/>
      <c r="AJ69" s="89"/>
      <c r="AK69" s="89"/>
    </row>
    <row r="70" spans="1:37" s="138" customFormat="1" ht="12.75">
      <c r="A70" s="89"/>
      <c r="B70" s="89"/>
      <c r="H70" s="139"/>
      <c r="I70" s="161"/>
      <c r="J70" s="161"/>
      <c r="P70" s="89"/>
      <c r="Q70" s="161"/>
      <c r="R70" s="89"/>
      <c r="S70" s="89"/>
      <c r="T70" s="89"/>
      <c r="U70" s="89"/>
      <c r="V70" s="89"/>
      <c r="W70" s="89"/>
      <c r="X70" s="161"/>
      <c r="Y70" s="89"/>
      <c r="Z70" s="89"/>
      <c r="AA70" s="89"/>
      <c r="AB70" s="89"/>
      <c r="AC70" s="89"/>
      <c r="AD70" s="89"/>
      <c r="AE70" s="161"/>
      <c r="AF70" s="89"/>
      <c r="AG70" s="89"/>
      <c r="AH70" s="89"/>
      <c r="AI70" s="89"/>
      <c r="AJ70" s="89"/>
      <c r="AK70" s="89"/>
    </row>
  </sheetData>
  <sheetProtection/>
  <mergeCells count="33">
    <mergeCell ref="A6:A29"/>
    <mergeCell ref="J4:J5"/>
    <mergeCell ref="Q4:Q5"/>
    <mergeCell ref="X4:X5"/>
    <mergeCell ref="AE4:AE5"/>
    <mergeCell ref="AF4:AK4"/>
    <mergeCell ref="E6:E8"/>
    <mergeCell ref="C6:C29"/>
    <mergeCell ref="B6:B29"/>
    <mergeCell ref="H4:H5"/>
    <mergeCell ref="B1:G1"/>
    <mergeCell ref="B2:G2"/>
    <mergeCell ref="B3:G3"/>
    <mergeCell ref="A4:A5"/>
    <mergeCell ref="B4:B5"/>
    <mergeCell ref="C4:C5"/>
    <mergeCell ref="D4:D5"/>
    <mergeCell ref="E4:E5"/>
    <mergeCell ref="K4:P4"/>
    <mergeCell ref="R4:W4"/>
    <mergeCell ref="Y4:AD4"/>
    <mergeCell ref="F4:F5"/>
    <mergeCell ref="G4:G5"/>
    <mergeCell ref="I4:I5"/>
    <mergeCell ref="E11:E13"/>
    <mergeCell ref="F11:F13"/>
    <mergeCell ref="E24:E25"/>
    <mergeCell ref="D22:D25"/>
    <mergeCell ref="D28:D29"/>
    <mergeCell ref="D6:D13"/>
    <mergeCell ref="D16:D19"/>
    <mergeCell ref="E9:E10"/>
    <mergeCell ref="E16:E17"/>
  </mergeCells>
  <printOptions horizontalCentered="1"/>
  <pageMargins left="0.3937007874015748" right="1.1811023622047245" top="0.984251968503937" bottom="0.984251968503937" header="0.5118110236220472" footer="0.5118110236220472"/>
  <pageSetup fitToHeight="1" fitToWidth="1" horizontalDpi="600" verticalDpi="600" orientation="landscape" scale="64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89" customWidth="1"/>
    <col min="2" max="2" width="11.8515625" style="138" customWidth="1"/>
    <col min="3" max="3" width="16.140625" style="138" customWidth="1"/>
    <col min="4" max="4" width="17.28125" style="138" customWidth="1"/>
    <col min="5" max="5" width="20.28125" style="138" customWidth="1"/>
    <col min="6" max="6" width="23.00390625" style="138" customWidth="1"/>
    <col min="7" max="7" width="38.7109375" style="138" customWidth="1"/>
    <col min="8" max="8" width="11.00390625" style="139" bestFit="1" customWidth="1"/>
    <col min="9" max="9" width="7.00390625" style="161" bestFit="1" customWidth="1"/>
    <col min="10" max="10" width="1.7109375" style="161" customWidth="1"/>
    <col min="11" max="16" width="8.7109375" style="89" customWidth="1"/>
    <col min="17" max="17" width="1.7109375" style="161" customWidth="1"/>
    <col min="18" max="23" width="8.7109375" style="89" customWidth="1"/>
    <col min="24" max="24" width="1.7109375" style="161" customWidth="1"/>
    <col min="25" max="30" width="8.7109375" style="89" customWidth="1"/>
    <col min="31" max="31" width="1.7109375" style="161" customWidth="1"/>
    <col min="32" max="37" width="8.7109375" style="89" customWidth="1"/>
    <col min="38" max="16384" width="11.421875" style="89" customWidth="1"/>
  </cols>
  <sheetData>
    <row r="1" spans="2:37" s="153" customFormat="1" ht="12.75">
      <c r="B1" s="311" t="s">
        <v>134</v>
      </c>
      <c r="C1" s="311"/>
      <c r="D1" s="311"/>
      <c r="E1" s="311"/>
      <c r="F1" s="311"/>
      <c r="G1" s="311"/>
      <c r="I1" s="181"/>
      <c r="J1" s="181"/>
      <c r="K1" s="229">
        <f aca="true" t="shared" si="0" ref="K1:AK1">+K3-K2</f>
        <v>0</v>
      </c>
      <c r="L1" s="229">
        <f t="shared" si="0"/>
        <v>0</v>
      </c>
      <c r="M1" s="229">
        <f t="shared" si="0"/>
        <v>0</v>
      </c>
      <c r="N1" s="229">
        <f t="shared" si="0"/>
        <v>0</v>
      </c>
      <c r="O1" s="229">
        <f t="shared" si="0"/>
        <v>0</v>
      </c>
      <c r="P1" s="229">
        <f t="shared" si="0"/>
        <v>0</v>
      </c>
      <c r="Q1" s="228"/>
      <c r="R1" s="229">
        <f t="shared" si="0"/>
        <v>0</v>
      </c>
      <c r="S1" s="229">
        <f t="shared" si="0"/>
        <v>0</v>
      </c>
      <c r="T1" s="229">
        <f t="shared" si="0"/>
        <v>0</v>
      </c>
      <c r="U1" s="229">
        <f t="shared" si="0"/>
        <v>0</v>
      </c>
      <c r="V1" s="229">
        <f t="shared" si="0"/>
        <v>0</v>
      </c>
      <c r="W1" s="229">
        <f t="shared" si="0"/>
        <v>0</v>
      </c>
      <c r="X1" s="228"/>
      <c r="Y1" s="229">
        <f t="shared" si="0"/>
        <v>0</v>
      </c>
      <c r="Z1" s="229">
        <f t="shared" si="0"/>
        <v>0</v>
      </c>
      <c r="AA1" s="229">
        <f t="shared" si="0"/>
        <v>0</v>
      </c>
      <c r="AB1" s="229">
        <f t="shared" si="0"/>
        <v>0</v>
      </c>
      <c r="AC1" s="229">
        <f t="shared" si="0"/>
        <v>0</v>
      </c>
      <c r="AD1" s="229">
        <f t="shared" si="0"/>
        <v>0</v>
      </c>
      <c r="AE1" s="228"/>
      <c r="AF1" s="229">
        <f t="shared" si="0"/>
        <v>0</v>
      </c>
      <c r="AG1" s="229">
        <f t="shared" si="0"/>
        <v>0</v>
      </c>
      <c r="AH1" s="229">
        <f t="shared" si="0"/>
        <v>0</v>
      </c>
      <c r="AI1" s="229">
        <f t="shared" si="0"/>
        <v>0</v>
      </c>
      <c r="AJ1" s="229">
        <f t="shared" si="0"/>
        <v>0</v>
      </c>
      <c r="AK1" s="229">
        <f t="shared" si="0"/>
        <v>0</v>
      </c>
    </row>
    <row r="2" spans="2:37" s="153" customFormat="1" ht="12.75">
      <c r="B2" s="312" t="s">
        <v>137</v>
      </c>
      <c r="C2" s="312"/>
      <c r="D2" s="312"/>
      <c r="E2" s="312"/>
      <c r="F2" s="312"/>
      <c r="G2" s="312"/>
      <c r="I2" s="181"/>
      <c r="J2" s="181"/>
      <c r="K2" s="229">
        <f aca="true" t="shared" si="1" ref="K2:P2">+K10+K15+K20</f>
        <v>59.940365</v>
      </c>
      <c r="L2" s="229">
        <f t="shared" si="1"/>
        <v>0</v>
      </c>
      <c r="M2" s="229">
        <f t="shared" si="1"/>
        <v>0</v>
      </c>
      <c r="N2" s="229">
        <f t="shared" si="1"/>
        <v>0</v>
      </c>
      <c r="O2" s="229">
        <f t="shared" si="1"/>
        <v>0</v>
      </c>
      <c r="P2" s="229">
        <f t="shared" si="1"/>
        <v>59.940365</v>
      </c>
      <c r="Q2" s="228"/>
      <c r="R2" s="229">
        <f aca="true" t="shared" si="2" ref="R2:W2">+R10+R15+R20</f>
        <v>63.5367869</v>
      </c>
      <c r="S2" s="229">
        <f t="shared" si="2"/>
        <v>0</v>
      </c>
      <c r="T2" s="229">
        <f t="shared" si="2"/>
        <v>0</v>
      </c>
      <c r="U2" s="229">
        <f t="shared" si="2"/>
        <v>0</v>
      </c>
      <c r="V2" s="229">
        <f t="shared" si="2"/>
        <v>0</v>
      </c>
      <c r="W2" s="229">
        <f t="shared" si="2"/>
        <v>63.5367869</v>
      </c>
      <c r="X2" s="228"/>
      <c r="Y2" s="229">
        <f aca="true" t="shared" si="3" ref="Y2:AD2">+Y10+Y15+Y20</f>
        <v>67.348994114</v>
      </c>
      <c r="Z2" s="229">
        <f t="shared" si="3"/>
        <v>0</v>
      </c>
      <c r="AA2" s="229">
        <f t="shared" si="3"/>
        <v>0</v>
      </c>
      <c r="AB2" s="229">
        <f t="shared" si="3"/>
        <v>0</v>
      </c>
      <c r="AC2" s="229">
        <f t="shared" si="3"/>
        <v>0</v>
      </c>
      <c r="AD2" s="229">
        <f t="shared" si="3"/>
        <v>67.348994114</v>
      </c>
      <c r="AE2" s="228"/>
      <c r="AF2" s="229">
        <f aca="true" t="shared" si="4" ref="AF2:AK2">+AF10+AF15+AF20</f>
        <v>71.38993376084001</v>
      </c>
      <c r="AG2" s="229">
        <f t="shared" si="4"/>
        <v>0</v>
      </c>
      <c r="AH2" s="229">
        <f t="shared" si="4"/>
        <v>0</v>
      </c>
      <c r="AI2" s="229">
        <f t="shared" si="4"/>
        <v>0</v>
      </c>
      <c r="AJ2" s="229">
        <f t="shared" si="4"/>
        <v>0</v>
      </c>
      <c r="AK2" s="229">
        <f t="shared" si="4"/>
        <v>71.38993376084001</v>
      </c>
    </row>
    <row r="3" spans="2:37" s="153" customFormat="1" ht="12.75">
      <c r="B3" s="313" t="s">
        <v>136</v>
      </c>
      <c r="C3" s="313"/>
      <c r="D3" s="313"/>
      <c r="E3" s="313"/>
      <c r="F3" s="313"/>
      <c r="G3" s="313"/>
      <c r="I3" s="181"/>
      <c r="J3" s="181"/>
      <c r="K3" s="229">
        <f>+PROYECCIONES!D26</f>
        <v>59.940365</v>
      </c>
      <c r="L3" s="229">
        <v>0</v>
      </c>
      <c r="M3" s="229">
        <v>0</v>
      </c>
      <c r="N3" s="229">
        <v>0</v>
      </c>
      <c r="O3" s="229">
        <v>0</v>
      </c>
      <c r="P3" s="229">
        <f>SUM(K3:O3)</f>
        <v>59.940365</v>
      </c>
      <c r="Q3" s="228"/>
      <c r="R3" s="229">
        <f>+PROYECCIONES!E26</f>
        <v>63.5367869</v>
      </c>
      <c r="S3" s="229">
        <v>0</v>
      </c>
      <c r="T3" s="229">
        <v>0</v>
      </c>
      <c r="U3" s="229">
        <v>0</v>
      </c>
      <c r="V3" s="229">
        <v>0</v>
      </c>
      <c r="W3" s="229">
        <f>SUM(R3:V3)</f>
        <v>63.5367869</v>
      </c>
      <c r="X3" s="228"/>
      <c r="Y3" s="229">
        <f>+PROYECCIONES!F26</f>
        <v>67.348994114</v>
      </c>
      <c r="Z3" s="229">
        <v>0</v>
      </c>
      <c r="AA3" s="229">
        <v>0</v>
      </c>
      <c r="AB3" s="229">
        <v>0</v>
      </c>
      <c r="AC3" s="229">
        <v>0</v>
      </c>
      <c r="AD3" s="229">
        <f>SUM(Y3:AC3)</f>
        <v>67.348994114</v>
      </c>
      <c r="AE3" s="228"/>
      <c r="AF3" s="229">
        <f>+PROYECCIONES!G26</f>
        <v>71.38993376084001</v>
      </c>
      <c r="AG3" s="229">
        <v>0</v>
      </c>
      <c r="AH3" s="229">
        <v>0</v>
      </c>
      <c r="AI3" s="229">
        <v>0</v>
      </c>
      <c r="AJ3" s="229">
        <v>0</v>
      </c>
      <c r="AK3" s="229">
        <f>SUM(AF3:AJ3)</f>
        <v>71.38993376084001</v>
      </c>
    </row>
    <row r="4" spans="1:37" s="136" customFormat="1" ht="15" customHeight="1">
      <c r="A4" s="307" t="s">
        <v>35</v>
      </c>
      <c r="B4" s="307" t="s">
        <v>47</v>
      </c>
      <c r="C4" s="307" t="s">
        <v>0</v>
      </c>
      <c r="D4" s="307" t="s">
        <v>2</v>
      </c>
      <c r="E4" s="307" t="s">
        <v>39</v>
      </c>
      <c r="F4" s="307" t="s">
        <v>37</v>
      </c>
      <c r="G4" s="315" t="s">
        <v>10</v>
      </c>
      <c r="H4" s="307" t="s">
        <v>45</v>
      </c>
      <c r="I4" s="309" t="s">
        <v>266</v>
      </c>
      <c r="J4" s="299"/>
      <c r="K4" s="369">
        <v>2012</v>
      </c>
      <c r="L4" s="370"/>
      <c r="M4" s="370"/>
      <c r="N4" s="370"/>
      <c r="O4" s="370"/>
      <c r="P4" s="371"/>
      <c r="Q4" s="299"/>
      <c r="R4" s="369">
        <v>2013</v>
      </c>
      <c r="S4" s="370"/>
      <c r="T4" s="370"/>
      <c r="U4" s="370"/>
      <c r="V4" s="370"/>
      <c r="W4" s="371"/>
      <c r="X4" s="299"/>
      <c r="Y4" s="369">
        <v>2014</v>
      </c>
      <c r="Z4" s="370"/>
      <c r="AA4" s="370"/>
      <c r="AB4" s="370"/>
      <c r="AC4" s="370"/>
      <c r="AD4" s="371"/>
      <c r="AE4" s="299"/>
      <c r="AF4" s="369">
        <v>2015</v>
      </c>
      <c r="AG4" s="370"/>
      <c r="AH4" s="370"/>
      <c r="AI4" s="370"/>
      <c r="AJ4" s="370"/>
      <c r="AK4" s="371"/>
    </row>
    <row r="5" spans="1:37" s="136" customFormat="1" ht="12.75">
      <c r="A5" s="308"/>
      <c r="B5" s="308"/>
      <c r="C5" s="308"/>
      <c r="D5" s="308"/>
      <c r="E5" s="314"/>
      <c r="F5" s="314"/>
      <c r="G5" s="316"/>
      <c r="H5" s="308"/>
      <c r="I5" s="310"/>
      <c r="J5" s="300"/>
      <c r="K5" s="28" t="s">
        <v>40</v>
      </c>
      <c r="L5" s="29" t="s">
        <v>41</v>
      </c>
      <c r="M5" s="28" t="s">
        <v>42</v>
      </c>
      <c r="N5" s="28" t="s">
        <v>43</v>
      </c>
      <c r="O5" s="28" t="s">
        <v>1</v>
      </c>
      <c r="P5" s="28" t="s">
        <v>44</v>
      </c>
      <c r="Q5" s="300"/>
      <c r="R5" s="28" t="s">
        <v>40</v>
      </c>
      <c r="S5" s="29" t="s">
        <v>41</v>
      </c>
      <c r="T5" s="28" t="s">
        <v>42</v>
      </c>
      <c r="U5" s="28" t="s">
        <v>43</v>
      </c>
      <c r="V5" s="28" t="s">
        <v>1</v>
      </c>
      <c r="W5" s="28" t="s">
        <v>44</v>
      </c>
      <c r="X5" s="300"/>
      <c r="Y5" s="28" t="s">
        <v>40</v>
      </c>
      <c r="Z5" s="29" t="s">
        <v>41</v>
      </c>
      <c r="AA5" s="28" t="s">
        <v>42</v>
      </c>
      <c r="AB5" s="28" t="s">
        <v>43</v>
      </c>
      <c r="AC5" s="28" t="s">
        <v>1</v>
      </c>
      <c r="AD5" s="28" t="s">
        <v>44</v>
      </c>
      <c r="AE5" s="300"/>
      <c r="AF5" s="28" t="s">
        <v>40</v>
      </c>
      <c r="AG5" s="29" t="s">
        <v>41</v>
      </c>
      <c r="AH5" s="28" t="s">
        <v>42</v>
      </c>
      <c r="AI5" s="28" t="s">
        <v>43</v>
      </c>
      <c r="AJ5" s="28" t="s">
        <v>1</v>
      </c>
      <c r="AK5" s="28" t="s">
        <v>44</v>
      </c>
    </row>
    <row r="6" spans="1:37" ht="31.5" customHeight="1">
      <c r="A6" s="363" t="s">
        <v>56</v>
      </c>
      <c r="B6" s="363" t="s">
        <v>76</v>
      </c>
      <c r="C6" s="375" t="s">
        <v>75</v>
      </c>
      <c r="D6" s="372" t="s">
        <v>23</v>
      </c>
      <c r="E6" s="346" t="s">
        <v>470</v>
      </c>
      <c r="F6" s="20" t="s">
        <v>460</v>
      </c>
      <c r="G6" s="20" t="s">
        <v>468</v>
      </c>
      <c r="H6" s="31">
        <f>+P6+W6+AD6+AK6</f>
        <v>49.44619770496801</v>
      </c>
      <c r="I6" s="121"/>
      <c r="J6" s="192"/>
      <c r="K6" s="30">
        <f>+K3*0.15</f>
        <v>8.99105475</v>
      </c>
      <c r="L6" s="30"/>
      <c r="M6" s="30"/>
      <c r="N6" s="30"/>
      <c r="O6" s="30"/>
      <c r="P6" s="30">
        <f>SUM(K6:O6)</f>
        <v>8.99105475</v>
      </c>
      <c r="Q6" s="192"/>
      <c r="R6" s="30">
        <f>+R3*0.2</f>
        <v>12.707357380000001</v>
      </c>
      <c r="S6" s="30"/>
      <c r="T6" s="30"/>
      <c r="U6" s="30"/>
      <c r="V6" s="30"/>
      <c r="W6" s="30">
        <f>SUM(R6:V6)</f>
        <v>12.707357380000001</v>
      </c>
      <c r="X6" s="192"/>
      <c r="Y6" s="30">
        <f>+Y3*0.2</f>
        <v>13.469798822800001</v>
      </c>
      <c r="Z6" s="30"/>
      <c r="AA6" s="30"/>
      <c r="AB6" s="30"/>
      <c r="AC6" s="30"/>
      <c r="AD6" s="30">
        <f>SUM(Y6:AC6)</f>
        <v>13.469798822800001</v>
      </c>
      <c r="AE6" s="192"/>
      <c r="AF6" s="30">
        <f>+AF3*0.2</f>
        <v>14.277986752168003</v>
      </c>
      <c r="AG6" s="30"/>
      <c r="AH6" s="30"/>
      <c r="AI6" s="30"/>
      <c r="AJ6" s="30"/>
      <c r="AK6" s="30">
        <f>SUM(AF6:AJ6)</f>
        <v>14.277986752168003</v>
      </c>
    </row>
    <row r="7" spans="1:37" ht="29.25" customHeight="1">
      <c r="A7" s="303"/>
      <c r="B7" s="303"/>
      <c r="C7" s="322"/>
      <c r="D7" s="373"/>
      <c r="E7" s="346"/>
      <c r="F7" s="20" t="s">
        <v>471</v>
      </c>
      <c r="G7" s="20" t="s">
        <v>464</v>
      </c>
      <c r="H7" s="31">
        <f>+P7+W7+AD7+AK7</f>
        <v>5.9940365</v>
      </c>
      <c r="I7" s="122"/>
      <c r="J7" s="192"/>
      <c r="K7" s="30">
        <f>+K3*0.1</f>
        <v>5.9940365</v>
      </c>
      <c r="L7" s="30"/>
      <c r="M7" s="30"/>
      <c r="N7" s="30"/>
      <c r="O7" s="30"/>
      <c r="P7" s="30">
        <f>SUM(K7:O7)</f>
        <v>5.9940365</v>
      </c>
      <c r="Q7" s="192"/>
      <c r="R7" s="30">
        <v>0</v>
      </c>
      <c r="S7" s="30"/>
      <c r="T7" s="30"/>
      <c r="U7" s="30"/>
      <c r="V7" s="30"/>
      <c r="W7" s="30">
        <f>SUM(R7:V7)</f>
        <v>0</v>
      </c>
      <c r="X7" s="192"/>
      <c r="Y7" s="30">
        <v>0</v>
      </c>
      <c r="Z7" s="30"/>
      <c r="AA7" s="30"/>
      <c r="AB7" s="30"/>
      <c r="AC7" s="30"/>
      <c r="AD7" s="30">
        <f>SUM(Y7:AC7)</f>
        <v>0</v>
      </c>
      <c r="AE7" s="192"/>
      <c r="AF7" s="30">
        <v>0</v>
      </c>
      <c r="AG7" s="30"/>
      <c r="AH7" s="30"/>
      <c r="AI7" s="30"/>
      <c r="AJ7" s="30"/>
      <c r="AK7" s="30">
        <f>SUM(AF7:AJ7)</f>
        <v>0</v>
      </c>
    </row>
    <row r="8" spans="1:37" ht="29.25" customHeight="1">
      <c r="A8" s="303"/>
      <c r="B8" s="303"/>
      <c r="C8" s="322"/>
      <c r="D8" s="373"/>
      <c r="E8" s="20" t="s">
        <v>472</v>
      </c>
      <c r="F8" s="20" t="s">
        <v>461</v>
      </c>
      <c r="G8" s="20" t="s">
        <v>456</v>
      </c>
      <c r="H8" s="31">
        <f>+P8+W8+AD8+AK8</f>
        <v>3.3674497057000004</v>
      </c>
      <c r="I8" s="122"/>
      <c r="J8" s="192"/>
      <c r="K8" s="30">
        <v>0</v>
      </c>
      <c r="L8" s="30"/>
      <c r="M8" s="30"/>
      <c r="N8" s="30"/>
      <c r="O8" s="30"/>
      <c r="P8" s="30">
        <f>SUM(K8:O8)</f>
        <v>0</v>
      </c>
      <c r="Q8" s="192"/>
      <c r="R8" s="30">
        <v>0</v>
      </c>
      <c r="S8" s="30"/>
      <c r="T8" s="30"/>
      <c r="U8" s="30"/>
      <c r="V8" s="30"/>
      <c r="W8" s="30">
        <f>SUM(R8:V8)</f>
        <v>0</v>
      </c>
      <c r="X8" s="192"/>
      <c r="Y8" s="30">
        <f>+Y3*0.05</f>
        <v>3.3674497057000004</v>
      </c>
      <c r="Z8" s="30"/>
      <c r="AA8" s="30"/>
      <c r="AB8" s="30"/>
      <c r="AC8" s="30"/>
      <c r="AD8" s="30">
        <f>SUM(Y8:AC8)</f>
        <v>3.3674497057000004</v>
      </c>
      <c r="AE8" s="192"/>
      <c r="AF8" s="30">
        <v>0</v>
      </c>
      <c r="AG8" s="30"/>
      <c r="AH8" s="30"/>
      <c r="AI8" s="30"/>
      <c r="AJ8" s="30"/>
      <c r="AK8" s="30">
        <f>SUM(AF8:AJ8)</f>
        <v>0</v>
      </c>
    </row>
    <row r="9" spans="1:37" ht="35.25" customHeight="1">
      <c r="A9" s="303"/>
      <c r="B9" s="303"/>
      <c r="C9" s="322"/>
      <c r="D9" s="374"/>
      <c r="E9" s="20" t="s">
        <v>473</v>
      </c>
      <c r="F9" s="20" t="s">
        <v>462</v>
      </c>
      <c r="G9" s="20" t="s">
        <v>455</v>
      </c>
      <c r="H9" s="31">
        <f>+P9+W9+AD9+AK9</f>
        <v>6.746336033042001</v>
      </c>
      <c r="I9" s="123"/>
      <c r="J9" s="192"/>
      <c r="K9" s="30">
        <v>0</v>
      </c>
      <c r="L9" s="30"/>
      <c r="M9" s="30"/>
      <c r="N9" s="30"/>
      <c r="O9" s="30"/>
      <c r="P9" s="30">
        <f>SUM(K9:O9)</f>
        <v>0</v>
      </c>
      <c r="Q9" s="192"/>
      <c r="R9" s="30">
        <f>+R3*0.05</f>
        <v>3.1768393450000003</v>
      </c>
      <c r="S9" s="30"/>
      <c r="T9" s="30"/>
      <c r="U9" s="30"/>
      <c r="V9" s="30"/>
      <c r="W9" s="30">
        <f>SUM(R9:V9)</f>
        <v>3.1768393450000003</v>
      </c>
      <c r="X9" s="192"/>
      <c r="Y9" s="30">
        <v>0</v>
      </c>
      <c r="Z9" s="30"/>
      <c r="AA9" s="30"/>
      <c r="AB9" s="30"/>
      <c r="AC9" s="30"/>
      <c r="AD9" s="30">
        <f>SUM(Y9:AC9)</f>
        <v>0</v>
      </c>
      <c r="AE9" s="192"/>
      <c r="AF9" s="30">
        <f>+AF3*0.05</f>
        <v>3.5694966880420007</v>
      </c>
      <c r="AG9" s="30"/>
      <c r="AH9" s="30"/>
      <c r="AI9" s="30"/>
      <c r="AJ9" s="30"/>
      <c r="AK9" s="30">
        <f>SUM(AF9:AJ9)</f>
        <v>3.5694966880420007</v>
      </c>
    </row>
    <row r="10" spans="1:37" ht="12.75">
      <c r="A10" s="303"/>
      <c r="B10" s="303"/>
      <c r="C10" s="322"/>
      <c r="G10" s="200" t="s">
        <v>235</v>
      </c>
      <c r="H10" s="177">
        <f>SUM(H6:H9)</f>
        <v>65.55401994371</v>
      </c>
      <c r="I10" s="178">
        <f>+H10/H22</f>
        <v>0.25</v>
      </c>
      <c r="J10" s="179"/>
      <c r="K10" s="177">
        <f aca="true" t="shared" si="5" ref="K10:AK10">SUM(K6:K9)</f>
        <v>14.98509125</v>
      </c>
      <c r="L10" s="177">
        <f t="shared" si="5"/>
        <v>0</v>
      </c>
      <c r="M10" s="177">
        <f t="shared" si="5"/>
        <v>0</v>
      </c>
      <c r="N10" s="177">
        <f t="shared" si="5"/>
        <v>0</v>
      </c>
      <c r="O10" s="177">
        <f t="shared" si="5"/>
        <v>0</v>
      </c>
      <c r="P10" s="177">
        <f t="shared" si="5"/>
        <v>14.98509125</v>
      </c>
      <c r="Q10" s="179"/>
      <c r="R10" s="177">
        <f t="shared" si="5"/>
        <v>15.884196725000002</v>
      </c>
      <c r="S10" s="177">
        <f t="shared" si="5"/>
        <v>0</v>
      </c>
      <c r="T10" s="177">
        <f t="shared" si="5"/>
        <v>0</v>
      </c>
      <c r="U10" s="177">
        <f t="shared" si="5"/>
        <v>0</v>
      </c>
      <c r="V10" s="177">
        <f t="shared" si="5"/>
        <v>0</v>
      </c>
      <c r="W10" s="177">
        <f t="shared" si="5"/>
        <v>15.884196725000002</v>
      </c>
      <c r="X10" s="179"/>
      <c r="Y10" s="177">
        <f t="shared" si="5"/>
        <v>16.8372485285</v>
      </c>
      <c r="Z10" s="177">
        <f t="shared" si="5"/>
        <v>0</v>
      </c>
      <c r="AA10" s="177">
        <f t="shared" si="5"/>
        <v>0</v>
      </c>
      <c r="AB10" s="177">
        <f t="shared" si="5"/>
        <v>0</v>
      </c>
      <c r="AC10" s="177">
        <f t="shared" si="5"/>
        <v>0</v>
      </c>
      <c r="AD10" s="177">
        <f t="shared" si="5"/>
        <v>16.8372485285</v>
      </c>
      <c r="AE10" s="179"/>
      <c r="AF10" s="177">
        <f t="shared" si="5"/>
        <v>17.847483440210002</v>
      </c>
      <c r="AG10" s="177">
        <f t="shared" si="5"/>
        <v>0</v>
      </c>
      <c r="AH10" s="177">
        <f t="shared" si="5"/>
        <v>0</v>
      </c>
      <c r="AI10" s="177">
        <f t="shared" si="5"/>
        <v>0</v>
      </c>
      <c r="AJ10" s="177">
        <f t="shared" si="5"/>
        <v>0</v>
      </c>
      <c r="AK10" s="177">
        <f t="shared" si="5"/>
        <v>17.847483440210002</v>
      </c>
    </row>
    <row r="11" spans="1:3" ht="4.5" customHeight="1">
      <c r="A11" s="303"/>
      <c r="B11" s="303"/>
      <c r="C11" s="322"/>
    </row>
    <row r="12" spans="1:37" ht="38.25">
      <c r="A12" s="303"/>
      <c r="B12" s="303"/>
      <c r="C12" s="322"/>
      <c r="D12" s="366" t="s">
        <v>24</v>
      </c>
      <c r="E12" s="20" t="s">
        <v>474</v>
      </c>
      <c r="F12" s="20" t="s">
        <v>475</v>
      </c>
      <c r="G12" s="20" t="s">
        <v>463</v>
      </c>
      <c r="H12" s="31">
        <f>+P12+W12+AD12+AK12</f>
        <v>52.44321595496801</v>
      </c>
      <c r="I12" s="121"/>
      <c r="J12" s="192"/>
      <c r="K12" s="30">
        <f>+K3*0.2</f>
        <v>11.988073</v>
      </c>
      <c r="L12" s="30"/>
      <c r="M12" s="30"/>
      <c r="N12" s="30"/>
      <c r="O12" s="30"/>
      <c r="P12" s="30">
        <f>SUM(K12:O12)</f>
        <v>11.988073</v>
      </c>
      <c r="Q12" s="192"/>
      <c r="R12" s="30">
        <f>+R3*0.2</f>
        <v>12.707357380000001</v>
      </c>
      <c r="S12" s="30"/>
      <c r="T12" s="30"/>
      <c r="U12" s="30"/>
      <c r="V12" s="30"/>
      <c r="W12" s="30">
        <f>SUM(R12:V12)</f>
        <v>12.707357380000001</v>
      </c>
      <c r="X12" s="192"/>
      <c r="Y12" s="30">
        <f>+Y3*0.2</f>
        <v>13.469798822800001</v>
      </c>
      <c r="Z12" s="30"/>
      <c r="AA12" s="30"/>
      <c r="AB12" s="30"/>
      <c r="AC12" s="30"/>
      <c r="AD12" s="30">
        <f>SUM(Y12:AC12)</f>
        <v>13.469798822800001</v>
      </c>
      <c r="AE12" s="192"/>
      <c r="AF12" s="30">
        <f>+AF3*0.2</f>
        <v>14.277986752168003</v>
      </c>
      <c r="AG12" s="30"/>
      <c r="AH12" s="30"/>
      <c r="AI12" s="30"/>
      <c r="AJ12" s="30"/>
      <c r="AK12" s="30">
        <f>SUM(AF12:AJ12)</f>
        <v>14.277986752168003</v>
      </c>
    </row>
    <row r="13" spans="1:37" ht="38.25">
      <c r="A13" s="303"/>
      <c r="B13" s="303"/>
      <c r="C13" s="322"/>
      <c r="D13" s="367"/>
      <c r="E13" s="20" t="s">
        <v>476</v>
      </c>
      <c r="F13" s="20" t="s">
        <v>477</v>
      </c>
      <c r="G13" s="20" t="s">
        <v>478</v>
      </c>
      <c r="H13" s="31">
        <f>+P13+W13+AD13+AK13</f>
        <v>23.224589727484002</v>
      </c>
      <c r="I13" s="122"/>
      <c r="J13" s="192"/>
      <c r="K13" s="30">
        <f>+K3*0.05</f>
        <v>2.99701825</v>
      </c>
      <c r="L13" s="30"/>
      <c r="M13" s="30"/>
      <c r="N13" s="30"/>
      <c r="O13" s="30"/>
      <c r="P13" s="30">
        <f>SUM(K13:O13)</f>
        <v>2.99701825</v>
      </c>
      <c r="Q13" s="192"/>
      <c r="R13" s="30">
        <f>+R3*0.1</f>
        <v>6.353678690000001</v>
      </c>
      <c r="S13" s="30"/>
      <c r="T13" s="30"/>
      <c r="U13" s="30"/>
      <c r="V13" s="30"/>
      <c r="W13" s="30">
        <f>SUM(R13:V13)</f>
        <v>6.353678690000001</v>
      </c>
      <c r="X13" s="192"/>
      <c r="Y13" s="30">
        <f>+Y3*0.1</f>
        <v>6.734899411400001</v>
      </c>
      <c r="Z13" s="30"/>
      <c r="AA13" s="30"/>
      <c r="AB13" s="30"/>
      <c r="AC13" s="30"/>
      <c r="AD13" s="30">
        <f>SUM(Y13:AC13)</f>
        <v>6.734899411400001</v>
      </c>
      <c r="AE13" s="192"/>
      <c r="AF13" s="30">
        <f>+AF3*0.1</f>
        <v>7.138993376084001</v>
      </c>
      <c r="AG13" s="30"/>
      <c r="AH13" s="30"/>
      <c r="AI13" s="30"/>
      <c r="AJ13" s="30"/>
      <c r="AK13" s="30">
        <f>SUM(AF13:AJ13)</f>
        <v>7.138993376084001</v>
      </c>
    </row>
    <row r="14" spans="1:37" ht="63.75">
      <c r="A14" s="303"/>
      <c r="B14" s="303"/>
      <c r="C14" s="322"/>
      <c r="D14" s="368"/>
      <c r="E14" s="20" t="s">
        <v>479</v>
      </c>
      <c r="F14" s="20" t="s">
        <v>469</v>
      </c>
      <c r="G14" s="20" t="s">
        <v>632</v>
      </c>
      <c r="H14" s="31">
        <f>+P14+W14+AD14+AK14</f>
        <v>52.44321595496801</v>
      </c>
      <c r="I14" s="123"/>
      <c r="J14" s="192"/>
      <c r="K14" s="30">
        <f>+K3*0.2</f>
        <v>11.988073</v>
      </c>
      <c r="L14" s="30"/>
      <c r="M14" s="30"/>
      <c r="N14" s="30"/>
      <c r="O14" s="30"/>
      <c r="P14" s="30">
        <f>SUM(K14:O14)</f>
        <v>11.988073</v>
      </c>
      <c r="Q14" s="192"/>
      <c r="R14" s="30">
        <f>+R3*0.2</f>
        <v>12.707357380000001</v>
      </c>
      <c r="S14" s="30"/>
      <c r="T14" s="30"/>
      <c r="U14" s="30"/>
      <c r="V14" s="30"/>
      <c r="W14" s="30">
        <f>SUM(R14:V14)</f>
        <v>12.707357380000001</v>
      </c>
      <c r="X14" s="192"/>
      <c r="Y14" s="30">
        <f>+Y3*0.2</f>
        <v>13.469798822800001</v>
      </c>
      <c r="Z14" s="30"/>
      <c r="AA14" s="30"/>
      <c r="AB14" s="30"/>
      <c r="AC14" s="30"/>
      <c r="AD14" s="30">
        <f>SUM(Y14:AC14)</f>
        <v>13.469798822800001</v>
      </c>
      <c r="AE14" s="192"/>
      <c r="AF14" s="30">
        <f>+AF3*0.2</f>
        <v>14.277986752168003</v>
      </c>
      <c r="AG14" s="30"/>
      <c r="AH14" s="30"/>
      <c r="AI14" s="30"/>
      <c r="AJ14" s="30"/>
      <c r="AK14" s="30">
        <f>SUM(AF14:AJ14)</f>
        <v>14.277986752168003</v>
      </c>
    </row>
    <row r="15" spans="1:37" ht="12.75">
      <c r="A15" s="303"/>
      <c r="B15" s="303"/>
      <c r="C15" s="322"/>
      <c r="G15" s="200" t="s">
        <v>235</v>
      </c>
      <c r="H15" s="177">
        <f>SUM(H11:H14)</f>
        <v>128.11102163742004</v>
      </c>
      <c r="I15" s="178">
        <f>+H15/H22</f>
        <v>0.48857042538133644</v>
      </c>
      <c r="J15" s="179"/>
      <c r="K15" s="177">
        <f aca="true" t="shared" si="6" ref="K15:P15">SUM(K11:K14)</f>
        <v>26.97316425</v>
      </c>
      <c r="L15" s="177">
        <f t="shared" si="6"/>
        <v>0</v>
      </c>
      <c r="M15" s="177">
        <f t="shared" si="6"/>
        <v>0</v>
      </c>
      <c r="N15" s="177">
        <f t="shared" si="6"/>
        <v>0</v>
      </c>
      <c r="O15" s="177">
        <f t="shared" si="6"/>
        <v>0</v>
      </c>
      <c r="P15" s="177">
        <f t="shared" si="6"/>
        <v>26.97316425</v>
      </c>
      <c r="Q15" s="179"/>
      <c r="R15" s="177">
        <f aca="true" t="shared" si="7" ref="R15:W15">SUM(R11:R14)</f>
        <v>31.76839345</v>
      </c>
      <c r="S15" s="177">
        <f t="shared" si="7"/>
        <v>0</v>
      </c>
      <c r="T15" s="177">
        <f t="shared" si="7"/>
        <v>0</v>
      </c>
      <c r="U15" s="177">
        <f t="shared" si="7"/>
        <v>0</v>
      </c>
      <c r="V15" s="177">
        <f t="shared" si="7"/>
        <v>0</v>
      </c>
      <c r="W15" s="177">
        <f t="shared" si="7"/>
        <v>31.76839345</v>
      </c>
      <c r="X15" s="179"/>
      <c r="Y15" s="177">
        <f aca="true" t="shared" si="8" ref="Y15:AD15">SUM(Y11:Y14)</f>
        <v>33.674497057</v>
      </c>
      <c r="Z15" s="177">
        <f t="shared" si="8"/>
        <v>0</v>
      </c>
      <c r="AA15" s="177">
        <f t="shared" si="8"/>
        <v>0</v>
      </c>
      <c r="AB15" s="177">
        <f t="shared" si="8"/>
        <v>0</v>
      </c>
      <c r="AC15" s="177">
        <f t="shared" si="8"/>
        <v>0</v>
      </c>
      <c r="AD15" s="177">
        <f t="shared" si="8"/>
        <v>33.674497057</v>
      </c>
      <c r="AE15" s="179"/>
      <c r="AF15" s="177">
        <f aca="true" t="shared" si="9" ref="AF15:AK15">SUM(AF11:AF14)</f>
        <v>35.694966880420004</v>
      </c>
      <c r="AG15" s="177">
        <f t="shared" si="9"/>
        <v>0</v>
      </c>
      <c r="AH15" s="177">
        <f t="shared" si="9"/>
        <v>0</v>
      </c>
      <c r="AI15" s="177">
        <f t="shared" si="9"/>
        <v>0</v>
      </c>
      <c r="AJ15" s="177">
        <f t="shared" si="9"/>
        <v>0</v>
      </c>
      <c r="AK15" s="177">
        <f t="shared" si="9"/>
        <v>35.694966880420004</v>
      </c>
    </row>
    <row r="16" spans="1:3" ht="4.5" customHeight="1">
      <c r="A16" s="303"/>
      <c r="B16" s="303"/>
      <c r="C16" s="322"/>
    </row>
    <row r="17" spans="1:37" ht="38.25">
      <c r="A17" s="303"/>
      <c r="B17" s="303"/>
      <c r="C17" s="322"/>
      <c r="D17" s="364" t="s">
        <v>465</v>
      </c>
      <c r="E17" s="20" t="s">
        <v>466</v>
      </c>
      <c r="F17" s="20" t="s">
        <v>459</v>
      </c>
      <c r="G17" s="20" t="s">
        <v>457</v>
      </c>
      <c r="H17" s="31">
        <f>+P17+W17+AD17+AK17</f>
        <v>0</v>
      </c>
      <c r="I17" s="121"/>
      <c r="J17" s="192"/>
      <c r="K17" s="30">
        <v>0</v>
      </c>
      <c r="L17" s="30"/>
      <c r="M17" s="30"/>
      <c r="N17" s="30"/>
      <c r="O17" s="30"/>
      <c r="P17" s="30">
        <f>SUM(K17:O17)</f>
        <v>0</v>
      </c>
      <c r="Q17" s="192"/>
      <c r="R17" s="30">
        <v>0</v>
      </c>
      <c r="S17" s="30"/>
      <c r="T17" s="30"/>
      <c r="U17" s="30"/>
      <c r="V17" s="30"/>
      <c r="W17" s="30">
        <f>SUM(R17:V17)</f>
        <v>0</v>
      </c>
      <c r="X17" s="192"/>
      <c r="Y17" s="30">
        <v>0</v>
      </c>
      <c r="Z17" s="30"/>
      <c r="AA17" s="30"/>
      <c r="AB17" s="30"/>
      <c r="AC17" s="30"/>
      <c r="AD17" s="30">
        <f>SUM(Y17:AC17)</f>
        <v>0</v>
      </c>
      <c r="AE17" s="192"/>
      <c r="AF17" s="30">
        <v>0</v>
      </c>
      <c r="AG17" s="30"/>
      <c r="AH17" s="30"/>
      <c r="AI17" s="30"/>
      <c r="AJ17" s="30"/>
      <c r="AK17" s="30">
        <f>SUM(AF17:AJ17)</f>
        <v>0</v>
      </c>
    </row>
    <row r="18" spans="1:37" ht="25.5">
      <c r="A18" s="303"/>
      <c r="B18" s="303"/>
      <c r="C18" s="322"/>
      <c r="D18" s="365"/>
      <c r="E18" s="20" t="s">
        <v>467</v>
      </c>
      <c r="F18" s="20" t="s">
        <v>458</v>
      </c>
      <c r="G18" s="20" t="s">
        <v>123</v>
      </c>
      <c r="H18" s="31">
        <f>+P18+W18+AD18+AK18</f>
        <v>65.55401994371</v>
      </c>
      <c r="I18" s="122"/>
      <c r="J18" s="192"/>
      <c r="K18" s="30">
        <f>+K3*0.25</f>
        <v>14.98509125</v>
      </c>
      <c r="L18" s="30"/>
      <c r="M18" s="30"/>
      <c r="N18" s="30"/>
      <c r="O18" s="30"/>
      <c r="P18" s="30">
        <f>SUM(K18:O18)</f>
        <v>14.98509125</v>
      </c>
      <c r="Q18" s="192"/>
      <c r="R18" s="30">
        <f>+R3*0.25</f>
        <v>15.884196725</v>
      </c>
      <c r="S18" s="30"/>
      <c r="T18" s="30"/>
      <c r="U18" s="30"/>
      <c r="V18" s="30"/>
      <c r="W18" s="30">
        <f>SUM(R18:V18)</f>
        <v>15.884196725</v>
      </c>
      <c r="X18" s="192"/>
      <c r="Y18" s="30">
        <f>+Y3*0.25</f>
        <v>16.8372485285</v>
      </c>
      <c r="Z18" s="30"/>
      <c r="AA18" s="30"/>
      <c r="AB18" s="30"/>
      <c r="AC18" s="30"/>
      <c r="AD18" s="30">
        <f>SUM(Y18:AC18)</f>
        <v>16.8372485285</v>
      </c>
      <c r="AE18" s="192"/>
      <c r="AF18" s="30">
        <f>+AF3*0.25</f>
        <v>17.847483440210002</v>
      </c>
      <c r="AG18" s="30"/>
      <c r="AH18" s="30"/>
      <c r="AI18" s="30"/>
      <c r="AJ18" s="30"/>
      <c r="AK18" s="30">
        <f>SUM(AF18:AJ18)</f>
        <v>17.847483440210002</v>
      </c>
    </row>
    <row r="19" spans="1:37" ht="51">
      <c r="A19" s="303"/>
      <c r="B19" s="303"/>
      <c r="C19" s="322"/>
      <c r="D19" s="365"/>
      <c r="E19" s="20" t="s">
        <v>480</v>
      </c>
      <c r="F19" s="20" t="s">
        <v>481</v>
      </c>
      <c r="G19" s="20" t="s">
        <v>482</v>
      </c>
      <c r="H19" s="31">
        <f>+P19+W19+AD19+AK19</f>
        <v>2.99701825</v>
      </c>
      <c r="I19" s="123"/>
      <c r="J19" s="192"/>
      <c r="K19" s="30">
        <f>+K3*0.05</f>
        <v>2.99701825</v>
      </c>
      <c r="L19" s="30"/>
      <c r="M19" s="30"/>
      <c r="N19" s="30"/>
      <c r="O19" s="30"/>
      <c r="P19" s="30">
        <f>SUM(K19:O19)</f>
        <v>2.99701825</v>
      </c>
      <c r="Q19" s="192"/>
      <c r="R19" s="30">
        <v>0</v>
      </c>
      <c r="S19" s="30"/>
      <c r="T19" s="30"/>
      <c r="U19" s="30"/>
      <c r="V19" s="30"/>
      <c r="W19" s="30">
        <f>SUM(R19:V19)</f>
        <v>0</v>
      </c>
      <c r="X19" s="192"/>
      <c r="Y19" s="30">
        <v>0</v>
      </c>
      <c r="Z19" s="30"/>
      <c r="AA19" s="30"/>
      <c r="AB19" s="30"/>
      <c r="AC19" s="30"/>
      <c r="AD19" s="30">
        <f>SUM(Y19:AC19)</f>
        <v>0</v>
      </c>
      <c r="AE19" s="192"/>
      <c r="AF19" s="30">
        <v>0</v>
      </c>
      <c r="AG19" s="30"/>
      <c r="AH19" s="30"/>
      <c r="AI19" s="30"/>
      <c r="AJ19" s="30"/>
      <c r="AK19" s="30">
        <f>SUM(AF19:AJ19)</f>
        <v>0</v>
      </c>
    </row>
    <row r="20" spans="7:37" ht="12.75">
      <c r="G20" s="200" t="s">
        <v>235</v>
      </c>
      <c r="H20" s="177">
        <f>SUM(H17:H19)</f>
        <v>68.55103819371</v>
      </c>
      <c r="I20" s="178">
        <f>+H20/H22</f>
        <v>0.2614295746186637</v>
      </c>
      <c r="J20" s="179"/>
      <c r="K20" s="177">
        <f aca="true" t="shared" si="10" ref="K20:P20">SUM(K17:K19)</f>
        <v>17.9821095</v>
      </c>
      <c r="L20" s="177">
        <f t="shared" si="10"/>
        <v>0</v>
      </c>
      <c r="M20" s="177">
        <f t="shared" si="10"/>
        <v>0</v>
      </c>
      <c r="N20" s="177">
        <f t="shared" si="10"/>
        <v>0</v>
      </c>
      <c r="O20" s="177">
        <f t="shared" si="10"/>
        <v>0</v>
      </c>
      <c r="P20" s="177">
        <f t="shared" si="10"/>
        <v>17.9821095</v>
      </c>
      <c r="Q20" s="179"/>
      <c r="R20" s="177">
        <f aca="true" t="shared" si="11" ref="R20:W20">SUM(R17:R19)</f>
        <v>15.884196725</v>
      </c>
      <c r="S20" s="177">
        <f t="shared" si="11"/>
        <v>0</v>
      </c>
      <c r="T20" s="177">
        <f t="shared" si="11"/>
        <v>0</v>
      </c>
      <c r="U20" s="177">
        <f t="shared" si="11"/>
        <v>0</v>
      </c>
      <c r="V20" s="177">
        <f t="shared" si="11"/>
        <v>0</v>
      </c>
      <c r="W20" s="177">
        <f t="shared" si="11"/>
        <v>15.884196725</v>
      </c>
      <c r="X20" s="179"/>
      <c r="Y20" s="177">
        <f aca="true" t="shared" si="12" ref="Y20:AD20">SUM(Y17:Y19)</f>
        <v>16.8372485285</v>
      </c>
      <c r="Z20" s="177">
        <f t="shared" si="12"/>
        <v>0</v>
      </c>
      <c r="AA20" s="177">
        <f t="shared" si="12"/>
        <v>0</v>
      </c>
      <c r="AB20" s="177">
        <f t="shared" si="12"/>
        <v>0</v>
      </c>
      <c r="AC20" s="177">
        <f t="shared" si="12"/>
        <v>0</v>
      </c>
      <c r="AD20" s="177">
        <f t="shared" si="12"/>
        <v>16.8372485285</v>
      </c>
      <c r="AE20" s="179"/>
      <c r="AF20" s="177">
        <f aca="true" t="shared" si="13" ref="AF20:AK20">SUM(AF17:AF19)</f>
        <v>17.847483440210002</v>
      </c>
      <c r="AG20" s="177">
        <f t="shared" si="13"/>
        <v>0</v>
      </c>
      <c r="AH20" s="177">
        <f t="shared" si="13"/>
        <v>0</v>
      </c>
      <c r="AI20" s="177">
        <f t="shared" si="13"/>
        <v>0</v>
      </c>
      <c r="AJ20" s="177">
        <f t="shared" si="13"/>
        <v>0</v>
      </c>
      <c r="AK20" s="177">
        <f t="shared" si="13"/>
        <v>17.847483440210002</v>
      </c>
    </row>
    <row r="21" spans="11:37" ht="4.5" customHeight="1">
      <c r="K21" s="139"/>
      <c r="L21" s="139"/>
      <c r="M21" s="139"/>
      <c r="N21" s="139"/>
      <c r="O21" s="139"/>
      <c r="P21" s="139"/>
      <c r="R21" s="139"/>
      <c r="S21" s="139"/>
      <c r="T21" s="139"/>
      <c r="U21" s="139"/>
      <c r="V21" s="139"/>
      <c r="W21" s="139"/>
      <c r="Y21" s="139"/>
      <c r="Z21" s="139"/>
      <c r="AA21" s="139"/>
      <c r="AB21" s="139"/>
      <c r="AC21" s="139"/>
      <c r="AD21" s="139"/>
      <c r="AF21" s="139"/>
      <c r="AG21" s="139"/>
      <c r="AH21" s="139"/>
      <c r="AI21" s="139"/>
      <c r="AJ21" s="139"/>
      <c r="AK21" s="139"/>
    </row>
    <row r="22" spans="7:37" ht="12.75">
      <c r="G22" s="199" t="s">
        <v>44</v>
      </c>
      <c r="H22" s="177">
        <f>+H10+H15+H20</f>
        <v>262.21607977484</v>
      </c>
      <c r="I22" s="178">
        <f>+I10+I15+I20</f>
        <v>1</v>
      </c>
      <c r="J22" s="179"/>
      <c r="K22" s="177">
        <f aca="true" t="shared" si="14" ref="K22:P22">+K10+K15+K20</f>
        <v>59.940365</v>
      </c>
      <c r="L22" s="177">
        <f t="shared" si="14"/>
        <v>0</v>
      </c>
      <c r="M22" s="177">
        <f t="shared" si="14"/>
        <v>0</v>
      </c>
      <c r="N22" s="177">
        <f t="shared" si="14"/>
        <v>0</v>
      </c>
      <c r="O22" s="177">
        <f t="shared" si="14"/>
        <v>0</v>
      </c>
      <c r="P22" s="177">
        <f t="shared" si="14"/>
        <v>59.940365</v>
      </c>
      <c r="Q22" s="179"/>
      <c r="R22" s="177">
        <f aca="true" t="shared" si="15" ref="R22:W22">+R10+R15+R20</f>
        <v>63.5367869</v>
      </c>
      <c r="S22" s="177">
        <f t="shared" si="15"/>
        <v>0</v>
      </c>
      <c r="T22" s="177">
        <f t="shared" si="15"/>
        <v>0</v>
      </c>
      <c r="U22" s="177">
        <f t="shared" si="15"/>
        <v>0</v>
      </c>
      <c r="V22" s="177">
        <f t="shared" si="15"/>
        <v>0</v>
      </c>
      <c r="W22" s="177">
        <f t="shared" si="15"/>
        <v>63.5367869</v>
      </c>
      <c r="X22" s="179"/>
      <c r="Y22" s="177">
        <f aca="true" t="shared" si="16" ref="Y22:AD22">+Y10+Y15+Y20</f>
        <v>67.348994114</v>
      </c>
      <c r="Z22" s="177">
        <f t="shared" si="16"/>
        <v>0</v>
      </c>
      <c r="AA22" s="177">
        <f t="shared" si="16"/>
        <v>0</v>
      </c>
      <c r="AB22" s="177">
        <f t="shared" si="16"/>
        <v>0</v>
      </c>
      <c r="AC22" s="177">
        <f t="shared" si="16"/>
        <v>0</v>
      </c>
      <c r="AD22" s="177">
        <f t="shared" si="16"/>
        <v>67.348994114</v>
      </c>
      <c r="AE22" s="179"/>
      <c r="AF22" s="177">
        <f aca="true" t="shared" si="17" ref="AF22:AK22">+AF10+AF15+AF20</f>
        <v>71.38993376084001</v>
      </c>
      <c r="AG22" s="177">
        <f t="shared" si="17"/>
        <v>0</v>
      </c>
      <c r="AH22" s="177">
        <f t="shared" si="17"/>
        <v>0</v>
      </c>
      <c r="AI22" s="177">
        <f t="shared" si="17"/>
        <v>0</v>
      </c>
      <c r="AJ22" s="177">
        <f t="shared" si="17"/>
        <v>0</v>
      </c>
      <c r="AK22" s="177">
        <f t="shared" si="17"/>
        <v>71.38993376084001</v>
      </c>
    </row>
  </sheetData>
  <sheetProtection/>
  <mergeCells count="27">
    <mergeCell ref="E4:E5"/>
    <mergeCell ref="F4:F5"/>
    <mergeCell ref="B1:G1"/>
    <mergeCell ref="B2:G2"/>
    <mergeCell ref="B3:G3"/>
    <mergeCell ref="E6:E7"/>
    <mergeCell ref="D6:D9"/>
    <mergeCell ref="C6:C19"/>
    <mergeCell ref="B6:B19"/>
    <mergeCell ref="X4:X5"/>
    <mergeCell ref="K4:P4"/>
    <mergeCell ref="R4:W4"/>
    <mergeCell ref="Y4:AD4"/>
    <mergeCell ref="AF4:AK4"/>
    <mergeCell ref="G4:G5"/>
    <mergeCell ref="H4:H5"/>
    <mergeCell ref="AE4:AE5"/>
    <mergeCell ref="A6:A19"/>
    <mergeCell ref="D17:D19"/>
    <mergeCell ref="D12:D14"/>
    <mergeCell ref="I4:I5"/>
    <mergeCell ref="J4:J5"/>
    <mergeCell ref="Q4:Q5"/>
    <mergeCell ref="A4:A5"/>
    <mergeCell ref="B4:B5"/>
    <mergeCell ref="C4:C5"/>
    <mergeCell ref="D4:D5"/>
  </mergeCells>
  <conditionalFormatting sqref="K1:P1 R1:W1 Y1:AD1 AF1:AK1">
    <cfRule type="cellIs" priority="1" dxfId="9" operator="greaterThan" stopIfTrue="1">
      <formula>1</formula>
    </cfRule>
  </conditionalFormatting>
  <printOptions horizontalCentered="1"/>
  <pageMargins left="0.3937007874015748" right="1.1811023622047245" top="0.984251968503937" bottom="0.984251968503937" header="0.5118110236220472" footer="0.5118110236220472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29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9.8515625" style="89" customWidth="1"/>
    <col min="2" max="2" width="11.57421875" style="138" customWidth="1"/>
    <col min="3" max="4" width="13.57421875" style="138" customWidth="1"/>
    <col min="5" max="6" width="25.7109375" style="138" customWidth="1"/>
    <col min="7" max="7" width="36.7109375" style="138" customWidth="1"/>
    <col min="8" max="8" width="12.8515625" style="138" bestFit="1" customWidth="1"/>
    <col min="9" max="9" width="7.00390625" style="198" bestFit="1" customWidth="1"/>
    <col min="10" max="10" width="1.7109375" style="198" customWidth="1"/>
    <col min="11" max="16" width="8.7109375" style="138" customWidth="1"/>
    <col min="17" max="17" width="1.7109375" style="198" customWidth="1"/>
    <col min="18" max="23" width="8.7109375" style="138" customWidth="1"/>
    <col min="24" max="24" width="1.7109375" style="198" customWidth="1"/>
    <col min="25" max="30" width="8.7109375" style="138" customWidth="1"/>
    <col min="31" max="31" width="1.7109375" style="198" customWidth="1"/>
    <col min="32" max="34" width="8.7109375" style="138" customWidth="1"/>
    <col min="35" max="37" width="8.7109375" style="89" customWidth="1"/>
    <col min="38" max="16384" width="11.421875" style="89" customWidth="1"/>
  </cols>
  <sheetData>
    <row r="1" spans="2:37" s="153" customFormat="1" ht="12.75">
      <c r="B1" s="311" t="s">
        <v>134</v>
      </c>
      <c r="C1" s="311"/>
      <c r="D1" s="311"/>
      <c r="E1" s="311"/>
      <c r="F1" s="311"/>
      <c r="G1" s="311"/>
      <c r="I1" s="181"/>
      <c r="J1" s="181"/>
      <c r="K1" s="229">
        <f aca="true" t="shared" si="0" ref="K1:AK1">+K3-K2</f>
        <v>0</v>
      </c>
      <c r="L1" s="229">
        <f t="shared" si="0"/>
        <v>0</v>
      </c>
      <c r="M1" s="229">
        <f t="shared" si="0"/>
        <v>0</v>
      </c>
      <c r="N1" s="229">
        <f t="shared" si="0"/>
        <v>0</v>
      </c>
      <c r="O1" s="229">
        <f t="shared" si="0"/>
        <v>0</v>
      </c>
      <c r="P1" s="229">
        <f>+P3-P2</f>
        <v>0</v>
      </c>
      <c r="Q1" s="228"/>
      <c r="R1" s="229">
        <f t="shared" si="0"/>
        <v>0</v>
      </c>
      <c r="S1" s="229">
        <f t="shared" si="0"/>
        <v>0</v>
      </c>
      <c r="T1" s="229">
        <f t="shared" si="0"/>
        <v>0</v>
      </c>
      <c r="U1" s="229">
        <f t="shared" si="0"/>
        <v>0</v>
      </c>
      <c r="V1" s="229">
        <f t="shared" si="0"/>
        <v>0</v>
      </c>
      <c r="W1" s="229">
        <f t="shared" si="0"/>
        <v>0</v>
      </c>
      <c r="X1" s="228"/>
      <c r="Y1" s="229">
        <f t="shared" si="0"/>
        <v>0</v>
      </c>
      <c r="Z1" s="229">
        <f t="shared" si="0"/>
        <v>0</v>
      </c>
      <c r="AA1" s="229">
        <f t="shared" si="0"/>
        <v>0</v>
      </c>
      <c r="AB1" s="229">
        <f t="shared" si="0"/>
        <v>0</v>
      </c>
      <c r="AC1" s="229">
        <f t="shared" si="0"/>
        <v>0</v>
      </c>
      <c r="AD1" s="229">
        <f t="shared" si="0"/>
        <v>0</v>
      </c>
      <c r="AE1" s="228"/>
      <c r="AF1" s="229">
        <f t="shared" si="0"/>
        <v>0</v>
      </c>
      <c r="AG1" s="229">
        <f t="shared" si="0"/>
        <v>0</v>
      </c>
      <c r="AH1" s="229">
        <f t="shared" si="0"/>
        <v>0</v>
      </c>
      <c r="AI1" s="229">
        <f t="shared" si="0"/>
        <v>0</v>
      </c>
      <c r="AJ1" s="229">
        <f t="shared" si="0"/>
        <v>0</v>
      </c>
      <c r="AK1" s="229">
        <f t="shared" si="0"/>
        <v>0</v>
      </c>
    </row>
    <row r="2" spans="2:37" s="153" customFormat="1" ht="12.75">
      <c r="B2" s="312" t="s">
        <v>137</v>
      </c>
      <c r="C2" s="312"/>
      <c r="D2" s="312"/>
      <c r="E2" s="312"/>
      <c r="F2" s="312"/>
      <c r="G2" s="312"/>
      <c r="I2" s="181"/>
      <c r="J2" s="181"/>
      <c r="K2" s="229">
        <f>+K13+K21+K27</f>
        <v>44.95527499999999</v>
      </c>
      <c r="L2" s="229">
        <f aca="true" t="shared" si="1" ref="L2:AK2">+L13+L21+L27</f>
        <v>0</v>
      </c>
      <c r="M2" s="229">
        <f t="shared" si="1"/>
        <v>18.150240376140005</v>
      </c>
      <c r="N2" s="229">
        <f t="shared" si="1"/>
        <v>7.174</v>
      </c>
      <c r="O2" s="229">
        <f t="shared" si="1"/>
        <v>0</v>
      </c>
      <c r="P2" s="229">
        <f t="shared" si="1"/>
        <v>70.27951537614</v>
      </c>
      <c r="Q2" s="229"/>
      <c r="R2" s="229">
        <f t="shared" si="1"/>
        <v>47.65259150000001</v>
      </c>
      <c r="S2" s="229">
        <f t="shared" si="1"/>
        <v>0</v>
      </c>
      <c r="T2" s="229">
        <f t="shared" si="1"/>
        <v>16.604993411824193</v>
      </c>
      <c r="U2" s="229">
        <f t="shared" si="1"/>
        <v>7.389220000000001</v>
      </c>
      <c r="V2" s="229">
        <f t="shared" si="1"/>
        <v>0</v>
      </c>
      <c r="W2" s="229">
        <f t="shared" si="1"/>
        <v>71.64680491182419</v>
      </c>
      <c r="X2" s="229"/>
      <c r="Y2" s="229">
        <f t="shared" si="1"/>
        <v>50.51174699</v>
      </c>
      <c r="Z2" s="229">
        <f t="shared" si="1"/>
        <v>0</v>
      </c>
      <c r="AA2" s="229">
        <f t="shared" si="1"/>
        <v>15.007119776052116</v>
      </c>
      <c r="AB2" s="229">
        <f t="shared" si="1"/>
        <v>7.610896600000001</v>
      </c>
      <c r="AC2" s="229">
        <f t="shared" si="1"/>
        <v>0</v>
      </c>
      <c r="AD2" s="229">
        <f t="shared" si="1"/>
        <v>73.12976336605212</v>
      </c>
      <c r="AE2" s="229"/>
      <c r="AF2" s="229">
        <f t="shared" si="1"/>
        <v>53.5424518094</v>
      </c>
      <c r="AG2" s="229">
        <f t="shared" si="1"/>
        <v>0</v>
      </c>
      <c r="AH2" s="229">
        <f t="shared" si="1"/>
        <v>13.355021860892487</v>
      </c>
      <c r="AI2" s="229">
        <f t="shared" si="1"/>
        <v>7.839223498000002</v>
      </c>
      <c r="AJ2" s="229">
        <f t="shared" si="1"/>
        <v>0</v>
      </c>
      <c r="AK2" s="229">
        <f t="shared" si="1"/>
        <v>74.7366971682925</v>
      </c>
    </row>
    <row r="3" spans="2:37" s="153" customFormat="1" ht="12.75">
      <c r="B3" s="313" t="s">
        <v>136</v>
      </c>
      <c r="C3" s="313"/>
      <c r="D3" s="313"/>
      <c r="E3" s="313"/>
      <c r="F3" s="313"/>
      <c r="G3" s="313"/>
      <c r="I3" s="181"/>
      <c r="J3" s="181"/>
      <c r="K3" s="229">
        <f>+PROYECCIONES!D27</f>
        <v>44.955275</v>
      </c>
      <c r="L3" s="229">
        <v>0</v>
      </c>
      <c r="M3" s="229">
        <f>+PROYECCIONES!D83</f>
        <v>18.150240376140005</v>
      </c>
      <c r="N3" s="229">
        <f>+PROYECCIONES!D84</f>
        <v>7.174</v>
      </c>
      <c r="O3" s="229">
        <v>0</v>
      </c>
      <c r="P3" s="229">
        <f>SUM(K3:O3)</f>
        <v>70.27951537614001</v>
      </c>
      <c r="Q3" s="228"/>
      <c r="R3" s="229">
        <f>+PROYECCIONES!E27</f>
        <v>47.6525915</v>
      </c>
      <c r="S3" s="229">
        <v>0</v>
      </c>
      <c r="T3" s="229">
        <f>+PROYECCIONES!E83</f>
        <v>16.604993411824193</v>
      </c>
      <c r="U3" s="229">
        <f>+PROYECCIONES!E84</f>
        <v>7.389220000000001</v>
      </c>
      <c r="V3" s="229">
        <v>0</v>
      </c>
      <c r="W3" s="229">
        <f>SUM(R3:V3)</f>
        <v>71.64680491182419</v>
      </c>
      <c r="X3" s="228"/>
      <c r="Y3" s="229">
        <f>+PROYECCIONES!F27</f>
        <v>50.51174699</v>
      </c>
      <c r="Z3" s="229">
        <v>0</v>
      </c>
      <c r="AA3" s="229">
        <f>+PROYECCIONES!F83</f>
        <v>15.007119776052116</v>
      </c>
      <c r="AB3" s="229">
        <f>+PROYECCIONES!F84</f>
        <v>7.610896600000001</v>
      </c>
      <c r="AC3" s="229">
        <v>0</v>
      </c>
      <c r="AD3" s="229">
        <f>SUM(Y3:AC3)</f>
        <v>73.12976336605212</v>
      </c>
      <c r="AE3" s="228"/>
      <c r="AF3" s="229">
        <f>+PROYECCIONES!G27</f>
        <v>53.5424518094</v>
      </c>
      <c r="AG3" s="229">
        <v>0</v>
      </c>
      <c r="AH3" s="229">
        <f>+PROYECCIONES!G83</f>
        <v>13.355021860892487</v>
      </c>
      <c r="AI3" s="229">
        <f>+PROYECCIONES!G84</f>
        <v>7.839223498000002</v>
      </c>
      <c r="AJ3" s="229">
        <v>0</v>
      </c>
      <c r="AK3" s="229">
        <f>SUM(AF3:AJ3)</f>
        <v>74.73669716829248</v>
      </c>
    </row>
    <row r="4" spans="1:37" s="136" customFormat="1" ht="12.75">
      <c r="A4" s="307" t="s">
        <v>35</v>
      </c>
      <c r="B4" s="307" t="s">
        <v>47</v>
      </c>
      <c r="C4" s="307" t="s">
        <v>0</v>
      </c>
      <c r="D4" s="307" t="s">
        <v>2</v>
      </c>
      <c r="E4" s="307" t="s">
        <v>39</v>
      </c>
      <c r="F4" s="307" t="s">
        <v>37</v>
      </c>
      <c r="G4" s="315" t="s">
        <v>10</v>
      </c>
      <c r="H4" s="307" t="s">
        <v>45</v>
      </c>
      <c r="I4" s="309" t="s">
        <v>266</v>
      </c>
      <c r="J4" s="299"/>
      <c r="K4" s="354">
        <v>2012</v>
      </c>
      <c r="L4" s="354"/>
      <c r="M4" s="354"/>
      <c r="N4" s="354"/>
      <c r="O4" s="354"/>
      <c r="P4" s="354"/>
      <c r="Q4" s="299"/>
      <c r="R4" s="354">
        <v>2013</v>
      </c>
      <c r="S4" s="354"/>
      <c r="T4" s="354"/>
      <c r="U4" s="354"/>
      <c r="V4" s="354"/>
      <c r="W4" s="354"/>
      <c r="X4" s="299"/>
      <c r="Y4" s="354">
        <v>2014</v>
      </c>
      <c r="Z4" s="354"/>
      <c r="AA4" s="354"/>
      <c r="AB4" s="354"/>
      <c r="AC4" s="354"/>
      <c r="AD4" s="354"/>
      <c r="AE4" s="299"/>
      <c r="AF4" s="354">
        <v>2015</v>
      </c>
      <c r="AG4" s="354"/>
      <c r="AH4" s="354"/>
      <c r="AI4" s="354"/>
      <c r="AJ4" s="354"/>
      <c r="AK4" s="354"/>
    </row>
    <row r="5" spans="1:37" s="136" customFormat="1" ht="12.75">
      <c r="A5" s="308"/>
      <c r="B5" s="308"/>
      <c r="C5" s="308"/>
      <c r="D5" s="308"/>
      <c r="E5" s="314"/>
      <c r="F5" s="314"/>
      <c r="G5" s="316"/>
      <c r="H5" s="308"/>
      <c r="I5" s="310"/>
      <c r="J5" s="300"/>
      <c r="K5" s="28" t="s">
        <v>40</v>
      </c>
      <c r="L5" s="29" t="s">
        <v>41</v>
      </c>
      <c r="M5" s="28" t="s">
        <v>42</v>
      </c>
      <c r="N5" s="28" t="s">
        <v>483</v>
      </c>
      <c r="O5" s="28" t="s">
        <v>1</v>
      </c>
      <c r="P5" s="28" t="s">
        <v>44</v>
      </c>
      <c r="Q5" s="300"/>
      <c r="R5" s="28" t="s">
        <v>40</v>
      </c>
      <c r="S5" s="29" t="s">
        <v>41</v>
      </c>
      <c r="T5" s="28" t="s">
        <v>42</v>
      </c>
      <c r="U5" s="28" t="s">
        <v>483</v>
      </c>
      <c r="V5" s="28" t="s">
        <v>1</v>
      </c>
      <c r="W5" s="28" t="s">
        <v>44</v>
      </c>
      <c r="X5" s="300"/>
      <c r="Y5" s="28" t="s">
        <v>40</v>
      </c>
      <c r="Z5" s="29" t="s">
        <v>41</v>
      </c>
      <c r="AA5" s="28" t="s">
        <v>42</v>
      </c>
      <c r="AB5" s="28" t="s">
        <v>483</v>
      </c>
      <c r="AC5" s="28" t="s">
        <v>1</v>
      </c>
      <c r="AD5" s="28" t="s">
        <v>44</v>
      </c>
      <c r="AE5" s="300"/>
      <c r="AF5" s="28" t="s">
        <v>40</v>
      </c>
      <c r="AG5" s="29" t="s">
        <v>41</v>
      </c>
      <c r="AH5" s="28" t="s">
        <v>42</v>
      </c>
      <c r="AI5" s="28" t="s">
        <v>483</v>
      </c>
      <c r="AJ5" s="28" t="s">
        <v>1</v>
      </c>
      <c r="AK5" s="28" t="s">
        <v>44</v>
      </c>
    </row>
    <row r="6" spans="1:37" ht="38.25">
      <c r="A6" s="302" t="s">
        <v>56</v>
      </c>
      <c r="B6" s="375" t="s">
        <v>77</v>
      </c>
      <c r="C6" s="375" t="s">
        <v>78</v>
      </c>
      <c r="D6" s="349" t="s">
        <v>484</v>
      </c>
      <c r="E6" s="20" t="s">
        <v>491</v>
      </c>
      <c r="F6" s="20" t="s">
        <v>492</v>
      </c>
      <c r="G6" s="20" t="s">
        <v>124</v>
      </c>
      <c r="H6" s="31">
        <f aca="true" t="shared" si="2" ref="H6:H12">+P6+W6+AD6+AK6</f>
        <v>29.49930979491</v>
      </c>
      <c r="I6" s="121"/>
      <c r="J6" s="172"/>
      <c r="K6" s="30">
        <f>+K3*0.15</f>
        <v>6.7432912499999995</v>
      </c>
      <c r="L6" s="30"/>
      <c r="M6" s="30"/>
      <c r="N6" s="30"/>
      <c r="O6" s="30"/>
      <c r="P6" s="30">
        <f aca="true" t="shared" si="3" ref="P6:P12">SUM(K6:O6)</f>
        <v>6.7432912499999995</v>
      </c>
      <c r="Q6" s="172"/>
      <c r="R6" s="30">
        <f>+R3*0.15</f>
        <v>7.147888725</v>
      </c>
      <c r="S6" s="30"/>
      <c r="T6" s="30"/>
      <c r="U6" s="30"/>
      <c r="V6" s="30"/>
      <c r="W6" s="30">
        <f aca="true" t="shared" si="4" ref="W6:W12">SUM(R6:V6)</f>
        <v>7.147888725</v>
      </c>
      <c r="X6" s="172"/>
      <c r="Y6" s="30">
        <f>+Y3*0.15</f>
        <v>7.576762048499999</v>
      </c>
      <c r="Z6" s="30"/>
      <c r="AA6" s="30"/>
      <c r="AB6" s="30"/>
      <c r="AC6" s="30"/>
      <c r="AD6" s="30">
        <f aca="true" t="shared" si="5" ref="AD6:AD12">SUM(Y6:AC6)</f>
        <v>7.576762048499999</v>
      </c>
      <c r="AE6" s="172"/>
      <c r="AF6" s="30">
        <f>+AF3*0.15</f>
        <v>8.03136777141</v>
      </c>
      <c r="AG6" s="30"/>
      <c r="AH6" s="30"/>
      <c r="AI6" s="30"/>
      <c r="AJ6" s="30"/>
      <c r="AK6" s="30">
        <f aca="true" t="shared" si="6" ref="AK6:AK12">SUM(AF6:AJ6)</f>
        <v>8.03136777141</v>
      </c>
    </row>
    <row r="7" spans="1:37" ht="38.25">
      <c r="A7" s="377"/>
      <c r="B7" s="378"/>
      <c r="C7" s="378"/>
      <c r="D7" s="380"/>
      <c r="E7" s="20" t="s">
        <v>493</v>
      </c>
      <c r="F7" s="20" t="s">
        <v>489</v>
      </c>
      <c r="G7" s="20" t="s">
        <v>494</v>
      </c>
      <c r="H7" s="31">
        <f t="shared" si="2"/>
        <v>27.952808559340003</v>
      </c>
      <c r="I7" s="122"/>
      <c r="J7" s="173"/>
      <c r="K7" s="30">
        <f>+K3*0.1</f>
        <v>4.495527500000001</v>
      </c>
      <c r="L7" s="30"/>
      <c r="M7" s="30"/>
      <c r="N7" s="30">
        <f>+N3*0.2</f>
        <v>1.4348</v>
      </c>
      <c r="O7" s="30"/>
      <c r="P7" s="30">
        <f t="shared" si="3"/>
        <v>5.930327500000001</v>
      </c>
      <c r="Q7" s="173"/>
      <c r="R7" s="30">
        <f>+R3*0.1</f>
        <v>4.76525915</v>
      </c>
      <c r="S7" s="30"/>
      <c r="T7" s="30"/>
      <c r="U7" s="30">
        <f>+U3*0.3</f>
        <v>2.2167660000000002</v>
      </c>
      <c r="V7" s="30"/>
      <c r="W7" s="30">
        <f t="shared" si="4"/>
        <v>6.98202515</v>
      </c>
      <c r="X7" s="173"/>
      <c r="Y7" s="30">
        <f>+Y3*0.1</f>
        <v>5.051174699000001</v>
      </c>
      <c r="Z7" s="30"/>
      <c r="AA7" s="30"/>
      <c r="AB7" s="30">
        <f>+AB3*0.3</f>
        <v>2.2832689800000003</v>
      </c>
      <c r="AC7" s="30"/>
      <c r="AD7" s="30">
        <f t="shared" si="5"/>
        <v>7.334443679000001</v>
      </c>
      <c r="AE7" s="173"/>
      <c r="AF7" s="30">
        <f>+AF3*0.1</f>
        <v>5.3542451809400005</v>
      </c>
      <c r="AG7" s="30"/>
      <c r="AH7" s="30"/>
      <c r="AI7" s="30">
        <f>+AI3*0.3</f>
        <v>2.3517670494000003</v>
      </c>
      <c r="AJ7" s="30"/>
      <c r="AK7" s="30">
        <f t="shared" si="6"/>
        <v>7.706012230340001</v>
      </c>
    </row>
    <row r="8" spans="1:37" ht="38.25">
      <c r="A8" s="377"/>
      <c r="B8" s="378"/>
      <c r="C8" s="378"/>
      <c r="D8" s="380"/>
      <c r="E8" s="347" t="s">
        <v>495</v>
      </c>
      <c r="F8" s="20" t="s">
        <v>490</v>
      </c>
      <c r="G8" s="20" t="s">
        <v>125</v>
      </c>
      <c r="H8" s="31">
        <f t="shared" si="2"/>
        <v>49.16551632485</v>
      </c>
      <c r="I8" s="122"/>
      <c r="J8" s="173"/>
      <c r="K8" s="30">
        <f>+K3*0.25</f>
        <v>11.23881875</v>
      </c>
      <c r="L8" s="30"/>
      <c r="M8" s="30"/>
      <c r="N8" s="30"/>
      <c r="O8" s="30"/>
      <c r="P8" s="30">
        <f t="shared" si="3"/>
        <v>11.23881875</v>
      </c>
      <c r="Q8" s="173"/>
      <c r="R8" s="30">
        <f>+R3*0.25</f>
        <v>11.913147875</v>
      </c>
      <c r="S8" s="30"/>
      <c r="T8" s="30"/>
      <c r="U8" s="30"/>
      <c r="V8" s="30"/>
      <c r="W8" s="30">
        <f t="shared" si="4"/>
        <v>11.913147875</v>
      </c>
      <c r="X8" s="173"/>
      <c r="Y8" s="30">
        <f>+Y3*0.25</f>
        <v>12.6279367475</v>
      </c>
      <c r="Z8" s="30"/>
      <c r="AA8" s="30"/>
      <c r="AB8" s="30"/>
      <c r="AC8" s="30"/>
      <c r="AD8" s="30">
        <f t="shared" si="5"/>
        <v>12.6279367475</v>
      </c>
      <c r="AE8" s="173"/>
      <c r="AF8" s="30">
        <f>+AF3*0.25</f>
        <v>13.38561295235</v>
      </c>
      <c r="AG8" s="30"/>
      <c r="AH8" s="30"/>
      <c r="AI8" s="30"/>
      <c r="AJ8" s="30"/>
      <c r="AK8" s="30">
        <f t="shared" si="6"/>
        <v>13.38561295235</v>
      </c>
    </row>
    <row r="9" spans="1:37" ht="25.5">
      <c r="A9" s="377"/>
      <c r="B9" s="378"/>
      <c r="C9" s="378"/>
      <c r="D9" s="380"/>
      <c r="E9" s="376"/>
      <c r="F9" s="20" t="s">
        <v>496</v>
      </c>
      <c r="G9" s="20" t="s">
        <v>126</v>
      </c>
      <c r="H9" s="31">
        <f t="shared" si="2"/>
        <v>58.99861958982</v>
      </c>
      <c r="I9" s="122"/>
      <c r="J9" s="173"/>
      <c r="K9" s="30">
        <f>+K3*0.3</f>
        <v>13.486582499999999</v>
      </c>
      <c r="L9" s="30"/>
      <c r="M9" s="30"/>
      <c r="N9" s="30"/>
      <c r="O9" s="30"/>
      <c r="P9" s="30">
        <f t="shared" si="3"/>
        <v>13.486582499999999</v>
      </c>
      <c r="Q9" s="173"/>
      <c r="R9" s="30">
        <f>+R3*0.3</f>
        <v>14.29577745</v>
      </c>
      <c r="S9" s="30"/>
      <c r="T9" s="30"/>
      <c r="U9" s="30"/>
      <c r="V9" s="30"/>
      <c r="W9" s="30">
        <f t="shared" si="4"/>
        <v>14.29577745</v>
      </c>
      <c r="X9" s="173"/>
      <c r="Y9" s="30">
        <f>+Y3*0.3</f>
        <v>15.153524096999998</v>
      </c>
      <c r="Z9" s="30"/>
      <c r="AA9" s="30"/>
      <c r="AB9" s="30"/>
      <c r="AC9" s="30"/>
      <c r="AD9" s="30">
        <f t="shared" si="5"/>
        <v>15.153524096999998</v>
      </c>
      <c r="AE9" s="173"/>
      <c r="AF9" s="30">
        <f>+AF3*0.3</f>
        <v>16.06273554282</v>
      </c>
      <c r="AG9" s="30"/>
      <c r="AH9" s="30"/>
      <c r="AI9" s="30"/>
      <c r="AJ9" s="30"/>
      <c r="AK9" s="30">
        <f t="shared" si="6"/>
        <v>16.06273554282</v>
      </c>
    </row>
    <row r="10" spans="1:37" ht="25.5">
      <c r="A10" s="377"/>
      <c r="B10" s="378"/>
      <c r="C10" s="378"/>
      <c r="D10" s="380"/>
      <c r="E10" s="20" t="s">
        <v>497</v>
      </c>
      <c r="F10" s="20" t="s">
        <v>488</v>
      </c>
      <c r="G10" s="20" t="s">
        <v>498</v>
      </c>
      <c r="H10" s="31">
        <f t="shared" si="2"/>
        <v>0</v>
      </c>
      <c r="I10" s="122"/>
      <c r="J10" s="173"/>
      <c r="K10" s="30"/>
      <c r="L10" s="30"/>
      <c r="M10" s="30"/>
      <c r="N10" s="30"/>
      <c r="O10" s="30"/>
      <c r="P10" s="30">
        <f t="shared" si="3"/>
        <v>0</v>
      </c>
      <c r="Q10" s="173"/>
      <c r="R10" s="30"/>
      <c r="S10" s="30"/>
      <c r="T10" s="30"/>
      <c r="U10" s="30"/>
      <c r="V10" s="30"/>
      <c r="W10" s="30">
        <f t="shared" si="4"/>
        <v>0</v>
      </c>
      <c r="X10" s="173"/>
      <c r="Y10" s="30"/>
      <c r="Z10" s="30"/>
      <c r="AA10" s="30"/>
      <c r="AB10" s="30"/>
      <c r="AC10" s="30"/>
      <c r="AD10" s="30">
        <f t="shared" si="5"/>
        <v>0</v>
      </c>
      <c r="AE10" s="173"/>
      <c r="AF10" s="30"/>
      <c r="AG10" s="30"/>
      <c r="AH10" s="30"/>
      <c r="AI10" s="30"/>
      <c r="AJ10" s="30"/>
      <c r="AK10" s="30">
        <f t="shared" si="6"/>
        <v>0</v>
      </c>
    </row>
    <row r="11" spans="1:37" ht="25.5">
      <c r="A11" s="377"/>
      <c r="B11" s="378"/>
      <c r="C11" s="378"/>
      <c r="D11" s="380"/>
      <c r="E11" s="20" t="s">
        <v>499</v>
      </c>
      <c r="F11" s="20" t="s">
        <v>500</v>
      </c>
      <c r="G11" s="20" t="s">
        <v>501</v>
      </c>
      <c r="H11" s="31">
        <f t="shared" si="2"/>
        <v>0.7174</v>
      </c>
      <c r="I11" s="122"/>
      <c r="J11" s="173"/>
      <c r="K11" s="30"/>
      <c r="L11" s="30"/>
      <c r="M11" s="30"/>
      <c r="N11" s="30">
        <f>+N3*0.1</f>
        <v>0.7174</v>
      </c>
      <c r="O11" s="30"/>
      <c r="P11" s="30">
        <f t="shared" si="3"/>
        <v>0.7174</v>
      </c>
      <c r="Q11" s="173"/>
      <c r="R11" s="30"/>
      <c r="S11" s="30"/>
      <c r="T11" s="30"/>
      <c r="U11" s="30"/>
      <c r="V11" s="30"/>
      <c r="W11" s="30">
        <f t="shared" si="4"/>
        <v>0</v>
      </c>
      <c r="X11" s="173"/>
      <c r="Y11" s="30"/>
      <c r="Z11" s="30"/>
      <c r="AA11" s="30"/>
      <c r="AB11" s="30"/>
      <c r="AC11" s="30"/>
      <c r="AD11" s="30">
        <f t="shared" si="5"/>
        <v>0</v>
      </c>
      <c r="AE11" s="173"/>
      <c r="AF11" s="30"/>
      <c r="AG11" s="30"/>
      <c r="AH11" s="30"/>
      <c r="AI11" s="30"/>
      <c r="AJ11" s="30"/>
      <c r="AK11" s="30">
        <f t="shared" si="6"/>
        <v>0</v>
      </c>
    </row>
    <row r="12" spans="1:37" ht="38.25">
      <c r="A12" s="377"/>
      <c r="B12" s="378"/>
      <c r="C12" s="378"/>
      <c r="D12" s="381"/>
      <c r="E12" s="20" t="s">
        <v>502</v>
      </c>
      <c r="F12" s="20" t="s">
        <v>503</v>
      </c>
      <c r="G12" s="20" t="s">
        <v>504</v>
      </c>
      <c r="H12" s="31">
        <f t="shared" si="2"/>
        <v>0</v>
      </c>
      <c r="I12" s="123"/>
      <c r="J12" s="174"/>
      <c r="K12" s="30"/>
      <c r="L12" s="30"/>
      <c r="M12" s="30"/>
      <c r="N12" s="30"/>
      <c r="O12" s="30"/>
      <c r="P12" s="30">
        <f t="shared" si="3"/>
        <v>0</v>
      </c>
      <c r="Q12" s="174"/>
      <c r="R12" s="30"/>
      <c r="S12" s="30"/>
      <c r="T12" s="30"/>
      <c r="U12" s="30"/>
      <c r="V12" s="30"/>
      <c r="W12" s="30">
        <f t="shared" si="4"/>
        <v>0</v>
      </c>
      <c r="X12" s="174"/>
      <c r="Y12" s="30"/>
      <c r="Z12" s="30"/>
      <c r="AA12" s="30"/>
      <c r="AB12" s="30"/>
      <c r="AC12" s="30"/>
      <c r="AD12" s="30">
        <f t="shared" si="5"/>
        <v>0</v>
      </c>
      <c r="AE12" s="174"/>
      <c r="AF12" s="30"/>
      <c r="AG12" s="30"/>
      <c r="AH12" s="30"/>
      <c r="AI12" s="30"/>
      <c r="AJ12" s="30"/>
      <c r="AK12" s="30">
        <f t="shared" si="6"/>
        <v>0</v>
      </c>
    </row>
    <row r="13" spans="1:37" s="98" customFormat="1" ht="12.75">
      <c r="A13" s="377"/>
      <c r="B13" s="378"/>
      <c r="C13" s="378"/>
      <c r="D13" s="155"/>
      <c r="E13" s="155"/>
      <c r="F13" s="155"/>
      <c r="G13" s="148" t="s">
        <v>235</v>
      </c>
      <c r="H13" s="96">
        <f>SUM(H6:H12)</f>
        <v>166.33365426892001</v>
      </c>
      <c r="I13" s="119">
        <f>+H13/H29</f>
        <v>0.573974457876196</v>
      </c>
      <c r="J13" s="151"/>
      <c r="K13" s="96">
        <f aca="true" t="shared" si="7" ref="K13:AK13">SUM(K6:K12)</f>
        <v>35.96422</v>
      </c>
      <c r="L13" s="96">
        <f t="shared" si="7"/>
        <v>0</v>
      </c>
      <c r="M13" s="96">
        <f t="shared" si="7"/>
        <v>0</v>
      </c>
      <c r="N13" s="96">
        <f t="shared" si="7"/>
        <v>2.1522</v>
      </c>
      <c r="O13" s="96">
        <f t="shared" si="7"/>
        <v>0</v>
      </c>
      <c r="P13" s="96">
        <f t="shared" si="7"/>
        <v>38.11642</v>
      </c>
      <c r="Q13" s="151"/>
      <c r="R13" s="96">
        <f t="shared" si="7"/>
        <v>38.1220732</v>
      </c>
      <c r="S13" s="96">
        <f t="shared" si="7"/>
        <v>0</v>
      </c>
      <c r="T13" s="96">
        <f t="shared" si="7"/>
        <v>0</v>
      </c>
      <c r="U13" s="96">
        <f t="shared" si="7"/>
        <v>2.2167660000000002</v>
      </c>
      <c r="V13" s="96">
        <f t="shared" si="7"/>
        <v>0</v>
      </c>
      <c r="W13" s="96">
        <f t="shared" si="7"/>
        <v>40.338839199999995</v>
      </c>
      <c r="X13" s="151"/>
      <c r="Y13" s="96">
        <f t="shared" si="7"/>
        <v>40.409397592</v>
      </c>
      <c r="Z13" s="96">
        <f t="shared" si="7"/>
        <v>0</v>
      </c>
      <c r="AA13" s="96">
        <f t="shared" si="7"/>
        <v>0</v>
      </c>
      <c r="AB13" s="96">
        <f t="shared" si="7"/>
        <v>2.2832689800000003</v>
      </c>
      <c r="AC13" s="96">
        <f t="shared" si="7"/>
        <v>0</v>
      </c>
      <c r="AD13" s="96">
        <f t="shared" si="7"/>
        <v>42.69266657199999</v>
      </c>
      <c r="AE13" s="151"/>
      <c r="AF13" s="96">
        <f t="shared" si="7"/>
        <v>42.833961447520004</v>
      </c>
      <c r="AG13" s="96">
        <f t="shared" si="7"/>
        <v>0</v>
      </c>
      <c r="AH13" s="96">
        <f t="shared" si="7"/>
        <v>0</v>
      </c>
      <c r="AI13" s="96">
        <f t="shared" si="7"/>
        <v>2.3517670494000003</v>
      </c>
      <c r="AJ13" s="96">
        <f t="shared" si="7"/>
        <v>0</v>
      </c>
      <c r="AK13" s="96">
        <f t="shared" si="7"/>
        <v>45.18572849692</v>
      </c>
    </row>
    <row r="14" spans="1:3" ht="4.5" customHeight="1">
      <c r="A14" s="377"/>
      <c r="B14" s="378"/>
      <c r="C14" s="378"/>
    </row>
    <row r="15" spans="1:37" ht="25.5">
      <c r="A15" s="377"/>
      <c r="B15" s="378"/>
      <c r="C15" s="378"/>
      <c r="D15" s="379" t="s">
        <v>13</v>
      </c>
      <c r="E15" s="20" t="s">
        <v>510</v>
      </c>
      <c r="F15" s="20" t="s">
        <v>511</v>
      </c>
      <c r="G15" s="20" t="s">
        <v>512</v>
      </c>
      <c r="H15" s="31">
        <f aca="true" t="shared" si="8" ref="H15:H20">+P15+W15+AD15+AK15</f>
        <v>41.3917909774244</v>
      </c>
      <c r="I15" s="121"/>
      <c r="J15" s="172"/>
      <c r="K15" s="30">
        <f>+K3*0.05</f>
        <v>2.2477637500000003</v>
      </c>
      <c r="L15" s="30"/>
      <c r="M15" s="30">
        <f>+M3*0.5</f>
        <v>9.075120188070002</v>
      </c>
      <c r="N15" s="30"/>
      <c r="O15" s="30"/>
      <c r="P15" s="30">
        <f aca="true" t="shared" si="9" ref="P15:P20">SUM(K15:O15)</f>
        <v>11.322883938070003</v>
      </c>
      <c r="Q15" s="172"/>
      <c r="R15" s="30">
        <f>+R3*0.05</f>
        <v>2.382629575</v>
      </c>
      <c r="S15" s="30"/>
      <c r="T15" s="30">
        <f>+T3*0.5</f>
        <v>8.302496705912096</v>
      </c>
      <c r="U15" s="30"/>
      <c r="V15" s="30"/>
      <c r="W15" s="30">
        <f aca="true" t="shared" si="10" ref="W15:W20">SUM(R15:V15)</f>
        <v>10.685126280912097</v>
      </c>
      <c r="X15" s="172"/>
      <c r="Y15" s="30">
        <f>+Y3*0.05</f>
        <v>2.5255873495000003</v>
      </c>
      <c r="Z15" s="30"/>
      <c r="AA15" s="30">
        <f>+AA3*0.5</f>
        <v>7.503559888026058</v>
      </c>
      <c r="AB15" s="30"/>
      <c r="AC15" s="30"/>
      <c r="AD15" s="30">
        <f aca="true" t="shared" si="11" ref="AD15:AD20">SUM(Y15:AC15)</f>
        <v>10.029147237526058</v>
      </c>
      <c r="AE15" s="172"/>
      <c r="AF15" s="30">
        <f>+AF3*0.05</f>
        <v>2.6771225904700002</v>
      </c>
      <c r="AG15" s="30"/>
      <c r="AH15" s="30">
        <f>+AH3*0.5</f>
        <v>6.677510930446243</v>
      </c>
      <c r="AI15" s="30"/>
      <c r="AJ15" s="30"/>
      <c r="AK15" s="30">
        <f aca="true" t="shared" si="12" ref="AK15:AK20">SUM(AF15:AJ15)</f>
        <v>9.354633520916243</v>
      </c>
    </row>
    <row r="16" spans="1:37" ht="25.5">
      <c r="A16" s="377"/>
      <c r="B16" s="378"/>
      <c r="C16" s="378"/>
      <c r="D16" s="384"/>
      <c r="E16" s="20" t="s">
        <v>505</v>
      </c>
      <c r="F16" s="20" t="s">
        <v>506</v>
      </c>
      <c r="G16" s="20" t="s">
        <v>486</v>
      </c>
      <c r="H16" s="31">
        <f t="shared" si="8"/>
        <v>57.22756226199441</v>
      </c>
      <c r="I16" s="122"/>
      <c r="J16" s="173"/>
      <c r="K16" s="30">
        <f>+K3*0.1</f>
        <v>4.495527500000001</v>
      </c>
      <c r="L16" s="30"/>
      <c r="M16" s="30">
        <f>+M3*0.5</f>
        <v>9.075120188070002</v>
      </c>
      <c r="N16" s="30">
        <f>+N3*0.2</f>
        <v>1.4348</v>
      </c>
      <c r="O16" s="30"/>
      <c r="P16" s="30">
        <f t="shared" si="9"/>
        <v>15.005447688070003</v>
      </c>
      <c r="Q16" s="173"/>
      <c r="R16" s="30">
        <f>+R3*0.1</f>
        <v>4.76525915</v>
      </c>
      <c r="S16" s="30"/>
      <c r="T16" s="30">
        <f>+T3*0.5</f>
        <v>8.302496705912096</v>
      </c>
      <c r="U16" s="30">
        <f>+U3*0.2</f>
        <v>1.4778440000000002</v>
      </c>
      <c r="V16" s="30"/>
      <c r="W16" s="30">
        <f t="shared" si="10"/>
        <v>14.545599855912098</v>
      </c>
      <c r="X16" s="173"/>
      <c r="Y16" s="30">
        <f>+Y3*0.1</f>
        <v>5.051174699000001</v>
      </c>
      <c r="Z16" s="30"/>
      <c r="AA16" s="30">
        <f>+AA3*0.5</f>
        <v>7.503559888026058</v>
      </c>
      <c r="AB16" s="30">
        <f>+AB3*0.2</f>
        <v>1.5221793200000002</v>
      </c>
      <c r="AC16" s="30"/>
      <c r="AD16" s="30">
        <f t="shared" si="11"/>
        <v>14.076913907026057</v>
      </c>
      <c r="AE16" s="173"/>
      <c r="AF16" s="30">
        <f>+AF3*0.1</f>
        <v>5.3542451809400005</v>
      </c>
      <c r="AG16" s="30"/>
      <c r="AH16" s="30">
        <f>+AH3*0.5</f>
        <v>6.677510930446243</v>
      </c>
      <c r="AI16" s="30">
        <f>+AI3*0.2</f>
        <v>1.5678446996000004</v>
      </c>
      <c r="AJ16" s="30"/>
      <c r="AK16" s="30">
        <f t="shared" si="12"/>
        <v>13.599600810986244</v>
      </c>
    </row>
    <row r="17" spans="1:37" ht="25.5">
      <c r="A17" s="377"/>
      <c r="B17" s="378"/>
      <c r="C17" s="378"/>
      <c r="D17" s="384"/>
      <c r="E17" s="20" t="s">
        <v>513</v>
      </c>
      <c r="F17" s="20" t="s">
        <v>514</v>
      </c>
      <c r="G17" s="20" t="s">
        <v>487</v>
      </c>
      <c r="H17" s="31">
        <f t="shared" si="8"/>
        <v>0</v>
      </c>
      <c r="I17" s="122"/>
      <c r="J17" s="173"/>
      <c r="K17" s="30"/>
      <c r="L17" s="30"/>
      <c r="M17" s="30"/>
      <c r="N17" s="30"/>
      <c r="O17" s="30"/>
      <c r="P17" s="30">
        <f>SUM(K17:O17)</f>
        <v>0</v>
      </c>
      <c r="Q17" s="173"/>
      <c r="R17" s="30"/>
      <c r="S17" s="30"/>
      <c r="T17" s="30"/>
      <c r="U17" s="30"/>
      <c r="V17" s="30"/>
      <c r="W17" s="30">
        <f>SUM(R17:V17)</f>
        <v>0</v>
      </c>
      <c r="X17" s="173"/>
      <c r="Y17" s="30"/>
      <c r="Z17" s="30"/>
      <c r="AA17" s="30"/>
      <c r="AB17" s="30"/>
      <c r="AC17" s="30"/>
      <c r="AD17" s="30">
        <f>SUM(Y17:AC17)</f>
        <v>0</v>
      </c>
      <c r="AE17" s="173"/>
      <c r="AF17" s="30"/>
      <c r="AG17" s="30"/>
      <c r="AH17" s="30"/>
      <c r="AI17" s="30"/>
      <c r="AJ17" s="30"/>
      <c r="AK17" s="30">
        <f>SUM(AF17:AJ17)</f>
        <v>0</v>
      </c>
    </row>
    <row r="18" spans="1:37" ht="25.5">
      <c r="A18" s="377"/>
      <c r="B18" s="378"/>
      <c r="C18" s="378"/>
      <c r="D18" s="384"/>
      <c r="E18" s="20" t="s">
        <v>507</v>
      </c>
      <c r="F18" s="20" t="s">
        <v>508</v>
      </c>
      <c r="G18" s="20" t="s">
        <v>485</v>
      </c>
      <c r="H18" s="31">
        <f t="shared" si="8"/>
        <v>0</v>
      </c>
      <c r="I18" s="122"/>
      <c r="J18" s="173"/>
      <c r="K18" s="30"/>
      <c r="L18" s="30"/>
      <c r="M18" s="30"/>
      <c r="N18" s="30"/>
      <c r="O18" s="30"/>
      <c r="P18" s="30">
        <f>SUM(K18:O18)</f>
        <v>0</v>
      </c>
      <c r="Q18" s="173"/>
      <c r="R18" s="30"/>
      <c r="S18" s="30"/>
      <c r="T18" s="30"/>
      <c r="U18" s="30"/>
      <c r="V18" s="30"/>
      <c r="W18" s="30">
        <f>SUM(R18:V18)</f>
        <v>0</v>
      </c>
      <c r="X18" s="173"/>
      <c r="Y18" s="30"/>
      <c r="Z18" s="30"/>
      <c r="AA18" s="30"/>
      <c r="AB18" s="30"/>
      <c r="AC18" s="30"/>
      <c r="AD18" s="30">
        <f>SUM(Y18:AC18)</f>
        <v>0</v>
      </c>
      <c r="AE18" s="173"/>
      <c r="AF18" s="30"/>
      <c r="AG18" s="30"/>
      <c r="AH18" s="30"/>
      <c r="AI18" s="30"/>
      <c r="AJ18" s="30"/>
      <c r="AK18" s="30">
        <f>SUM(AF18:AJ18)</f>
        <v>0</v>
      </c>
    </row>
    <row r="19" spans="1:37" ht="38.25">
      <c r="A19" s="377"/>
      <c r="B19" s="378"/>
      <c r="C19" s="378"/>
      <c r="D19" s="384"/>
      <c r="E19" s="20" t="s">
        <v>515</v>
      </c>
      <c r="F19" s="20" t="s">
        <v>509</v>
      </c>
      <c r="G19" s="20" t="s">
        <v>127</v>
      </c>
      <c r="H19" s="31">
        <f t="shared" si="8"/>
        <v>3.0013340098000003</v>
      </c>
      <c r="I19" s="122"/>
      <c r="J19" s="173"/>
      <c r="K19" s="30"/>
      <c r="L19" s="30"/>
      <c r="M19" s="30"/>
      <c r="N19" s="30">
        <f>+N3*0.1</f>
        <v>0.7174</v>
      </c>
      <c r="O19" s="30"/>
      <c r="P19" s="30">
        <f t="shared" si="9"/>
        <v>0.7174</v>
      </c>
      <c r="Q19" s="173"/>
      <c r="R19" s="30"/>
      <c r="S19" s="30"/>
      <c r="T19" s="30"/>
      <c r="U19" s="30">
        <f>+U3*0.1</f>
        <v>0.7389220000000001</v>
      </c>
      <c r="V19" s="30"/>
      <c r="W19" s="30">
        <f t="shared" si="10"/>
        <v>0.7389220000000001</v>
      </c>
      <c r="X19" s="173"/>
      <c r="Y19" s="30"/>
      <c r="Z19" s="30"/>
      <c r="AA19" s="30"/>
      <c r="AB19" s="30">
        <f>+AB3*0.1</f>
        <v>0.7610896600000001</v>
      </c>
      <c r="AC19" s="30"/>
      <c r="AD19" s="30">
        <f t="shared" si="11"/>
        <v>0.7610896600000001</v>
      </c>
      <c r="AE19" s="173"/>
      <c r="AF19" s="30"/>
      <c r="AG19" s="30"/>
      <c r="AH19" s="30"/>
      <c r="AI19" s="30">
        <f>+AI3*0.1</f>
        <v>0.7839223498000002</v>
      </c>
      <c r="AJ19" s="30"/>
      <c r="AK19" s="30">
        <f t="shared" si="12"/>
        <v>0.7839223498000002</v>
      </c>
    </row>
    <row r="20" spans="1:37" ht="25.5">
      <c r="A20" s="377"/>
      <c r="B20" s="378"/>
      <c r="C20" s="378"/>
      <c r="D20" s="385"/>
      <c r="E20" s="20" t="s">
        <v>516</v>
      </c>
      <c r="F20" s="20" t="s">
        <v>509</v>
      </c>
      <c r="G20" s="20" t="s">
        <v>130</v>
      </c>
      <c r="H20" s="31">
        <f t="shared" si="8"/>
        <v>6.002668019600001</v>
      </c>
      <c r="I20" s="123"/>
      <c r="J20" s="174"/>
      <c r="K20" s="30"/>
      <c r="L20" s="30"/>
      <c r="M20" s="30"/>
      <c r="N20" s="30">
        <f>+N3*0.2</f>
        <v>1.4348</v>
      </c>
      <c r="O20" s="30"/>
      <c r="P20" s="30">
        <f t="shared" si="9"/>
        <v>1.4348</v>
      </c>
      <c r="Q20" s="174"/>
      <c r="R20" s="30"/>
      <c r="S20" s="30"/>
      <c r="T20" s="30"/>
      <c r="U20" s="30">
        <f>+U3*0.2</f>
        <v>1.4778440000000002</v>
      </c>
      <c r="V20" s="30"/>
      <c r="W20" s="30">
        <f t="shared" si="10"/>
        <v>1.4778440000000002</v>
      </c>
      <c r="X20" s="174"/>
      <c r="Y20" s="30"/>
      <c r="Z20" s="30"/>
      <c r="AA20" s="30"/>
      <c r="AB20" s="30">
        <f>+AB3*0.2</f>
        <v>1.5221793200000002</v>
      </c>
      <c r="AC20" s="30"/>
      <c r="AD20" s="30">
        <f t="shared" si="11"/>
        <v>1.5221793200000002</v>
      </c>
      <c r="AE20" s="174"/>
      <c r="AF20" s="30"/>
      <c r="AG20" s="30"/>
      <c r="AH20" s="30"/>
      <c r="AI20" s="30">
        <f>+AI3*0.2</f>
        <v>1.5678446996000004</v>
      </c>
      <c r="AJ20" s="30"/>
      <c r="AK20" s="30">
        <f t="shared" si="12"/>
        <v>1.5678446996000004</v>
      </c>
    </row>
    <row r="21" spans="1:37" ht="12.75">
      <c r="A21" s="377"/>
      <c r="B21" s="378"/>
      <c r="C21" s="378"/>
      <c r="G21" s="148" t="s">
        <v>235</v>
      </c>
      <c r="H21" s="96">
        <f>SUM(H15:H20)</f>
        <v>107.62335526881881</v>
      </c>
      <c r="I21" s="119">
        <f>+H21/H29</f>
        <v>0.3713803876115528</v>
      </c>
      <c r="J21" s="151"/>
      <c r="K21" s="96">
        <f aca="true" t="shared" si="13" ref="K21:AK21">SUM(K15:K20)</f>
        <v>6.74329125</v>
      </c>
      <c r="L21" s="96">
        <f t="shared" si="13"/>
        <v>0</v>
      </c>
      <c r="M21" s="96">
        <f t="shared" si="13"/>
        <v>18.150240376140005</v>
      </c>
      <c r="N21" s="96">
        <f t="shared" si="13"/>
        <v>3.587</v>
      </c>
      <c r="O21" s="96">
        <f t="shared" si="13"/>
        <v>0</v>
      </c>
      <c r="P21" s="96">
        <f t="shared" si="13"/>
        <v>28.480531626140007</v>
      </c>
      <c r="Q21" s="151"/>
      <c r="R21" s="96">
        <f t="shared" si="13"/>
        <v>7.1478887250000005</v>
      </c>
      <c r="S21" s="96">
        <f t="shared" si="13"/>
        <v>0</v>
      </c>
      <c r="T21" s="96">
        <f t="shared" si="13"/>
        <v>16.604993411824193</v>
      </c>
      <c r="U21" s="96">
        <f t="shared" si="13"/>
        <v>3.6946100000000004</v>
      </c>
      <c r="V21" s="96">
        <f t="shared" si="13"/>
        <v>0</v>
      </c>
      <c r="W21" s="96">
        <f t="shared" si="13"/>
        <v>27.447492136824195</v>
      </c>
      <c r="X21" s="151"/>
      <c r="Y21" s="96">
        <f t="shared" si="13"/>
        <v>7.576762048500001</v>
      </c>
      <c r="Z21" s="96">
        <f t="shared" si="13"/>
        <v>0</v>
      </c>
      <c r="AA21" s="96">
        <f t="shared" si="13"/>
        <v>15.007119776052116</v>
      </c>
      <c r="AB21" s="96">
        <f t="shared" si="13"/>
        <v>3.8054483000000006</v>
      </c>
      <c r="AC21" s="96">
        <f t="shared" si="13"/>
        <v>0</v>
      </c>
      <c r="AD21" s="96">
        <f t="shared" si="13"/>
        <v>26.389330124552114</v>
      </c>
      <c r="AE21" s="151"/>
      <c r="AF21" s="96">
        <f t="shared" si="13"/>
        <v>8.03136777141</v>
      </c>
      <c r="AG21" s="96">
        <f t="shared" si="13"/>
        <v>0</v>
      </c>
      <c r="AH21" s="96">
        <f t="shared" si="13"/>
        <v>13.355021860892487</v>
      </c>
      <c r="AI21" s="96">
        <f t="shared" si="13"/>
        <v>3.9196117490000013</v>
      </c>
      <c r="AJ21" s="96">
        <f t="shared" si="13"/>
        <v>0</v>
      </c>
      <c r="AK21" s="96">
        <f t="shared" si="13"/>
        <v>25.30600138130249</v>
      </c>
    </row>
    <row r="22" spans="1:3" ht="4.5" customHeight="1">
      <c r="A22" s="377"/>
      <c r="B22" s="378"/>
      <c r="C22" s="378"/>
    </row>
    <row r="23" spans="1:37" ht="51" customHeight="1">
      <c r="A23" s="377"/>
      <c r="B23" s="378"/>
      <c r="C23" s="378"/>
      <c r="D23" s="379" t="s">
        <v>517</v>
      </c>
      <c r="E23" s="382" t="s">
        <v>518</v>
      </c>
      <c r="F23" s="20" t="s">
        <v>519</v>
      </c>
      <c r="G23" s="20" t="s">
        <v>520</v>
      </c>
      <c r="H23" s="31">
        <f>+P23+W23+AD23+AK23</f>
        <v>0</v>
      </c>
      <c r="I23" s="121"/>
      <c r="J23" s="172"/>
      <c r="K23" s="30"/>
      <c r="L23" s="30"/>
      <c r="M23" s="30"/>
      <c r="N23" s="30"/>
      <c r="O23" s="30"/>
      <c r="P23" s="30">
        <f>SUM(K23:O23)</f>
        <v>0</v>
      </c>
      <c r="Q23" s="172"/>
      <c r="R23" s="30"/>
      <c r="S23" s="30"/>
      <c r="T23" s="30"/>
      <c r="U23" s="30"/>
      <c r="V23" s="30"/>
      <c r="W23" s="30">
        <f>SUM(R23:V23)</f>
        <v>0</v>
      </c>
      <c r="X23" s="172"/>
      <c r="Y23" s="30"/>
      <c r="Z23" s="30"/>
      <c r="AA23" s="30"/>
      <c r="AB23" s="30"/>
      <c r="AC23" s="30"/>
      <c r="AD23" s="30">
        <f>SUM(Y23:AC23)</f>
        <v>0</v>
      </c>
      <c r="AE23" s="172"/>
      <c r="AF23" s="30"/>
      <c r="AG23" s="30"/>
      <c r="AH23" s="30"/>
      <c r="AI23" s="30"/>
      <c r="AJ23" s="30"/>
      <c r="AK23" s="30">
        <f>SUM(AF23:AJ23)</f>
        <v>0</v>
      </c>
    </row>
    <row r="24" spans="1:37" ht="25.5">
      <c r="A24" s="377"/>
      <c r="B24" s="378"/>
      <c r="C24" s="378"/>
      <c r="D24" s="380"/>
      <c r="E24" s="383"/>
      <c r="F24" s="20" t="s">
        <v>522</v>
      </c>
      <c r="G24" s="20" t="s">
        <v>523</v>
      </c>
      <c r="H24" s="31">
        <f>+P24+W24+AD24+AK24</f>
        <v>6.002668019600001</v>
      </c>
      <c r="I24" s="122"/>
      <c r="J24" s="173"/>
      <c r="K24" s="30"/>
      <c r="L24" s="30"/>
      <c r="M24" s="30"/>
      <c r="N24" s="30">
        <f>+N3*0.2</f>
        <v>1.4348</v>
      </c>
      <c r="O24" s="30"/>
      <c r="P24" s="30">
        <f>SUM(K24:O24)</f>
        <v>1.4348</v>
      </c>
      <c r="Q24" s="173"/>
      <c r="R24" s="30"/>
      <c r="S24" s="30"/>
      <c r="T24" s="30"/>
      <c r="U24" s="30">
        <f>+U3*0.2</f>
        <v>1.4778440000000002</v>
      </c>
      <c r="V24" s="30"/>
      <c r="W24" s="30">
        <f>SUM(R24:V24)</f>
        <v>1.4778440000000002</v>
      </c>
      <c r="X24" s="173"/>
      <c r="Y24" s="30"/>
      <c r="Z24" s="30"/>
      <c r="AA24" s="30"/>
      <c r="AB24" s="30">
        <f>+AB3*0.2</f>
        <v>1.5221793200000002</v>
      </c>
      <c r="AC24" s="30"/>
      <c r="AD24" s="30">
        <f>SUM(Y24:AC24)</f>
        <v>1.5221793200000002</v>
      </c>
      <c r="AE24" s="173"/>
      <c r="AF24" s="30"/>
      <c r="AG24" s="30"/>
      <c r="AH24" s="30"/>
      <c r="AI24" s="30">
        <f>+AI3*0.2</f>
        <v>1.5678446996000004</v>
      </c>
      <c r="AJ24" s="30"/>
      <c r="AK24" s="30">
        <f>SUM(AF24:AJ24)</f>
        <v>1.5678446996000004</v>
      </c>
    </row>
    <row r="25" spans="1:37" ht="25.5">
      <c r="A25" s="377"/>
      <c r="B25" s="378"/>
      <c r="C25" s="378"/>
      <c r="D25" s="380"/>
      <c r="E25" s="383"/>
      <c r="F25" s="20" t="s">
        <v>521</v>
      </c>
      <c r="G25" s="20" t="s">
        <v>129</v>
      </c>
      <c r="H25" s="31">
        <f>+P25+W25+AD25+AK25</f>
        <v>0</v>
      </c>
      <c r="I25" s="122"/>
      <c r="J25" s="173"/>
      <c r="K25" s="30"/>
      <c r="L25" s="30"/>
      <c r="M25" s="30"/>
      <c r="N25" s="30"/>
      <c r="O25" s="30"/>
      <c r="P25" s="30">
        <f>SUM(K25:O25)</f>
        <v>0</v>
      </c>
      <c r="Q25" s="173"/>
      <c r="R25" s="30"/>
      <c r="S25" s="30"/>
      <c r="T25" s="30"/>
      <c r="U25" s="30"/>
      <c r="V25" s="30"/>
      <c r="W25" s="30">
        <f>SUM(R25:V25)</f>
        <v>0</v>
      </c>
      <c r="X25" s="173"/>
      <c r="Y25" s="30"/>
      <c r="Z25" s="30"/>
      <c r="AA25" s="30"/>
      <c r="AB25" s="30"/>
      <c r="AC25" s="30"/>
      <c r="AD25" s="30">
        <f>SUM(Y25:AC25)</f>
        <v>0</v>
      </c>
      <c r="AE25" s="173"/>
      <c r="AF25" s="30"/>
      <c r="AG25" s="30"/>
      <c r="AH25" s="30"/>
      <c r="AI25" s="30"/>
      <c r="AJ25" s="30"/>
      <c r="AK25" s="30">
        <f>SUM(AF25:AJ25)</f>
        <v>0</v>
      </c>
    </row>
    <row r="26" spans="1:37" ht="25.5">
      <c r="A26" s="377"/>
      <c r="B26" s="378"/>
      <c r="C26" s="378"/>
      <c r="D26" s="381"/>
      <c r="E26" s="376"/>
      <c r="F26" s="20" t="s">
        <v>524</v>
      </c>
      <c r="G26" s="20" t="s">
        <v>128</v>
      </c>
      <c r="H26" s="31">
        <f>+P26+W26+AD26+AK26</f>
        <v>9.833103264970001</v>
      </c>
      <c r="I26" s="123"/>
      <c r="J26" s="174"/>
      <c r="K26" s="30">
        <f>+K3*0.05</f>
        <v>2.2477637500000003</v>
      </c>
      <c r="L26" s="30"/>
      <c r="M26" s="30"/>
      <c r="N26" s="30"/>
      <c r="O26" s="30"/>
      <c r="P26" s="30">
        <f>SUM(K26:O26)</f>
        <v>2.2477637500000003</v>
      </c>
      <c r="Q26" s="174"/>
      <c r="R26" s="30">
        <f>+R3*0.05</f>
        <v>2.382629575</v>
      </c>
      <c r="S26" s="30"/>
      <c r="T26" s="30"/>
      <c r="U26" s="30"/>
      <c r="V26" s="30"/>
      <c r="W26" s="30">
        <f>SUM(R26:V26)</f>
        <v>2.382629575</v>
      </c>
      <c r="X26" s="174"/>
      <c r="Y26" s="30">
        <f>+Y3*0.05</f>
        <v>2.5255873495000003</v>
      </c>
      <c r="Z26" s="30"/>
      <c r="AA26" s="30"/>
      <c r="AB26" s="30"/>
      <c r="AC26" s="30"/>
      <c r="AD26" s="30">
        <f>SUM(Y26:AC26)</f>
        <v>2.5255873495000003</v>
      </c>
      <c r="AE26" s="174"/>
      <c r="AF26" s="30">
        <f>+AF3*0.05</f>
        <v>2.6771225904700002</v>
      </c>
      <c r="AG26" s="30"/>
      <c r="AH26" s="30"/>
      <c r="AI26" s="30"/>
      <c r="AJ26" s="30"/>
      <c r="AK26" s="30">
        <f>SUM(AF26:AJ26)</f>
        <v>2.6771225904700002</v>
      </c>
    </row>
    <row r="27" spans="7:37" ht="12.75">
      <c r="G27" s="148" t="s">
        <v>235</v>
      </c>
      <c r="H27" s="96">
        <f>SUM(H23:H26)</f>
        <v>15.83577128457</v>
      </c>
      <c r="I27" s="119">
        <f>+H27/H29</f>
        <v>0.05464515451225116</v>
      </c>
      <c r="J27" s="151"/>
      <c r="K27" s="96">
        <f aca="true" t="shared" si="14" ref="K27:AK27">SUM(K23:K26)</f>
        <v>2.2477637500000003</v>
      </c>
      <c r="L27" s="96">
        <f t="shared" si="14"/>
        <v>0</v>
      </c>
      <c r="M27" s="96">
        <f t="shared" si="14"/>
        <v>0</v>
      </c>
      <c r="N27" s="96">
        <f t="shared" si="14"/>
        <v>1.4348</v>
      </c>
      <c r="O27" s="96">
        <f t="shared" si="14"/>
        <v>0</v>
      </c>
      <c r="P27" s="96">
        <f t="shared" si="14"/>
        <v>3.6825637500000004</v>
      </c>
      <c r="Q27" s="151"/>
      <c r="R27" s="96">
        <f t="shared" si="14"/>
        <v>2.382629575</v>
      </c>
      <c r="S27" s="96">
        <f t="shared" si="14"/>
        <v>0</v>
      </c>
      <c r="T27" s="96">
        <f t="shared" si="14"/>
        <v>0</v>
      </c>
      <c r="U27" s="96">
        <f t="shared" si="14"/>
        <v>1.4778440000000002</v>
      </c>
      <c r="V27" s="96">
        <f t="shared" si="14"/>
        <v>0</v>
      </c>
      <c r="W27" s="96">
        <f t="shared" si="14"/>
        <v>3.8604735750000003</v>
      </c>
      <c r="X27" s="151"/>
      <c r="Y27" s="96">
        <f t="shared" si="14"/>
        <v>2.5255873495000003</v>
      </c>
      <c r="Z27" s="96">
        <f t="shared" si="14"/>
        <v>0</v>
      </c>
      <c r="AA27" s="96">
        <f t="shared" si="14"/>
        <v>0</v>
      </c>
      <c r="AB27" s="96">
        <f t="shared" si="14"/>
        <v>1.5221793200000002</v>
      </c>
      <c r="AC27" s="96">
        <f t="shared" si="14"/>
        <v>0</v>
      </c>
      <c r="AD27" s="96">
        <f t="shared" si="14"/>
        <v>4.0477666695000005</v>
      </c>
      <c r="AE27" s="151"/>
      <c r="AF27" s="96">
        <f t="shared" si="14"/>
        <v>2.6771225904700002</v>
      </c>
      <c r="AG27" s="96">
        <f t="shared" si="14"/>
        <v>0</v>
      </c>
      <c r="AH27" s="96">
        <f t="shared" si="14"/>
        <v>0</v>
      </c>
      <c r="AI27" s="96">
        <f t="shared" si="14"/>
        <v>1.5678446996000004</v>
      </c>
      <c r="AJ27" s="96">
        <f t="shared" si="14"/>
        <v>0</v>
      </c>
      <c r="AK27" s="96">
        <f t="shared" si="14"/>
        <v>4.244967290070001</v>
      </c>
    </row>
    <row r="28" ht="4.5" customHeight="1"/>
    <row r="29" spans="7:37" ht="12.75">
      <c r="G29" s="148" t="s">
        <v>44</v>
      </c>
      <c r="H29" s="96">
        <f>+H13+H21+H27</f>
        <v>289.7927808223088</v>
      </c>
      <c r="I29" s="119">
        <f aca="true" t="shared" si="15" ref="I29:AK29">+I13+I21+I27</f>
        <v>1</v>
      </c>
      <c r="J29" s="151"/>
      <c r="K29" s="96">
        <f t="shared" si="15"/>
        <v>44.95527499999999</v>
      </c>
      <c r="L29" s="96">
        <f t="shared" si="15"/>
        <v>0</v>
      </c>
      <c r="M29" s="96">
        <f t="shared" si="15"/>
        <v>18.150240376140005</v>
      </c>
      <c r="N29" s="96">
        <f t="shared" si="15"/>
        <v>7.174</v>
      </c>
      <c r="O29" s="96">
        <f t="shared" si="15"/>
        <v>0</v>
      </c>
      <c r="P29" s="96">
        <f t="shared" si="15"/>
        <v>70.27951537614</v>
      </c>
      <c r="Q29" s="151"/>
      <c r="R29" s="96">
        <f t="shared" si="15"/>
        <v>47.65259150000001</v>
      </c>
      <c r="S29" s="96">
        <f t="shared" si="15"/>
        <v>0</v>
      </c>
      <c r="T29" s="96">
        <f t="shared" si="15"/>
        <v>16.604993411824193</v>
      </c>
      <c r="U29" s="96">
        <f t="shared" si="15"/>
        <v>7.389220000000001</v>
      </c>
      <c r="V29" s="96">
        <f t="shared" si="15"/>
        <v>0</v>
      </c>
      <c r="W29" s="96">
        <f t="shared" si="15"/>
        <v>71.64680491182419</v>
      </c>
      <c r="X29" s="151"/>
      <c r="Y29" s="96">
        <f t="shared" si="15"/>
        <v>50.51174699</v>
      </c>
      <c r="Z29" s="96">
        <f t="shared" si="15"/>
        <v>0</v>
      </c>
      <c r="AA29" s="96">
        <f t="shared" si="15"/>
        <v>15.007119776052116</v>
      </c>
      <c r="AB29" s="96">
        <f t="shared" si="15"/>
        <v>7.610896600000001</v>
      </c>
      <c r="AC29" s="96">
        <f t="shared" si="15"/>
        <v>0</v>
      </c>
      <c r="AD29" s="96">
        <f t="shared" si="15"/>
        <v>73.12976336605212</v>
      </c>
      <c r="AE29" s="151"/>
      <c r="AF29" s="96">
        <f t="shared" si="15"/>
        <v>53.5424518094</v>
      </c>
      <c r="AG29" s="96">
        <f t="shared" si="15"/>
        <v>0</v>
      </c>
      <c r="AH29" s="96">
        <f t="shared" si="15"/>
        <v>13.355021860892487</v>
      </c>
      <c r="AI29" s="96">
        <f t="shared" si="15"/>
        <v>7.839223498000002</v>
      </c>
      <c r="AJ29" s="96">
        <f t="shared" si="15"/>
        <v>0</v>
      </c>
      <c r="AK29" s="96">
        <f t="shared" si="15"/>
        <v>74.7366971682925</v>
      </c>
    </row>
  </sheetData>
  <sheetProtection/>
  <mergeCells count="28">
    <mergeCell ref="Q4:Q5"/>
    <mergeCell ref="X4:X5"/>
    <mergeCell ref="AE4:AE5"/>
    <mergeCell ref="A6:A26"/>
    <mergeCell ref="B6:B26"/>
    <mergeCell ref="C6:C26"/>
    <mergeCell ref="D23:D26"/>
    <mergeCell ref="E23:E26"/>
    <mergeCell ref="D15:D20"/>
    <mergeCell ref="D6:D12"/>
    <mergeCell ref="I4:I5"/>
    <mergeCell ref="J4:J5"/>
    <mergeCell ref="G4:G5"/>
    <mergeCell ref="H4:H5"/>
    <mergeCell ref="B1:G1"/>
    <mergeCell ref="B2:G2"/>
    <mergeCell ref="B3:G3"/>
    <mergeCell ref="F4:F5"/>
    <mergeCell ref="E8:E9"/>
    <mergeCell ref="K4:P4"/>
    <mergeCell ref="R4:W4"/>
    <mergeCell ref="Y4:AD4"/>
    <mergeCell ref="AF4:AK4"/>
    <mergeCell ref="A4:A5"/>
    <mergeCell ref="B4:B5"/>
    <mergeCell ref="C4:C5"/>
    <mergeCell ref="D4:D5"/>
    <mergeCell ref="E4:E5"/>
  </mergeCells>
  <printOptions horizontalCentered="1"/>
  <pageMargins left="0.3937007874015748" right="1.1811023622047245" top="0.984251968503937" bottom="0.984251968503937" header="0.5118110236220472" footer="0.5118110236220472"/>
  <pageSetup fitToHeight="1" fitToWidth="1" horizontalDpi="600" verticalDpi="600" orientation="landscape" scale="57" r:id="rId1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14"/>
  <sheetViews>
    <sheetView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10.28125" style="138" customWidth="1"/>
    <col min="2" max="2" width="10.421875" style="138" customWidth="1"/>
    <col min="3" max="4" width="15.7109375" style="138" customWidth="1"/>
    <col min="5" max="5" width="25.28125" style="138" customWidth="1"/>
    <col min="6" max="6" width="24.8515625" style="138" customWidth="1"/>
    <col min="7" max="7" width="30.140625" style="138" customWidth="1"/>
    <col min="8" max="8" width="11.00390625" style="139" bestFit="1" customWidth="1"/>
    <col min="9" max="9" width="7.00390625" style="139" customWidth="1"/>
    <col min="10" max="10" width="1.7109375" style="139" customWidth="1"/>
    <col min="11" max="11" width="7.28125" style="89" bestFit="1" customWidth="1"/>
    <col min="12" max="12" width="6.140625" style="89" bestFit="1" customWidth="1"/>
    <col min="13" max="13" width="6.57421875" style="89" bestFit="1" customWidth="1"/>
    <col min="14" max="14" width="8.140625" style="89" bestFit="1" customWidth="1"/>
    <col min="15" max="15" width="8.00390625" style="89" bestFit="1" customWidth="1"/>
    <col min="16" max="16" width="7.28125" style="89" bestFit="1" customWidth="1"/>
    <col min="17" max="17" width="1.7109375" style="139" customWidth="1"/>
    <col min="18" max="18" width="7.28125" style="89" bestFit="1" customWidth="1"/>
    <col min="19" max="19" width="6.140625" style="89" bestFit="1" customWidth="1"/>
    <col min="20" max="20" width="6.57421875" style="89" bestFit="1" customWidth="1"/>
    <col min="21" max="21" width="8.140625" style="89" bestFit="1" customWidth="1"/>
    <col min="22" max="22" width="8.00390625" style="89" bestFit="1" customWidth="1"/>
    <col min="23" max="23" width="7.28125" style="89" bestFit="1" customWidth="1"/>
    <col min="24" max="24" width="1.7109375" style="139" customWidth="1"/>
    <col min="25" max="25" width="7.28125" style="89" bestFit="1" customWidth="1"/>
    <col min="26" max="26" width="6.140625" style="89" bestFit="1" customWidth="1"/>
    <col min="27" max="27" width="6.57421875" style="89" bestFit="1" customWidth="1"/>
    <col min="28" max="28" width="8.140625" style="89" bestFit="1" customWidth="1"/>
    <col min="29" max="29" width="8.00390625" style="89" bestFit="1" customWidth="1"/>
    <col min="30" max="30" width="7.28125" style="89" bestFit="1" customWidth="1"/>
    <col min="31" max="31" width="1.7109375" style="139" customWidth="1"/>
    <col min="32" max="32" width="7.28125" style="89" bestFit="1" customWidth="1"/>
    <col min="33" max="33" width="6.140625" style="89" bestFit="1" customWidth="1"/>
    <col min="34" max="34" width="6.57421875" style="89" bestFit="1" customWidth="1"/>
    <col min="35" max="35" width="8.140625" style="89" bestFit="1" customWidth="1"/>
    <col min="36" max="36" width="8.00390625" style="89" bestFit="1" customWidth="1"/>
    <col min="37" max="37" width="7.28125" style="89" bestFit="1" customWidth="1"/>
    <col min="38" max="16384" width="11.421875" style="89" customWidth="1"/>
  </cols>
  <sheetData>
    <row r="1" spans="2:37" s="153" customFormat="1" ht="12.75">
      <c r="B1" s="311" t="s">
        <v>134</v>
      </c>
      <c r="C1" s="311"/>
      <c r="D1" s="311"/>
      <c r="E1" s="311"/>
      <c r="F1" s="311"/>
      <c r="G1" s="311"/>
      <c r="K1" s="229">
        <f aca="true" t="shared" si="0" ref="K1:AK1">+K3-K2</f>
        <v>-14.6353605</v>
      </c>
      <c r="L1" s="229">
        <f t="shared" si="0"/>
        <v>0</v>
      </c>
      <c r="M1" s="229">
        <f t="shared" si="0"/>
        <v>0</v>
      </c>
      <c r="N1" s="229">
        <f t="shared" si="0"/>
        <v>0</v>
      </c>
      <c r="O1" s="229">
        <f t="shared" si="0"/>
        <v>0</v>
      </c>
      <c r="P1" s="229">
        <f t="shared" si="0"/>
        <v>-14.6353605</v>
      </c>
      <c r="Q1" s="230"/>
      <c r="R1" s="229">
        <f t="shared" si="0"/>
        <v>-27.92426783399999</v>
      </c>
      <c r="S1" s="229">
        <f t="shared" si="0"/>
        <v>0</v>
      </c>
      <c r="T1" s="229">
        <f t="shared" si="0"/>
        <v>0</v>
      </c>
      <c r="U1" s="229">
        <f t="shared" si="0"/>
        <v>0</v>
      </c>
      <c r="V1" s="229">
        <f t="shared" si="0"/>
        <v>0</v>
      </c>
      <c r="W1" s="229">
        <f t="shared" si="0"/>
        <v>-27.92426783399999</v>
      </c>
      <c r="X1" s="230"/>
      <c r="Y1" s="229">
        <f t="shared" si="0"/>
        <v>-29.599723904039998</v>
      </c>
      <c r="Z1" s="229">
        <f t="shared" si="0"/>
        <v>0</v>
      </c>
      <c r="AA1" s="229">
        <f t="shared" si="0"/>
        <v>0</v>
      </c>
      <c r="AB1" s="229">
        <f t="shared" si="0"/>
        <v>0</v>
      </c>
      <c r="AC1" s="229">
        <f t="shared" si="0"/>
        <v>0</v>
      </c>
      <c r="AD1" s="229">
        <f t="shared" si="0"/>
        <v>-29.599723904039998</v>
      </c>
      <c r="AE1" s="230"/>
      <c r="AF1" s="229">
        <f t="shared" si="0"/>
        <v>-31.375707338282396</v>
      </c>
      <c r="AG1" s="229">
        <f t="shared" si="0"/>
        <v>0</v>
      </c>
      <c r="AH1" s="229">
        <f t="shared" si="0"/>
        <v>0</v>
      </c>
      <c r="AI1" s="229">
        <f t="shared" si="0"/>
        <v>0</v>
      </c>
      <c r="AJ1" s="229">
        <f t="shared" si="0"/>
        <v>0</v>
      </c>
      <c r="AK1" s="229">
        <f t="shared" si="0"/>
        <v>-31.375707338282396</v>
      </c>
    </row>
    <row r="2" spans="2:37" s="153" customFormat="1" ht="12.75">
      <c r="B2" s="312" t="s">
        <v>137</v>
      </c>
      <c r="C2" s="312"/>
      <c r="D2" s="312"/>
      <c r="E2" s="312"/>
      <c r="F2" s="312"/>
      <c r="G2" s="312"/>
      <c r="K2" s="229">
        <f aca="true" t="shared" si="1" ref="K2:P2">+K14</f>
        <v>43.9060815</v>
      </c>
      <c r="L2" s="229">
        <f t="shared" si="1"/>
        <v>0</v>
      </c>
      <c r="M2" s="229">
        <f t="shared" si="1"/>
        <v>0</v>
      </c>
      <c r="N2" s="229">
        <f t="shared" si="1"/>
        <v>0</v>
      </c>
      <c r="O2" s="229">
        <f t="shared" si="1"/>
        <v>0</v>
      </c>
      <c r="P2" s="229">
        <f t="shared" si="1"/>
        <v>43.9060815</v>
      </c>
      <c r="Q2" s="229"/>
      <c r="R2" s="229">
        <f aca="true" t="shared" si="2" ref="R2:W2">+R14</f>
        <v>58.95123209399999</v>
      </c>
      <c r="S2" s="229">
        <f t="shared" si="2"/>
        <v>0</v>
      </c>
      <c r="T2" s="229">
        <f t="shared" si="2"/>
        <v>0</v>
      </c>
      <c r="U2" s="229">
        <f t="shared" si="2"/>
        <v>0</v>
      </c>
      <c r="V2" s="229">
        <f t="shared" si="2"/>
        <v>0</v>
      </c>
      <c r="W2" s="229">
        <f t="shared" si="2"/>
        <v>58.95123209399999</v>
      </c>
      <c r="X2" s="229"/>
      <c r="Y2" s="229">
        <f aca="true" t="shared" si="3" ref="Y2:AD2">+Y14</f>
        <v>62.48830601964</v>
      </c>
      <c r="Z2" s="229">
        <f t="shared" si="3"/>
        <v>0</v>
      </c>
      <c r="AA2" s="229">
        <f t="shared" si="3"/>
        <v>0</v>
      </c>
      <c r="AB2" s="229">
        <f t="shared" si="3"/>
        <v>0</v>
      </c>
      <c r="AC2" s="229">
        <f t="shared" si="3"/>
        <v>0</v>
      </c>
      <c r="AD2" s="229">
        <f t="shared" si="3"/>
        <v>62.48830601964</v>
      </c>
      <c r="AE2" s="229"/>
      <c r="AF2" s="229">
        <f aca="true" t="shared" si="4" ref="AF2:AK2">+AF14</f>
        <v>66.2376043808184</v>
      </c>
      <c r="AG2" s="229">
        <f t="shared" si="4"/>
        <v>0</v>
      </c>
      <c r="AH2" s="229">
        <f t="shared" si="4"/>
        <v>0</v>
      </c>
      <c r="AI2" s="229">
        <f t="shared" si="4"/>
        <v>0</v>
      </c>
      <c r="AJ2" s="229">
        <f t="shared" si="4"/>
        <v>0</v>
      </c>
      <c r="AK2" s="229">
        <f t="shared" si="4"/>
        <v>66.2376043808184</v>
      </c>
    </row>
    <row r="3" spans="2:37" s="153" customFormat="1" ht="12.75">
      <c r="B3" s="313" t="s">
        <v>136</v>
      </c>
      <c r="C3" s="313"/>
      <c r="D3" s="313"/>
      <c r="E3" s="313"/>
      <c r="F3" s="313"/>
      <c r="G3" s="313"/>
      <c r="K3" s="229">
        <f>+PROYECCIONES!D101</f>
        <v>29.270720999999998</v>
      </c>
      <c r="L3" s="229">
        <v>0</v>
      </c>
      <c r="M3" s="229">
        <v>0</v>
      </c>
      <c r="N3" s="229">
        <v>0</v>
      </c>
      <c r="O3" s="229">
        <v>0</v>
      </c>
      <c r="P3" s="229">
        <f>SUM(K3:O3)</f>
        <v>29.270720999999998</v>
      </c>
      <c r="Q3" s="230"/>
      <c r="R3" s="229">
        <f>+PROYECCIONES!E101</f>
        <v>31.02696426</v>
      </c>
      <c r="S3" s="229">
        <v>0</v>
      </c>
      <c r="T3" s="229">
        <v>0</v>
      </c>
      <c r="U3" s="229">
        <v>0</v>
      </c>
      <c r="V3" s="229">
        <v>0</v>
      </c>
      <c r="W3" s="229">
        <f>SUM(R3:V3)</f>
        <v>31.02696426</v>
      </c>
      <c r="X3" s="230"/>
      <c r="Y3" s="229">
        <f>+PROYECCIONES!F101</f>
        <v>32.8885821156</v>
      </c>
      <c r="Z3" s="229">
        <v>0</v>
      </c>
      <c r="AA3" s="229">
        <v>0</v>
      </c>
      <c r="AB3" s="229">
        <v>0</v>
      </c>
      <c r="AC3" s="229">
        <v>0</v>
      </c>
      <c r="AD3" s="229">
        <f>SUM(Y3:AC3)</f>
        <v>32.8885821156</v>
      </c>
      <c r="AE3" s="230"/>
      <c r="AF3" s="229">
        <f>+PROYECCIONES!G101</f>
        <v>34.861897042536</v>
      </c>
      <c r="AG3" s="229">
        <v>0</v>
      </c>
      <c r="AH3" s="229">
        <v>0</v>
      </c>
      <c r="AI3" s="229">
        <v>0</v>
      </c>
      <c r="AJ3" s="229">
        <v>0</v>
      </c>
      <c r="AK3" s="229">
        <f>SUM(AF3:AJ3)</f>
        <v>34.861897042536</v>
      </c>
    </row>
    <row r="4" spans="1:37" s="136" customFormat="1" ht="15" customHeight="1">
      <c r="A4" s="307" t="s">
        <v>35</v>
      </c>
      <c r="B4" s="307" t="s">
        <v>47</v>
      </c>
      <c r="C4" s="307" t="s">
        <v>0</v>
      </c>
      <c r="D4" s="307" t="s">
        <v>2</v>
      </c>
      <c r="E4" s="307" t="s">
        <v>39</v>
      </c>
      <c r="F4" s="307" t="s">
        <v>37</v>
      </c>
      <c r="G4" s="307" t="s">
        <v>10</v>
      </c>
      <c r="H4" s="307" t="s">
        <v>45</v>
      </c>
      <c r="I4" s="307" t="s">
        <v>266</v>
      </c>
      <c r="J4" s="182"/>
      <c r="K4" s="354">
        <v>2012</v>
      </c>
      <c r="L4" s="354"/>
      <c r="M4" s="354"/>
      <c r="N4" s="354"/>
      <c r="O4" s="354"/>
      <c r="P4" s="354"/>
      <c r="Q4" s="182"/>
      <c r="R4" s="354">
        <v>2013</v>
      </c>
      <c r="S4" s="354"/>
      <c r="T4" s="354"/>
      <c r="U4" s="354"/>
      <c r="V4" s="354"/>
      <c r="W4" s="354"/>
      <c r="X4" s="182"/>
      <c r="Y4" s="354">
        <v>2014</v>
      </c>
      <c r="Z4" s="354"/>
      <c r="AA4" s="354"/>
      <c r="AB4" s="354"/>
      <c r="AC4" s="354"/>
      <c r="AD4" s="354"/>
      <c r="AE4" s="182"/>
      <c r="AF4" s="354">
        <v>2015</v>
      </c>
      <c r="AG4" s="354"/>
      <c r="AH4" s="354"/>
      <c r="AI4" s="354"/>
      <c r="AJ4" s="354"/>
      <c r="AK4" s="354"/>
    </row>
    <row r="5" spans="1:37" s="136" customFormat="1" ht="12.75">
      <c r="A5" s="308"/>
      <c r="B5" s="308"/>
      <c r="C5" s="308"/>
      <c r="D5" s="314"/>
      <c r="E5" s="314"/>
      <c r="F5" s="314"/>
      <c r="G5" s="314"/>
      <c r="H5" s="308"/>
      <c r="I5" s="308"/>
      <c r="J5" s="183"/>
      <c r="K5" s="28" t="s">
        <v>40</v>
      </c>
      <c r="L5" s="29" t="s">
        <v>41</v>
      </c>
      <c r="M5" s="28" t="s">
        <v>42</v>
      </c>
      <c r="N5" s="28" t="s">
        <v>43</v>
      </c>
      <c r="O5" s="28" t="s">
        <v>1</v>
      </c>
      <c r="P5" s="28" t="s">
        <v>44</v>
      </c>
      <c r="Q5" s="183"/>
      <c r="R5" s="28" t="s">
        <v>40</v>
      </c>
      <c r="S5" s="29" t="s">
        <v>41</v>
      </c>
      <c r="T5" s="28" t="s">
        <v>42</v>
      </c>
      <c r="U5" s="28" t="s">
        <v>43</v>
      </c>
      <c r="V5" s="28" t="s">
        <v>1</v>
      </c>
      <c r="W5" s="28" t="s">
        <v>44</v>
      </c>
      <c r="X5" s="183"/>
      <c r="Y5" s="28" t="s">
        <v>40</v>
      </c>
      <c r="Z5" s="29" t="s">
        <v>41</v>
      </c>
      <c r="AA5" s="28" t="s">
        <v>42</v>
      </c>
      <c r="AB5" s="28" t="s">
        <v>43</v>
      </c>
      <c r="AC5" s="28" t="s">
        <v>1</v>
      </c>
      <c r="AD5" s="28" t="s">
        <v>44</v>
      </c>
      <c r="AE5" s="183"/>
      <c r="AF5" s="28" t="s">
        <v>40</v>
      </c>
      <c r="AG5" s="29" t="s">
        <v>41</v>
      </c>
      <c r="AH5" s="28" t="s">
        <v>42</v>
      </c>
      <c r="AI5" s="28" t="s">
        <v>43</v>
      </c>
      <c r="AJ5" s="28" t="s">
        <v>1</v>
      </c>
      <c r="AK5" s="28" t="s">
        <v>44</v>
      </c>
    </row>
    <row r="6" spans="1:37" ht="49.5" customHeight="1">
      <c r="A6" s="388" t="s">
        <v>56</v>
      </c>
      <c r="B6" s="388" t="s">
        <v>5</v>
      </c>
      <c r="C6" s="296" t="s">
        <v>69</v>
      </c>
      <c r="D6" s="347" t="s">
        <v>385</v>
      </c>
      <c r="E6" s="20" t="s">
        <v>392</v>
      </c>
      <c r="F6" s="20" t="s">
        <v>393</v>
      </c>
      <c r="G6" s="20" t="s">
        <v>394</v>
      </c>
      <c r="H6" s="31">
        <f>+P6+W6+AD6+AK6</f>
        <v>74.8227302666952</v>
      </c>
      <c r="I6" s="184"/>
      <c r="J6" s="185"/>
      <c r="K6" s="30">
        <f>+K3*0.3</f>
        <v>8.781216299999999</v>
      </c>
      <c r="L6" s="30"/>
      <c r="M6" s="30"/>
      <c r="N6" s="30"/>
      <c r="O6" s="30"/>
      <c r="P6" s="30">
        <f>SUM(K6:O6)</f>
        <v>8.781216299999999</v>
      </c>
      <c r="Q6" s="185"/>
      <c r="R6" s="30">
        <f>+R3*0.6</f>
        <v>18.616178555999998</v>
      </c>
      <c r="S6" s="30"/>
      <c r="T6" s="30"/>
      <c r="U6" s="30"/>
      <c r="V6" s="30"/>
      <c r="W6" s="30">
        <f>SUM(R6:V6)</f>
        <v>18.616178555999998</v>
      </c>
      <c r="X6" s="185"/>
      <c r="Y6" s="30">
        <f>+Y3*0.7</f>
        <v>23.02200748092</v>
      </c>
      <c r="Z6" s="30"/>
      <c r="AA6" s="30"/>
      <c r="AB6" s="30"/>
      <c r="AC6" s="30"/>
      <c r="AD6" s="30">
        <f>SUM(Y6:AC6)</f>
        <v>23.02200748092</v>
      </c>
      <c r="AE6" s="185"/>
      <c r="AF6" s="30">
        <f>+AF3*0.7</f>
        <v>24.403327929775198</v>
      </c>
      <c r="AG6" s="30"/>
      <c r="AH6" s="30"/>
      <c r="AI6" s="30"/>
      <c r="AJ6" s="30"/>
      <c r="AK6" s="30">
        <f>SUM(AF6:AJ6)</f>
        <v>24.403327929775198</v>
      </c>
    </row>
    <row r="7" spans="1:37" ht="60.75" customHeight="1">
      <c r="A7" s="388"/>
      <c r="B7" s="388"/>
      <c r="C7" s="296"/>
      <c r="D7" s="386"/>
      <c r="E7" s="20" t="s">
        <v>391</v>
      </c>
      <c r="F7" s="20" t="s">
        <v>395</v>
      </c>
      <c r="G7" s="20" t="s">
        <v>390</v>
      </c>
      <c r="H7" s="31">
        <f>+P7+W7+AD7+AK7</f>
        <v>4.654044638999999</v>
      </c>
      <c r="I7" s="186"/>
      <c r="J7" s="187"/>
      <c r="K7" s="30"/>
      <c r="L7" s="30"/>
      <c r="M7" s="30"/>
      <c r="N7" s="30"/>
      <c r="O7" s="30"/>
      <c r="P7" s="30">
        <f>SUM(K7:O7)</f>
        <v>0</v>
      </c>
      <c r="Q7" s="187"/>
      <c r="R7" s="30">
        <f>+R3*0.15</f>
        <v>4.654044638999999</v>
      </c>
      <c r="S7" s="30"/>
      <c r="T7" s="30"/>
      <c r="U7" s="30"/>
      <c r="V7" s="30"/>
      <c r="W7" s="30">
        <f>SUM(R7:V7)</f>
        <v>4.654044638999999</v>
      </c>
      <c r="X7" s="187"/>
      <c r="Y7" s="30"/>
      <c r="Z7" s="30"/>
      <c r="AA7" s="30"/>
      <c r="AB7" s="30"/>
      <c r="AC7" s="30"/>
      <c r="AD7" s="30">
        <f>SUM(Y7:AC7)</f>
        <v>0</v>
      </c>
      <c r="AE7" s="187"/>
      <c r="AF7" s="30"/>
      <c r="AG7" s="30"/>
      <c r="AH7" s="30"/>
      <c r="AI7" s="30"/>
      <c r="AJ7" s="30"/>
      <c r="AK7" s="30">
        <f>SUM(AF7:AJ7)</f>
        <v>0</v>
      </c>
    </row>
    <row r="8" spans="1:37" ht="44.25" customHeight="1">
      <c r="A8" s="388"/>
      <c r="B8" s="388"/>
      <c r="C8" s="296"/>
      <c r="D8" s="387"/>
      <c r="E8" s="20" t="s">
        <v>387</v>
      </c>
      <c r="F8" s="20" t="s">
        <v>389</v>
      </c>
      <c r="G8" s="20" t="s">
        <v>388</v>
      </c>
      <c r="H8" s="31">
        <f>+P8+W8+AD8+AK8</f>
        <v>24.058284670627202</v>
      </c>
      <c r="I8" s="186"/>
      <c r="J8" s="187"/>
      <c r="K8" s="30">
        <f>+K3*0.2</f>
        <v>5.8541442</v>
      </c>
      <c r="L8" s="30"/>
      <c r="M8" s="30"/>
      <c r="N8" s="30"/>
      <c r="O8" s="30"/>
      <c r="P8" s="30">
        <f>SUM(K8:O8)</f>
        <v>5.8541442</v>
      </c>
      <c r="Q8" s="187"/>
      <c r="R8" s="30">
        <f>+R3*0.15</f>
        <v>4.654044638999999</v>
      </c>
      <c r="S8" s="30"/>
      <c r="T8" s="30"/>
      <c r="U8" s="30"/>
      <c r="V8" s="30"/>
      <c r="W8" s="30">
        <f>SUM(R8:V8)</f>
        <v>4.654044638999999</v>
      </c>
      <c r="X8" s="187"/>
      <c r="Y8" s="30">
        <f>+Y3*0.2</f>
        <v>6.577716423120001</v>
      </c>
      <c r="Z8" s="30"/>
      <c r="AA8" s="30"/>
      <c r="AB8" s="30"/>
      <c r="AC8" s="30"/>
      <c r="AD8" s="30">
        <f>SUM(Y8:AC8)</f>
        <v>6.577716423120001</v>
      </c>
      <c r="AE8" s="187"/>
      <c r="AF8" s="30">
        <f>+AF3*0.2</f>
        <v>6.972379408507201</v>
      </c>
      <c r="AG8" s="30"/>
      <c r="AH8" s="30"/>
      <c r="AI8" s="30"/>
      <c r="AJ8" s="30"/>
      <c r="AK8" s="30">
        <f>SUM(AF8:AJ8)</f>
        <v>6.972379408507201</v>
      </c>
    </row>
    <row r="9" spans="1:37" ht="12.75">
      <c r="A9" s="388"/>
      <c r="B9" s="388"/>
      <c r="G9" s="142" t="s">
        <v>235</v>
      </c>
      <c r="H9" s="96">
        <f>SUM(H6:H8)</f>
        <v>103.53505957632241</v>
      </c>
      <c r="I9" s="189">
        <f>+H9/H14</f>
        <v>0.8085634030506905</v>
      </c>
      <c r="J9" s="190"/>
      <c r="K9" s="96">
        <f aca="true" t="shared" si="5" ref="K9:P9">SUM(K6:K8)</f>
        <v>14.635360499999999</v>
      </c>
      <c r="L9" s="96">
        <f t="shared" si="5"/>
        <v>0</v>
      </c>
      <c r="M9" s="96">
        <f t="shared" si="5"/>
        <v>0</v>
      </c>
      <c r="N9" s="96">
        <f t="shared" si="5"/>
        <v>0</v>
      </c>
      <c r="O9" s="96">
        <f t="shared" si="5"/>
        <v>0</v>
      </c>
      <c r="P9" s="96">
        <f t="shared" si="5"/>
        <v>14.635360499999999</v>
      </c>
      <c r="Q9" s="190"/>
      <c r="R9" s="96">
        <f aca="true" t="shared" si="6" ref="R9:W9">SUM(R6:R8)</f>
        <v>27.924267833999995</v>
      </c>
      <c r="S9" s="96">
        <f t="shared" si="6"/>
        <v>0</v>
      </c>
      <c r="T9" s="96">
        <f t="shared" si="6"/>
        <v>0</v>
      </c>
      <c r="U9" s="96">
        <f t="shared" si="6"/>
        <v>0</v>
      </c>
      <c r="V9" s="96">
        <f t="shared" si="6"/>
        <v>0</v>
      </c>
      <c r="W9" s="96">
        <f t="shared" si="6"/>
        <v>27.924267833999995</v>
      </c>
      <c r="X9" s="190"/>
      <c r="Y9" s="96">
        <f aca="true" t="shared" si="7" ref="Y9:AD9">SUM(Y6:Y8)</f>
        <v>29.59972390404</v>
      </c>
      <c r="Z9" s="96">
        <f t="shared" si="7"/>
        <v>0</v>
      </c>
      <c r="AA9" s="96">
        <f t="shared" si="7"/>
        <v>0</v>
      </c>
      <c r="AB9" s="96">
        <f t="shared" si="7"/>
        <v>0</v>
      </c>
      <c r="AC9" s="96">
        <f t="shared" si="7"/>
        <v>0</v>
      </c>
      <c r="AD9" s="96">
        <f t="shared" si="7"/>
        <v>29.59972390404</v>
      </c>
      <c r="AE9" s="190"/>
      <c r="AF9" s="96">
        <f aca="true" t="shared" si="8" ref="AF9:AK9">SUM(AF6:AF8)</f>
        <v>31.3757073382824</v>
      </c>
      <c r="AG9" s="96">
        <f t="shared" si="8"/>
        <v>0</v>
      </c>
      <c r="AH9" s="96">
        <f t="shared" si="8"/>
        <v>0</v>
      </c>
      <c r="AI9" s="96">
        <f t="shared" si="8"/>
        <v>0</v>
      </c>
      <c r="AJ9" s="96">
        <f t="shared" si="8"/>
        <v>0</v>
      </c>
      <c r="AK9" s="96">
        <f t="shared" si="8"/>
        <v>31.3757073382824</v>
      </c>
    </row>
    <row r="10" spans="1:2" ht="4.5" customHeight="1">
      <c r="A10" s="388"/>
      <c r="B10" s="388"/>
    </row>
    <row r="11" spans="1:37" ht="60" customHeight="1">
      <c r="A11" s="388"/>
      <c r="B11" s="388"/>
      <c r="C11" s="171" t="s">
        <v>8</v>
      </c>
      <c r="D11" s="20" t="s">
        <v>9</v>
      </c>
      <c r="E11" s="20" t="s">
        <v>386</v>
      </c>
      <c r="F11" s="20" t="s">
        <v>384</v>
      </c>
      <c r="G11" s="20" t="s">
        <v>396</v>
      </c>
      <c r="H11" s="31">
        <f>+P11+W11+AD11+AK11</f>
        <v>24.5131048418136</v>
      </c>
      <c r="I11" s="30"/>
      <c r="J11" s="188"/>
      <c r="K11" s="30">
        <f>+K3*0.5</f>
        <v>14.635360499999999</v>
      </c>
      <c r="L11" s="30"/>
      <c r="M11" s="30"/>
      <c r="N11" s="30"/>
      <c r="O11" s="30"/>
      <c r="P11" s="30">
        <f>SUM(K11:O11)</f>
        <v>14.635360499999999</v>
      </c>
      <c r="Q11" s="188"/>
      <c r="R11" s="30">
        <f>+R3*0.1</f>
        <v>3.102696426</v>
      </c>
      <c r="S11" s="30"/>
      <c r="T11" s="30"/>
      <c r="U11" s="30"/>
      <c r="V11" s="30"/>
      <c r="W11" s="30">
        <f>SUM(R11:V11)</f>
        <v>3.102696426</v>
      </c>
      <c r="X11" s="188"/>
      <c r="Y11" s="30">
        <f>+Y3*0.1</f>
        <v>3.2888582115600005</v>
      </c>
      <c r="Z11" s="30"/>
      <c r="AA11" s="30"/>
      <c r="AB11" s="30"/>
      <c r="AC11" s="30"/>
      <c r="AD11" s="30">
        <f>SUM(Y11:AC11)</f>
        <v>3.2888582115600005</v>
      </c>
      <c r="AE11" s="188"/>
      <c r="AF11" s="30">
        <f>+AF3*0.1</f>
        <v>3.4861897042536003</v>
      </c>
      <c r="AG11" s="30"/>
      <c r="AH11" s="30"/>
      <c r="AI11" s="30"/>
      <c r="AJ11" s="30"/>
      <c r="AK11" s="30">
        <f>SUM(AF11:AJ11)</f>
        <v>3.4861897042536003</v>
      </c>
    </row>
    <row r="12" spans="7:37" ht="12.75">
      <c r="G12" s="142" t="s">
        <v>235</v>
      </c>
      <c r="H12" s="96">
        <f>+H11</f>
        <v>24.5131048418136</v>
      </c>
      <c r="I12" s="189">
        <f>+H12/H14</f>
        <v>0.19143659694930934</v>
      </c>
      <c r="J12" s="190"/>
      <c r="K12" s="96">
        <f aca="true" t="shared" si="9" ref="K12:P12">+K11</f>
        <v>14.635360499999999</v>
      </c>
      <c r="L12" s="96">
        <f t="shared" si="9"/>
        <v>0</v>
      </c>
      <c r="M12" s="96">
        <f t="shared" si="9"/>
        <v>0</v>
      </c>
      <c r="N12" s="96">
        <f t="shared" si="9"/>
        <v>0</v>
      </c>
      <c r="O12" s="96">
        <f t="shared" si="9"/>
        <v>0</v>
      </c>
      <c r="P12" s="96">
        <f t="shared" si="9"/>
        <v>14.635360499999999</v>
      </c>
      <c r="Q12" s="190"/>
      <c r="R12" s="96">
        <f aca="true" t="shared" si="10" ref="R12:W12">+R11</f>
        <v>3.102696426</v>
      </c>
      <c r="S12" s="96">
        <f t="shared" si="10"/>
        <v>0</v>
      </c>
      <c r="T12" s="96">
        <f t="shared" si="10"/>
        <v>0</v>
      </c>
      <c r="U12" s="96">
        <f t="shared" si="10"/>
        <v>0</v>
      </c>
      <c r="V12" s="96">
        <f t="shared" si="10"/>
        <v>0</v>
      </c>
      <c r="W12" s="96">
        <f t="shared" si="10"/>
        <v>3.102696426</v>
      </c>
      <c r="X12" s="190"/>
      <c r="Y12" s="96">
        <f aca="true" t="shared" si="11" ref="Y12:AD12">+Y11</f>
        <v>3.2888582115600005</v>
      </c>
      <c r="Z12" s="96">
        <f t="shared" si="11"/>
        <v>0</v>
      </c>
      <c r="AA12" s="96">
        <f t="shared" si="11"/>
        <v>0</v>
      </c>
      <c r="AB12" s="96">
        <f t="shared" si="11"/>
        <v>0</v>
      </c>
      <c r="AC12" s="96">
        <f t="shared" si="11"/>
        <v>0</v>
      </c>
      <c r="AD12" s="96">
        <f t="shared" si="11"/>
        <v>3.2888582115600005</v>
      </c>
      <c r="AE12" s="190"/>
      <c r="AF12" s="96">
        <f aca="true" t="shared" si="12" ref="AF12:AK12">+AF11</f>
        <v>3.4861897042536003</v>
      </c>
      <c r="AG12" s="96">
        <f t="shared" si="12"/>
        <v>0</v>
      </c>
      <c r="AH12" s="96">
        <f t="shared" si="12"/>
        <v>0</v>
      </c>
      <c r="AI12" s="96">
        <f t="shared" si="12"/>
        <v>0</v>
      </c>
      <c r="AJ12" s="96">
        <f t="shared" si="12"/>
        <v>0</v>
      </c>
      <c r="AK12" s="96">
        <f t="shared" si="12"/>
        <v>3.4861897042536003</v>
      </c>
    </row>
    <row r="13" spans="1:2" ht="4.5" customHeight="1">
      <c r="A13" s="125"/>
      <c r="B13" s="125"/>
    </row>
    <row r="14" spans="7:37" ht="12.75">
      <c r="G14" s="148" t="s">
        <v>44</v>
      </c>
      <c r="H14" s="96">
        <f>+H9+H12</f>
        <v>128.04816441813603</v>
      </c>
      <c r="I14" s="189">
        <f>+I9+I12</f>
        <v>0.9999999999999999</v>
      </c>
      <c r="J14" s="190"/>
      <c r="K14" s="96">
        <f aca="true" t="shared" si="13" ref="K14:AK14">SUM(K6:K11)</f>
        <v>43.9060815</v>
      </c>
      <c r="L14" s="96">
        <f t="shared" si="13"/>
        <v>0</v>
      </c>
      <c r="M14" s="96">
        <f t="shared" si="13"/>
        <v>0</v>
      </c>
      <c r="N14" s="96">
        <f t="shared" si="13"/>
        <v>0</v>
      </c>
      <c r="O14" s="96">
        <f t="shared" si="13"/>
        <v>0</v>
      </c>
      <c r="P14" s="96">
        <f t="shared" si="13"/>
        <v>43.9060815</v>
      </c>
      <c r="Q14" s="190"/>
      <c r="R14" s="96">
        <f t="shared" si="13"/>
        <v>58.95123209399999</v>
      </c>
      <c r="S14" s="96">
        <f t="shared" si="13"/>
        <v>0</v>
      </c>
      <c r="T14" s="96">
        <f t="shared" si="13"/>
        <v>0</v>
      </c>
      <c r="U14" s="96">
        <f t="shared" si="13"/>
        <v>0</v>
      </c>
      <c r="V14" s="96">
        <f t="shared" si="13"/>
        <v>0</v>
      </c>
      <c r="W14" s="96">
        <f t="shared" si="13"/>
        <v>58.95123209399999</v>
      </c>
      <c r="X14" s="190"/>
      <c r="Y14" s="96">
        <f t="shared" si="13"/>
        <v>62.48830601964</v>
      </c>
      <c r="Z14" s="96">
        <f t="shared" si="13"/>
        <v>0</v>
      </c>
      <c r="AA14" s="96">
        <f t="shared" si="13"/>
        <v>0</v>
      </c>
      <c r="AB14" s="96">
        <f t="shared" si="13"/>
        <v>0</v>
      </c>
      <c r="AC14" s="96">
        <f t="shared" si="13"/>
        <v>0</v>
      </c>
      <c r="AD14" s="96">
        <f t="shared" si="13"/>
        <v>62.48830601964</v>
      </c>
      <c r="AE14" s="190"/>
      <c r="AF14" s="96">
        <f t="shared" si="13"/>
        <v>66.2376043808184</v>
      </c>
      <c r="AG14" s="96">
        <f t="shared" si="13"/>
        <v>0</v>
      </c>
      <c r="AH14" s="96">
        <f t="shared" si="13"/>
        <v>0</v>
      </c>
      <c r="AI14" s="96">
        <f t="shared" si="13"/>
        <v>0</v>
      </c>
      <c r="AJ14" s="96">
        <f t="shared" si="13"/>
        <v>0</v>
      </c>
      <c r="AK14" s="96">
        <f t="shared" si="13"/>
        <v>66.2376043808184</v>
      </c>
    </row>
  </sheetData>
  <sheetProtection/>
  <mergeCells count="20">
    <mergeCell ref="B1:G1"/>
    <mergeCell ref="B2:G2"/>
    <mergeCell ref="B3:G3"/>
    <mergeCell ref="B6:B11"/>
    <mergeCell ref="C6:C8"/>
    <mergeCell ref="G4:G5"/>
    <mergeCell ref="R4:W4"/>
    <mergeCell ref="Y4:AD4"/>
    <mergeCell ref="AF4:AK4"/>
    <mergeCell ref="F4:F5"/>
    <mergeCell ref="H4:H5"/>
    <mergeCell ref="K4:P4"/>
    <mergeCell ref="I4:I5"/>
    <mergeCell ref="A4:A5"/>
    <mergeCell ref="B4:B5"/>
    <mergeCell ref="C4:C5"/>
    <mergeCell ref="D4:D5"/>
    <mergeCell ref="E4:E5"/>
    <mergeCell ref="D6:D8"/>
    <mergeCell ref="A6:A11"/>
  </mergeCells>
  <printOptions horizontalCentered="1"/>
  <pageMargins left="0.3937007874015748" right="1.1811023622047245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14"/>
  <sheetViews>
    <sheetView zoomScaleSheetLayoutView="30" zoomScalePageLayoutView="0" workbookViewId="0" topLeftCell="A1">
      <selection activeCell="A1" sqref="A1"/>
    </sheetView>
  </sheetViews>
  <sheetFormatPr defaultColWidth="11.421875" defaultRowHeight="15"/>
  <cols>
    <col min="1" max="1" width="9.8515625" style="138" customWidth="1"/>
    <col min="2" max="2" width="10.8515625" style="138" customWidth="1"/>
    <col min="3" max="3" width="14.7109375" style="138" customWidth="1"/>
    <col min="4" max="4" width="16.421875" style="138" customWidth="1"/>
    <col min="5" max="5" width="22.7109375" style="138" customWidth="1"/>
    <col min="6" max="6" width="20.421875" style="138" customWidth="1"/>
    <col min="7" max="7" width="21.57421875" style="138" customWidth="1"/>
    <col min="8" max="8" width="11.421875" style="139" bestFit="1" customWidth="1"/>
    <col min="9" max="9" width="7.00390625" style="161" bestFit="1" customWidth="1"/>
    <col min="10" max="10" width="1.7109375" style="161" customWidth="1"/>
    <col min="11" max="13" width="8.7109375" style="89" customWidth="1"/>
    <col min="14" max="14" width="9.7109375" style="89" customWidth="1"/>
    <col min="15" max="15" width="8.7109375" style="89" customWidth="1"/>
    <col min="16" max="16" width="10.28125" style="89" customWidth="1"/>
    <col min="17" max="17" width="1.7109375" style="161" customWidth="1"/>
    <col min="18" max="23" width="8.7109375" style="89" customWidth="1"/>
    <col min="24" max="24" width="1.7109375" style="161" customWidth="1"/>
    <col min="25" max="30" width="8.7109375" style="89" customWidth="1"/>
    <col min="31" max="31" width="1.7109375" style="161" customWidth="1"/>
    <col min="32" max="37" width="8.7109375" style="89" customWidth="1"/>
    <col min="38" max="16384" width="11.421875" style="89" customWidth="1"/>
  </cols>
  <sheetData>
    <row r="1" spans="2:37" s="153" customFormat="1" ht="12.75">
      <c r="B1" s="311" t="s">
        <v>134</v>
      </c>
      <c r="C1" s="311"/>
      <c r="D1" s="311"/>
      <c r="E1" s="311"/>
      <c r="F1" s="311"/>
      <c r="G1" s="311"/>
      <c r="I1" s="181"/>
      <c r="J1" s="181"/>
      <c r="K1" s="229">
        <f aca="true" t="shared" si="0" ref="K1:AK1">+K3-K2</f>
        <v>0</v>
      </c>
      <c r="L1" s="229">
        <f t="shared" si="0"/>
        <v>0</v>
      </c>
      <c r="M1" s="229">
        <f t="shared" si="0"/>
        <v>0</v>
      </c>
      <c r="N1" s="229">
        <f t="shared" si="0"/>
        <v>-1140</v>
      </c>
      <c r="O1" s="229">
        <f t="shared" si="0"/>
        <v>0</v>
      </c>
      <c r="P1" s="229">
        <f t="shared" si="0"/>
        <v>-1139.9999999999998</v>
      </c>
      <c r="Q1" s="228"/>
      <c r="R1" s="229">
        <f t="shared" si="0"/>
        <v>0</v>
      </c>
      <c r="S1" s="229">
        <f t="shared" si="0"/>
        <v>0</v>
      </c>
      <c r="T1" s="229">
        <f t="shared" si="0"/>
        <v>0</v>
      </c>
      <c r="U1" s="229">
        <f t="shared" si="0"/>
        <v>0</v>
      </c>
      <c r="V1" s="229">
        <f t="shared" si="0"/>
        <v>0</v>
      </c>
      <c r="W1" s="229">
        <f t="shared" si="0"/>
        <v>0</v>
      </c>
      <c r="X1" s="228"/>
      <c r="Y1" s="229">
        <f t="shared" si="0"/>
        <v>0</v>
      </c>
      <c r="Z1" s="229">
        <f t="shared" si="0"/>
        <v>0</v>
      </c>
      <c r="AA1" s="229">
        <f t="shared" si="0"/>
        <v>0</v>
      </c>
      <c r="AB1" s="229">
        <f t="shared" si="0"/>
        <v>0</v>
      </c>
      <c r="AC1" s="229">
        <f t="shared" si="0"/>
        <v>0</v>
      </c>
      <c r="AD1" s="229">
        <f t="shared" si="0"/>
        <v>0</v>
      </c>
      <c r="AE1" s="228"/>
      <c r="AF1" s="229">
        <f t="shared" si="0"/>
        <v>0</v>
      </c>
      <c r="AG1" s="229">
        <f t="shared" si="0"/>
        <v>0</v>
      </c>
      <c r="AH1" s="229">
        <f t="shared" si="0"/>
        <v>0</v>
      </c>
      <c r="AI1" s="229">
        <f t="shared" si="0"/>
        <v>0</v>
      </c>
      <c r="AJ1" s="229">
        <f t="shared" si="0"/>
        <v>0</v>
      </c>
      <c r="AK1" s="229">
        <f t="shared" si="0"/>
        <v>0</v>
      </c>
    </row>
    <row r="2" spans="2:37" s="153" customFormat="1" ht="12.75">
      <c r="B2" s="312" t="s">
        <v>137</v>
      </c>
      <c r="C2" s="312"/>
      <c r="D2" s="312"/>
      <c r="E2" s="312"/>
      <c r="F2" s="312"/>
      <c r="G2" s="312"/>
      <c r="I2" s="181"/>
      <c r="J2" s="181"/>
      <c r="K2" s="229">
        <f>+K9+K12</f>
        <v>78.05525599999999</v>
      </c>
      <c r="L2" s="229">
        <f aca="true" t="shared" si="1" ref="L2:AK2">+L9+L12</f>
        <v>0</v>
      </c>
      <c r="M2" s="229">
        <f t="shared" si="1"/>
        <v>0</v>
      </c>
      <c r="N2" s="229">
        <f t="shared" si="1"/>
        <v>1140</v>
      </c>
      <c r="O2" s="229">
        <f t="shared" si="1"/>
        <v>0</v>
      </c>
      <c r="P2" s="229">
        <f t="shared" si="1"/>
        <v>1218.0552559999999</v>
      </c>
      <c r="Q2" s="228"/>
      <c r="R2" s="229">
        <f t="shared" si="1"/>
        <v>82.73857136000001</v>
      </c>
      <c r="S2" s="229">
        <f t="shared" si="1"/>
        <v>0</v>
      </c>
      <c r="T2" s="229">
        <f t="shared" si="1"/>
        <v>0</v>
      </c>
      <c r="U2" s="229">
        <f t="shared" si="1"/>
        <v>0</v>
      </c>
      <c r="V2" s="229">
        <f t="shared" si="1"/>
        <v>0</v>
      </c>
      <c r="W2" s="229">
        <f t="shared" si="1"/>
        <v>82.73857136000001</v>
      </c>
      <c r="X2" s="228"/>
      <c r="Y2" s="229">
        <f t="shared" si="1"/>
        <v>87.7028856416</v>
      </c>
      <c r="Z2" s="229">
        <f t="shared" si="1"/>
        <v>0</v>
      </c>
      <c r="AA2" s="229">
        <f t="shared" si="1"/>
        <v>0</v>
      </c>
      <c r="AB2" s="229">
        <f t="shared" si="1"/>
        <v>0</v>
      </c>
      <c r="AC2" s="229">
        <f t="shared" si="1"/>
        <v>0</v>
      </c>
      <c r="AD2" s="229">
        <f t="shared" si="1"/>
        <v>87.7028856416</v>
      </c>
      <c r="AE2" s="228"/>
      <c r="AF2" s="229">
        <f t="shared" si="1"/>
        <v>92.965058780096</v>
      </c>
      <c r="AG2" s="229">
        <f t="shared" si="1"/>
        <v>0</v>
      </c>
      <c r="AH2" s="229">
        <f t="shared" si="1"/>
        <v>0</v>
      </c>
      <c r="AI2" s="229">
        <f t="shared" si="1"/>
        <v>0</v>
      </c>
      <c r="AJ2" s="229">
        <f t="shared" si="1"/>
        <v>0</v>
      </c>
      <c r="AK2" s="229">
        <f t="shared" si="1"/>
        <v>92.965058780096</v>
      </c>
    </row>
    <row r="3" spans="2:37" s="153" customFormat="1" ht="12.75">
      <c r="B3" s="313" t="s">
        <v>136</v>
      </c>
      <c r="C3" s="313"/>
      <c r="D3" s="313"/>
      <c r="E3" s="313"/>
      <c r="F3" s="313"/>
      <c r="G3" s="313"/>
      <c r="I3" s="181"/>
      <c r="J3" s="181"/>
      <c r="K3" s="229">
        <f>+PROYECCIONES!D102</f>
        <v>78.055256</v>
      </c>
      <c r="L3" s="229">
        <v>0</v>
      </c>
      <c r="M3" s="229">
        <v>0</v>
      </c>
      <c r="N3" s="229">
        <v>0</v>
      </c>
      <c r="O3" s="229">
        <v>0</v>
      </c>
      <c r="P3" s="229">
        <f>SUM(K3:O3)</f>
        <v>78.055256</v>
      </c>
      <c r="Q3" s="228"/>
      <c r="R3" s="229">
        <f>+PROYECCIONES!E102</f>
        <v>82.73857136000001</v>
      </c>
      <c r="S3" s="229">
        <v>0</v>
      </c>
      <c r="T3" s="229">
        <v>0</v>
      </c>
      <c r="U3" s="229">
        <v>0</v>
      </c>
      <c r="V3" s="229">
        <v>0</v>
      </c>
      <c r="W3" s="229">
        <f>SUM(R3:V3)</f>
        <v>82.73857136000001</v>
      </c>
      <c r="X3" s="228"/>
      <c r="Y3" s="229">
        <f>+PROYECCIONES!F102</f>
        <v>87.7028856416</v>
      </c>
      <c r="Z3" s="229">
        <v>0</v>
      </c>
      <c r="AA3" s="229">
        <v>0</v>
      </c>
      <c r="AB3" s="229">
        <v>0</v>
      </c>
      <c r="AC3" s="229">
        <v>0</v>
      </c>
      <c r="AD3" s="229">
        <f>SUM(Y3:AC3)</f>
        <v>87.7028856416</v>
      </c>
      <c r="AE3" s="228"/>
      <c r="AF3" s="229">
        <f>+PROYECCIONES!G102</f>
        <v>92.965058780096</v>
      </c>
      <c r="AG3" s="229">
        <v>0</v>
      </c>
      <c r="AH3" s="229">
        <v>0</v>
      </c>
      <c r="AI3" s="229">
        <v>0</v>
      </c>
      <c r="AJ3" s="229">
        <v>0</v>
      </c>
      <c r="AK3" s="229">
        <f>SUM(AF3:AJ3)</f>
        <v>92.965058780096</v>
      </c>
    </row>
    <row r="4" spans="1:37" s="136" customFormat="1" ht="15" customHeight="1">
      <c r="A4" s="307" t="s">
        <v>35</v>
      </c>
      <c r="B4" s="307" t="s">
        <v>47</v>
      </c>
      <c r="C4" s="307" t="s">
        <v>0</v>
      </c>
      <c r="D4" s="307" t="s">
        <v>2</v>
      </c>
      <c r="E4" s="307" t="s">
        <v>39</v>
      </c>
      <c r="F4" s="307" t="s">
        <v>37</v>
      </c>
      <c r="G4" s="307" t="s">
        <v>10</v>
      </c>
      <c r="H4" s="307" t="s">
        <v>45</v>
      </c>
      <c r="I4" s="309" t="s">
        <v>266</v>
      </c>
      <c r="J4" s="299"/>
      <c r="K4" s="354">
        <v>2012</v>
      </c>
      <c r="L4" s="354"/>
      <c r="M4" s="354"/>
      <c r="N4" s="354"/>
      <c r="O4" s="354"/>
      <c r="P4" s="354"/>
      <c r="Q4" s="299"/>
      <c r="R4" s="354">
        <v>2013</v>
      </c>
      <c r="S4" s="354"/>
      <c r="T4" s="354"/>
      <c r="U4" s="354"/>
      <c r="V4" s="354"/>
      <c r="W4" s="354"/>
      <c r="X4" s="299"/>
      <c r="Y4" s="354">
        <v>2014</v>
      </c>
      <c r="Z4" s="354"/>
      <c r="AA4" s="354"/>
      <c r="AB4" s="354"/>
      <c r="AC4" s="354"/>
      <c r="AD4" s="354"/>
      <c r="AE4" s="299"/>
      <c r="AF4" s="354">
        <v>2015</v>
      </c>
      <c r="AG4" s="354"/>
      <c r="AH4" s="354"/>
      <c r="AI4" s="354"/>
      <c r="AJ4" s="354"/>
      <c r="AK4" s="354"/>
    </row>
    <row r="5" spans="1:37" s="136" customFormat="1" ht="12.75">
      <c r="A5" s="308"/>
      <c r="B5" s="308"/>
      <c r="C5" s="308"/>
      <c r="D5" s="308"/>
      <c r="E5" s="314"/>
      <c r="F5" s="314"/>
      <c r="G5" s="314"/>
      <c r="H5" s="308"/>
      <c r="I5" s="310"/>
      <c r="J5" s="300"/>
      <c r="K5" s="28" t="s">
        <v>40</v>
      </c>
      <c r="L5" s="29" t="s">
        <v>41</v>
      </c>
      <c r="M5" s="28" t="s">
        <v>42</v>
      </c>
      <c r="N5" s="28" t="s">
        <v>43</v>
      </c>
      <c r="O5" s="28" t="s">
        <v>1</v>
      </c>
      <c r="P5" s="28" t="s">
        <v>44</v>
      </c>
      <c r="Q5" s="300"/>
      <c r="R5" s="28" t="s">
        <v>40</v>
      </c>
      <c r="S5" s="29" t="s">
        <v>41</v>
      </c>
      <c r="T5" s="28" t="s">
        <v>42</v>
      </c>
      <c r="U5" s="28" t="s">
        <v>43</v>
      </c>
      <c r="V5" s="28" t="s">
        <v>1</v>
      </c>
      <c r="W5" s="28" t="s">
        <v>44</v>
      </c>
      <c r="X5" s="300"/>
      <c r="Y5" s="28" t="s">
        <v>40</v>
      </c>
      <c r="Z5" s="29" t="s">
        <v>41</v>
      </c>
      <c r="AA5" s="28" t="s">
        <v>42</v>
      </c>
      <c r="AB5" s="28" t="s">
        <v>43</v>
      </c>
      <c r="AC5" s="28" t="s">
        <v>1</v>
      </c>
      <c r="AD5" s="28" t="s">
        <v>44</v>
      </c>
      <c r="AE5" s="300"/>
      <c r="AF5" s="28" t="s">
        <v>40</v>
      </c>
      <c r="AG5" s="29" t="s">
        <v>41</v>
      </c>
      <c r="AH5" s="28" t="s">
        <v>42</v>
      </c>
      <c r="AI5" s="28" t="s">
        <v>43</v>
      </c>
      <c r="AJ5" s="28" t="s">
        <v>1</v>
      </c>
      <c r="AK5" s="28" t="s">
        <v>44</v>
      </c>
    </row>
    <row r="6" spans="1:37" ht="44.25" customHeight="1">
      <c r="A6" s="389" t="s">
        <v>56</v>
      </c>
      <c r="B6" s="389" t="s">
        <v>70</v>
      </c>
      <c r="C6" s="359" t="s">
        <v>71</v>
      </c>
      <c r="D6" s="296" t="s">
        <v>72</v>
      </c>
      <c r="E6" s="20" t="s">
        <v>403</v>
      </c>
      <c r="F6" s="20" t="s">
        <v>398</v>
      </c>
      <c r="G6" s="20" t="s">
        <v>634</v>
      </c>
      <c r="H6" s="31">
        <f>+P6+W6+AD6+AK6</f>
        <v>68.29235435633922</v>
      </c>
      <c r="I6" s="121"/>
      <c r="J6" s="172"/>
      <c r="K6" s="30">
        <f>+K3*0.2</f>
        <v>15.6110512</v>
      </c>
      <c r="L6" s="30"/>
      <c r="M6" s="30"/>
      <c r="N6" s="30"/>
      <c r="O6" s="30"/>
      <c r="P6" s="30">
        <f>SUM(K6:O6)</f>
        <v>15.6110512</v>
      </c>
      <c r="Q6" s="172"/>
      <c r="R6" s="30">
        <f>+R3*0.2</f>
        <v>16.547714272000004</v>
      </c>
      <c r="S6" s="30"/>
      <c r="T6" s="30"/>
      <c r="U6" s="30"/>
      <c r="V6" s="30"/>
      <c r="W6" s="30">
        <f>SUM(R6:V6)</f>
        <v>16.547714272000004</v>
      </c>
      <c r="X6" s="172"/>
      <c r="Y6" s="30">
        <f>+Y3*0.2</f>
        <v>17.540577128320002</v>
      </c>
      <c r="Z6" s="30"/>
      <c r="AA6" s="30"/>
      <c r="AB6" s="30"/>
      <c r="AC6" s="30"/>
      <c r="AD6" s="30">
        <f>SUM(Y6:AC6)</f>
        <v>17.540577128320002</v>
      </c>
      <c r="AE6" s="172"/>
      <c r="AF6" s="30">
        <f>+AF3*0.2</f>
        <v>18.5930117560192</v>
      </c>
      <c r="AG6" s="30"/>
      <c r="AH6" s="30"/>
      <c r="AI6" s="30"/>
      <c r="AJ6" s="30"/>
      <c r="AK6" s="30">
        <f>SUM(AF6:AJ6)</f>
        <v>18.5930117560192</v>
      </c>
    </row>
    <row r="7" spans="1:37" ht="54" customHeight="1">
      <c r="A7" s="389"/>
      <c r="B7" s="389"/>
      <c r="C7" s="359"/>
      <c r="D7" s="296"/>
      <c r="E7" s="20" t="s">
        <v>404</v>
      </c>
      <c r="F7" s="20" t="s">
        <v>399</v>
      </c>
      <c r="G7" s="20" t="s">
        <v>400</v>
      </c>
      <c r="H7" s="31">
        <f>+P7+W7+AD7+AK7</f>
        <v>833.1738051781695</v>
      </c>
      <c r="I7" s="122"/>
      <c r="J7" s="173"/>
      <c r="K7" s="30">
        <f>+K3*0.6</f>
        <v>46.833153599999996</v>
      </c>
      <c r="L7" s="30"/>
      <c r="M7" s="30"/>
      <c r="N7" s="30">
        <f>40*19</f>
        <v>760</v>
      </c>
      <c r="O7" s="30"/>
      <c r="P7" s="30">
        <f>SUM(K7:O7)</f>
        <v>806.8331536</v>
      </c>
      <c r="Q7" s="173"/>
      <c r="R7" s="30">
        <f>+R3*0.1</f>
        <v>8.273857136000002</v>
      </c>
      <c r="S7" s="30"/>
      <c r="T7" s="30"/>
      <c r="U7" s="30"/>
      <c r="V7" s="30"/>
      <c r="W7" s="30">
        <f>SUM(R7:V7)</f>
        <v>8.273857136000002</v>
      </c>
      <c r="X7" s="173"/>
      <c r="Y7" s="30">
        <f>+Y3*0.1</f>
        <v>8.770288564160001</v>
      </c>
      <c r="Z7" s="30"/>
      <c r="AA7" s="30"/>
      <c r="AB7" s="30"/>
      <c r="AC7" s="30"/>
      <c r="AD7" s="30">
        <f>SUM(Y7:AC7)</f>
        <v>8.770288564160001</v>
      </c>
      <c r="AE7" s="173"/>
      <c r="AF7" s="30">
        <f>+AF3*0.1</f>
        <v>9.2965058780096</v>
      </c>
      <c r="AG7" s="30"/>
      <c r="AH7" s="30"/>
      <c r="AI7" s="30"/>
      <c r="AJ7" s="30"/>
      <c r="AK7" s="30">
        <f>SUM(AF7:AJ7)</f>
        <v>9.2965058780096</v>
      </c>
    </row>
    <row r="8" spans="1:37" ht="56.25" customHeight="1">
      <c r="A8" s="389"/>
      <c r="B8" s="389"/>
      <c r="C8" s="359"/>
      <c r="D8" s="296"/>
      <c r="E8" s="20" t="s">
        <v>405</v>
      </c>
      <c r="F8" s="20" t="s">
        <v>406</v>
      </c>
      <c r="G8" s="20" t="s">
        <v>397</v>
      </c>
      <c r="H8" s="31">
        <f>+P8+W8+AD8+AK8</f>
        <v>545.8494350690177</v>
      </c>
      <c r="I8" s="123"/>
      <c r="J8" s="174"/>
      <c r="K8" s="30">
        <f>+K3*0.1</f>
        <v>7.8055256</v>
      </c>
      <c r="L8" s="30"/>
      <c r="M8" s="30"/>
      <c r="N8" s="30">
        <f>20*19</f>
        <v>380</v>
      </c>
      <c r="O8" s="30"/>
      <c r="P8" s="30">
        <f>SUM(K8:O8)</f>
        <v>387.8055256</v>
      </c>
      <c r="Q8" s="174"/>
      <c r="R8" s="30">
        <f>+R3*0.6</f>
        <v>49.643142816</v>
      </c>
      <c r="S8" s="30"/>
      <c r="T8" s="30"/>
      <c r="U8" s="30"/>
      <c r="V8" s="30"/>
      <c r="W8" s="30">
        <f>SUM(R8:V8)</f>
        <v>49.643142816</v>
      </c>
      <c r="X8" s="174"/>
      <c r="Y8" s="30">
        <f>+Y3*0.6</f>
        <v>52.62173138496</v>
      </c>
      <c r="Z8" s="30"/>
      <c r="AA8" s="30"/>
      <c r="AB8" s="30"/>
      <c r="AC8" s="30"/>
      <c r="AD8" s="30">
        <f>SUM(Y8:AC8)</f>
        <v>52.62173138496</v>
      </c>
      <c r="AE8" s="174"/>
      <c r="AF8" s="30">
        <f>+AF3*0.6</f>
        <v>55.7790352680576</v>
      </c>
      <c r="AG8" s="30"/>
      <c r="AH8" s="30"/>
      <c r="AI8" s="30"/>
      <c r="AJ8" s="30"/>
      <c r="AK8" s="30">
        <f>SUM(AF8:AJ8)</f>
        <v>55.7790352680576</v>
      </c>
    </row>
    <row r="9" spans="1:37" s="98" customFormat="1" ht="12.75">
      <c r="A9" s="389"/>
      <c r="B9" s="389"/>
      <c r="C9" s="359"/>
      <c r="D9" s="155"/>
      <c r="E9" s="155"/>
      <c r="F9" s="155"/>
      <c r="G9" s="142" t="s">
        <v>235</v>
      </c>
      <c r="H9" s="96">
        <f>SUM(H6:H8)</f>
        <v>1447.3155946035263</v>
      </c>
      <c r="I9" s="119">
        <f>+H9/H14</f>
        <v>0.9769510237600642</v>
      </c>
      <c r="J9" s="151"/>
      <c r="K9" s="96">
        <f>SUM(K6:K8)</f>
        <v>70.24973039999999</v>
      </c>
      <c r="L9" s="96">
        <f aca="true" t="shared" si="2" ref="L9:AK9">SUM(L6:L8)</f>
        <v>0</v>
      </c>
      <c r="M9" s="96">
        <f t="shared" si="2"/>
        <v>0</v>
      </c>
      <c r="N9" s="96">
        <f t="shared" si="2"/>
        <v>1140</v>
      </c>
      <c r="O9" s="96">
        <f t="shared" si="2"/>
        <v>0</v>
      </c>
      <c r="P9" s="96">
        <f t="shared" si="2"/>
        <v>1210.2497303999999</v>
      </c>
      <c r="Q9" s="151"/>
      <c r="R9" s="96">
        <f t="shared" si="2"/>
        <v>74.464714224</v>
      </c>
      <c r="S9" s="96">
        <f t="shared" si="2"/>
        <v>0</v>
      </c>
      <c r="T9" s="96">
        <f t="shared" si="2"/>
        <v>0</v>
      </c>
      <c r="U9" s="96">
        <f t="shared" si="2"/>
        <v>0</v>
      </c>
      <c r="V9" s="96">
        <f t="shared" si="2"/>
        <v>0</v>
      </c>
      <c r="W9" s="96">
        <f t="shared" si="2"/>
        <v>74.464714224</v>
      </c>
      <c r="X9" s="151"/>
      <c r="Y9" s="96">
        <f t="shared" si="2"/>
        <v>78.93259707744001</v>
      </c>
      <c r="Z9" s="96">
        <f t="shared" si="2"/>
        <v>0</v>
      </c>
      <c r="AA9" s="96">
        <f t="shared" si="2"/>
        <v>0</v>
      </c>
      <c r="AB9" s="96">
        <f t="shared" si="2"/>
        <v>0</v>
      </c>
      <c r="AC9" s="96">
        <f t="shared" si="2"/>
        <v>0</v>
      </c>
      <c r="AD9" s="96">
        <f t="shared" si="2"/>
        <v>78.93259707744001</v>
      </c>
      <c r="AE9" s="151"/>
      <c r="AF9" s="96">
        <f t="shared" si="2"/>
        <v>83.6685529020864</v>
      </c>
      <c r="AG9" s="96">
        <f t="shared" si="2"/>
        <v>0</v>
      </c>
      <c r="AH9" s="96">
        <f t="shared" si="2"/>
        <v>0</v>
      </c>
      <c r="AI9" s="96">
        <f t="shared" si="2"/>
        <v>0</v>
      </c>
      <c r="AJ9" s="96">
        <f t="shared" si="2"/>
        <v>0</v>
      </c>
      <c r="AK9" s="96">
        <f t="shared" si="2"/>
        <v>83.6685529020864</v>
      </c>
    </row>
    <row r="10" spans="1:3" ht="4.5" customHeight="1">
      <c r="A10" s="389"/>
      <c r="B10" s="389"/>
      <c r="C10" s="359"/>
    </row>
    <row r="11" spans="1:37" ht="25.5">
      <c r="A11" s="389"/>
      <c r="B11" s="389"/>
      <c r="C11" s="359"/>
      <c r="D11" s="171" t="s">
        <v>29</v>
      </c>
      <c r="E11" s="20" t="s">
        <v>407</v>
      </c>
      <c r="F11" s="20" t="s">
        <v>401</v>
      </c>
      <c r="G11" s="20" t="s">
        <v>402</v>
      </c>
      <c r="H11" s="31">
        <f>+P11+W11+AD11+AK11</f>
        <v>34.14617717816961</v>
      </c>
      <c r="I11" s="191"/>
      <c r="J11" s="192"/>
      <c r="K11" s="30">
        <f>+K3*0.1</f>
        <v>7.8055256</v>
      </c>
      <c r="L11" s="30"/>
      <c r="M11" s="30"/>
      <c r="N11" s="30"/>
      <c r="O11" s="30"/>
      <c r="P11" s="30">
        <f>SUM(K11:O11)</f>
        <v>7.8055256</v>
      </c>
      <c r="Q11" s="192"/>
      <c r="R11" s="30">
        <f>+R3*0.1</f>
        <v>8.273857136000002</v>
      </c>
      <c r="S11" s="30"/>
      <c r="T11" s="30"/>
      <c r="U11" s="30"/>
      <c r="V11" s="30"/>
      <c r="W11" s="30">
        <f>SUM(R11:V11)</f>
        <v>8.273857136000002</v>
      </c>
      <c r="X11" s="192"/>
      <c r="Y11" s="30">
        <f>+Y3*0.1</f>
        <v>8.770288564160001</v>
      </c>
      <c r="Z11" s="30"/>
      <c r="AA11" s="30"/>
      <c r="AB11" s="30"/>
      <c r="AC11" s="30"/>
      <c r="AD11" s="30">
        <f>SUM(Y11:AC11)</f>
        <v>8.770288564160001</v>
      </c>
      <c r="AE11" s="192"/>
      <c r="AF11" s="30">
        <f>+AF3*0.1</f>
        <v>9.2965058780096</v>
      </c>
      <c r="AG11" s="30"/>
      <c r="AH11" s="30"/>
      <c r="AI11" s="30"/>
      <c r="AJ11" s="30"/>
      <c r="AK11" s="30">
        <f>SUM(AF11:AJ11)</f>
        <v>9.2965058780096</v>
      </c>
    </row>
    <row r="12" spans="1:37" s="98" customFormat="1" ht="12.75">
      <c r="A12" s="138"/>
      <c r="B12" s="138"/>
      <c r="C12" s="138"/>
      <c r="D12" s="155"/>
      <c r="E12" s="155"/>
      <c r="F12" s="155"/>
      <c r="G12" s="142" t="s">
        <v>235</v>
      </c>
      <c r="H12" s="96">
        <f>+H11</f>
        <v>34.14617717816961</v>
      </c>
      <c r="I12" s="119">
        <f>+H12/H14</f>
        <v>0.023048976239935872</v>
      </c>
      <c r="J12" s="151"/>
      <c r="K12" s="96">
        <f aca="true" t="shared" si="3" ref="K12:AK12">+K11</f>
        <v>7.8055256</v>
      </c>
      <c r="L12" s="96">
        <f t="shared" si="3"/>
        <v>0</v>
      </c>
      <c r="M12" s="96">
        <f t="shared" si="3"/>
        <v>0</v>
      </c>
      <c r="N12" s="96">
        <f t="shared" si="3"/>
        <v>0</v>
      </c>
      <c r="O12" s="96">
        <f t="shared" si="3"/>
        <v>0</v>
      </c>
      <c r="P12" s="96">
        <f t="shared" si="3"/>
        <v>7.8055256</v>
      </c>
      <c r="Q12" s="151"/>
      <c r="R12" s="96">
        <f t="shared" si="3"/>
        <v>8.273857136000002</v>
      </c>
      <c r="S12" s="96">
        <f t="shared" si="3"/>
        <v>0</v>
      </c>
      <c r="T12" s="96">
        <f t="shared" si="3"/>
        <v>0</v>
      </c>
      <c r="U12" s="96">
        <f t="shared" si="3"/>
        <v>0</v>
      </c>
      <c r="V12" s="96">
        <f t="shared" si="3"/>
        <v>0</v>
      </c>
      <c r="W12" s="96">
        <f t="shared" si="3"/>
        <v>8.273857136000002</v>
      </c>
      <c r="X12" s="151"/>
      <c r="Y12" s="96">
        <f t="shared" si="3"/>
        <v>8.770288564160001</v>
      </c>
      <c r="Z12" s="96">
        <f t="shared" si="3"/>
        <v>0</v>
      </c>
      <c r="AA12" s="96">
        <f t="shared" si="3"/>
        <v>0</v>
      </c>
      <c r="AB12" s="96">
        <f t="shared" si="3"/>
        <v>0</v>
      </c>
      <c r="AC12" s="96">
        <f t="shared" si="3"/>
        <v>0</v>
      </c>
      <c r="AD12" s="96">
        <f t="shared" si="3"/>
        <v>8.770288564160001</v>
      </c>
      <c r="AE12" s="151"/>
      <c r="AF12" s="96">
        <f t="shared" si="3"/>
        <v>9.2965058780096</v>
      </c>
      <c r="AG12" s="96">
        <f t="shared" si="3"/>
        <v>0</v>
      </c>
      <c r="AH12" s="96">
        <f t="shared" si="3"/>
        <v>0</v>
      </c>
      <c r="AI12" s="96">
        <f t="shared" si="3"/>
        <v>0</v>
      </c>
      <c r="AJ12" s="96">
        <f t="shared" si="3"/>
        <v>0</v>
      </c>
      <c r="AK12" s="96">
        <f t="shared" si="3"/>
        <v>9.2965058780096</v>
      </c>
    </row>
    <row r="13" ht="4.5" customHeight="1"/>
    <row r="14" spans="7:37" ht="12.75">
      <c r="G14" s="148" t="s">
        <v>44</v>
      </c>
      <c r="H14" s="96">
        <f>+H9+H12</f>
        <v>1481.461771781696</v>
      </c>
      <c r="I14" s="119">
        <f>+I9+I12</f>
        <v>1</v>
      </c>
      <c r="J14" s="151"/>
      <c r="K14" s="96">
        <f aca="true" t="shared" si="4" ref="K14:AK14">+K9+K12</f>
        <v>78.05525599999999</v>
      </c>
      <c r="L14" s="96">
        <f t="shared" si="4"/>
        <v>0</v>
      </c>
      <c r="M14" s="96">
        <f t="shared" si="4"/>
        <v>0</v>
      </c>
      <c r="N14" s="96">
        <f t="shared" si="4"/>
        <v>1140</v>
      </c>
      <c r="O14" s="96">
        <f t="shared" si="4"/>
        <v>0</v>
      </c>
      <c r="P14" s="96">
        <f t="shared" si="4"/>
        <v>1218.0552559999999</v>
      </c>
      <c r="Q14" s="151"/>
      <c r="R14" s="96">
        <f t="shared" si="4"/>
        <v>82.73857136000001</v>
      </c>
      <c r="S14" s="96">
        <f t="shared" si="4"/>
        <v>0</v>
      </c>
      <c r="T14" s="96">
        <f t="shared" si="4"/>
        <v>0</v>
      </c>
      <c r="U14" s="96">
        <f t="shared" si="4"/>
        <v>0</v>
      </c>
      <c r="V14" s="96">
        <f t="shared" si="4"/>
        <v>0</v>
      </c>
      <c r="W14" s="96">
        <f t="shared" si="4"/>
        <v>82.73857136000001</v>
      </c>
      <c r="X14" s="151"/>
      <c r="Y14" s="96">
        <f t="shared" si="4"/>
        <v>87.7028856416</v>
      </c>
      <c r="Z14" s="96">
        <f t="shared" si="4"/>
        <v>0</v>
      </c>
      <c r="AA14" s="96">
        <f t="shared" si="4"/>
        <v>0</v>
      </c>
      <c r="AB14" s="96">
        <f t="shared" si="4"/>
        <v>0</v>
      </c>
      <c r="AC14" s="96">
        <f t="shared" si="4"/>
        <v>0</v>
      </c>
      <c r="AD14" s="96">
        <f t="shared" si="4"/>
        <v>87.7028856416</v>
      </c>
      <c r="AE14" s="151"/>
      <c r="AF14" s="96">
        <f t="shared" si="4"/>
        <v>92.965058780096</v>
      </c>
      <c r="AG14" s="96">
        <f t="shared" si="4"/>
        <v>0</v>
      </c>
      <c r="AH14" s="96">
        <f t="shared" si="4"/>
        <v>0</v>
      </c>
      <c r="AI14" s="96">
        <f t="shared" si="4"/>
        <v>0</v>
      </c>
      <c r="AJ14" s="96">
        <f t="shared" si="4"/>
        <v>0</v>
      </c>
      <c r="AK14" s="96">
        <f t="shared" si="4"/>
        <v>92.965058780096</v>
      </c>
    </row>
  </sheetData>
  <sheetProtection/>
  <mergeCells count="24">
    <mergeCell ref="B1:G1"/>
    <mergeCell ref="B2:G2"/>
    <mergeCell ref="B3:G3"/>
    <mergeCell ref="K4:P4"/>
    <mergeCell ref="R4:W4"/>
    <mergeCell ref="Y4:AD4"/>
    <mergeCell ref="AF4:AK4"/>
    <mergeCell ref="C6:C11"/>
    <mergeCell ref="H4:H5"/>
    <mergeCell ref="I4:I5"/>
    <mergeCell ref="J4:J5"/>
    <mergeCell ref="Q4:Q5"/>
    <mergeCell ref="X4:X5"/>
    <mergeCell ref="AE4:AE5"/>
    <mergeCell ref="A6:A11"/>
    <mergeCell ref="B6:B11"/>
    <mergeCell ref="D6:D8"/>
    <mergeCell ref="A4:A5"/>
    <mergeCell ref="G4:G5"/>
    <mergeCell ref="F4:F5"/>
    <mergeCell ref="B4:B5"/>
    <mergeCell ref="C4:C5"/>
    <mergeCell ref="D4:D5"/>
    <mergeCell ref="E4:E5"/>
  </mergeCells>
  <printOptions horizontalCentered="1"/>
  <pageMargins left="0.3937007874015748" right="1.1811023622047245" top="0.984251968503937" bottom="0.984251968503937" header="0.5118110236220472" footer="0.5118110236220472"/>
  <pageSetup fitToHeight="1" fitToWidth="1" horizontalDpi="600" verticalDpi="600" orientation="landscape" scale="86" r:id="rId1"/>
  <rowBreaks count="1" manualBreakCount="1">
    <brk id="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19"/>
  <sheetViews>
    <sheetView zoomScaleSheetLayoutView="70" zoomScalePageLayoutView="0" workbookViewId="0" topLeftCell="A1">
      <pane ySplit="1800" topLeftCell="A1" activePane="bottomLeft" state="split"/>
      <selection pane="topLeft" activeCell="Y2" sqref="Y2"/>
      <selection pane="bottomLeft" activeCell="A1" sqref="A1"/>
    </sheetView>
  </sheetViews>
  <sheetFormatPr defaultColWidth="11.421875" defaultRowHeight="15"/>
  <cols>
    <col min="1" max="1" width="10.140625" style="3" customWidth="1"/>
    <col min="2" max="2" width="10.28125" style="18" customWidth="1"/>
    <col min="3" max="3" width="15.421875" style="18" customWidth="1"/>
    <col min="4" max="4" width="15.8515625" style="18" customWidth="1"/>
    <col min="5" max="6" width="19.28125" style="18" customWidth="1"/>
    <col min="7" max="7" width="29.28125" style="18" customWidth="1"/>
    <col min="8" max="8" width="13.00390625" style="19" bestFit="1" customWidth="1"/>
    <col min="9" max="9" width="8.28125" style="233" bestFit="1" customWidth="1"/>
    <col min="10" max="10" width="1.7109375" style="233" customWidth="1"/>
    <col min="11" max="16" width="11.421875" style="3" customWidth="1"/>
    <col min="17" max="17" width="1.7109375" style="233" customWidth="1"/>
    <col min="18" max="23" width="11.421875" style="3" customWidth="1"/>
    <col min="24" max="24" width="1.7109375" style="233" customWidth="1"/>
    <col min="25" max="30" width="11.421875" style="3" customWidth="1"/>
    <col min="31" max="31" width="1.7109375" style="233" customWidth="1"/>
    <col min="32" max="36" width="11.421875" style="3" customWidth="1"/>
    <col min="37" max="16384" width="11.421875" style="3" customWidth="1"/>
  </cols>
  <sheetData>
    <row r="1" spans="2:37" s="22" customFormat="1" ht="15">
      <c r="B1" s="341" t="s">
        <v>134</v>
      </c>
      <c r="C1" s="341"/>
      <c r="D1" s="341"/>
      <c r="E1" s="341"/>
      <c r="F1" s="341"/>
      <c r="G1" s="341"/>
      <c r="H1" s="201"/>
      <c r="I1" s="215"/>
      <c r="J1" s="215"/>
      <c r="K1" s="23">
        <f>+K3-K2</f>
        <v>0</v>
      </c>
      <c r="L1" s="23">
        <f aca="true" t="shared" si="0" ref="L1:AK1">+L3-L2</f>
        <v>0</v>
      </c>
      <c r="M1" s="23">
        <f t="shared" si="0"/>
        <v>0</v>
      </c>
      <c r="N1" s="23">
        <f t="shared" si="0"/>
        <v>0</v>
      </c>
      <c r="O1" s="23">
        <f t="shared" si="0"/>
        <v>0</v>
      </c>
      <c r="P1" s="23">
        <f t="shared" si="0"/>
        <v>0</v>
      </c>
      <c r="Q1" s="227"/>
      <c r="R1" s="23">
        <f t="shared" si="0"/>
        <v>0</v>
      </c>
      <c r="S1" s="23">
        <f t="shared" si="0"/>
        <v>0</v>
      </c>
      <c r="T1" s="23">
        <f t="shared" si="0"/>
        <v>0</v>
      </c>
      <c r="U1" s="23">
        <f t="shared" si="0"/>
        <v>0</v>
      </c>
      <c r="V1" s="23">
        <f t="shared" si="0"/>
        <v>0</v>
      </c>
      <c r="W1" s="23">
        <f t="shared" si="0"/>
        <v>0</v>
      </c>
      <c r="X1" s="227"/>
      <c r="Y1" s="23">
        <f t="shared" si="0"/>
        <v>0</v>
      </c>
      <c r="Z1" s="23">
        <f t="shared" si="0"/>
        <v>0</v>
      </c>
      <c r="AA1" s="23">
        <f t="shared" si="0"/>
        <v>0</v>
      </c>
      <c r="AB1" s="23">
        <f t="shared" si="0"/>
        <v>0</v>
      </c>
      <c r="AC1" s="23">
        <f t="shared" si="0"/>
        <v>0</v>
      </c>
      <c r="AD1" s="23">
        <f t="shared" si="0"/>
        <v>0</v>
      </c>
      <c r="AE1" s="227"/>
      <c r="AF1" s="23">
        <f t="shared" si="0"/>
        <v>0</v>
      </c>
      <c r="AG1" s="23">
        <f t="shared" si="0"/>
        <v>0</v>
      </c>
      <c r="AH1" s="23">
        <f t="shared" si="0"/>
        <v>0</v>
      </c>
      <c r="AI1" s="23">
        <f t="shared" si="0"/>
        <v>0</v>
      </c>
      <c r="AJ1" s="23">
        <f t="shared" si="0"/>
        <v>0</v>
      </c>
      <c r="AK1" s="23">
        <f t="shared" si="0"/>
        <v>0</v>
      </c>
    </row>
    <row r="2" spans="2:37" s="22" customFormat="1" ht="15">
      <c r="B2" s="342" t="s">
        <v>137</v>
      </c>
      <c r="C2" s="342"/>
      <c r="D2" s="342"/>
      <c r="E2" s="342"/>
      <c r="F2" s="342"/>
      <c r="G2" s="342"/>
      <c r="H2" s="201"/>
      <c r="I2" s="215"/>
      <c r="J2" s="215"/>
      <c r="K2" s="23">
        <f>SUM(K6:K17)</f>
        <v>146.35360499999996</v>
      </c>
      <c r="L2" s="23">
        <f aca="true" t="shared" si="1" ref="L2:AK2">SUM(L6:L17)</f>
        <v>0</v>
      </c>
      <c r="M2" s="23">
        <f t="shared" si="1"/>
        <v>0</v>
      </c>
      <c r="N2" s="23">
        <f t="shared" si="1"/>
        <v>0</v>
      </c>
      <c r="O2" s="23">
        <f t="shared" si="1"/>
        <v>0</v>
      </c>
      <c r="P2" s="23">
        <f t="shared" si="1"/>
        <v>146.35360499999996</v>
      </c>
      <c r="Q2" s="227"/>
      <c r="R2" s="23">
        <f t="shared" si="1"/>
        <v>155.1348213</v>
      </c>
      <c r="S2" s="23">
        <f t="shared" si="1"/>
        <v>0</v>
      </c>
      <c r="T2" s="23">
        <f t="shared" si="1"/>
        <v>0</v>
      </c>
      <c r="U2" s="23">
        <f t="shared" si="1"/>
        <v>50</v>
      </c>
      <c r="V2" s="23">
        <f t="shared" si="1"/>
        <v>0</v>
      </c>
      <c r="W2" s="23">
        <f>SUM(W6:W17)</f>
        <v>205.1348213</v>
      </c>
      <c r="X2" s="227"/>
      <c r="Y2" s="23">
        <f t="shared" si="1"/>
        <v>164.442910578</v>
      </c>
      <c r="Z2" s="23">
        <f t="shared" si="1"/>
        <v>0</v>
      </c>
      <c r="AA2" s="23">
        <f t="shared" si="1"/>
        <v>0</v>
      </c>
      <c r="AB2" s="23">
        <f t="shared" si="1"/>
        <v>0</v>
      </c>
      <c r="AC2" s="23">
        <f t="shared" si="1"/>
        <v>0</v>
      </c>
      <c r="AD2" s="23">
        <f t="shared" si="1"/>
        <v>164.442910578</v>
      </c>
      <c r="AE2" s="227"/>
      <c r="AF2" s="23">
        <f>SUM(AF6:AF17)</f>
        <v>174.30948521268004</v>
      </c>
      <c r="AG2" s="23">
        <f t="shared" si="1"/>
        <v>0</v>
      </c>
      <c r="AH2" s="23">
        <f t="shared" si="1"/>
        <v>0</v>
      </c>
      <c r="AI2" s="23">
        <f t="shared" si="1"/>
        <v>0</v>
      </c>
      <c r="AJ2" s="23">
        <f t="shared" si="1"/>
        <v>0</v>
      </c>
      <c r="AK2" s="23">
        <f t="shared" si="1"/>
        <v>174.30948521268004</v>
      </c>
    </row>
    <row r="3" spans="2:37" s="22" customFormat="1" ht="15">
      <c r="B3" s="343" t="s">
        <v>136</v>
      </c>
      <c r="C3" s="343"/>
      <c r="D3" s="343"/>
      <c r="E3" s="343"/>
      <c r="F3" s="343"/>
      <c r="G3" s="343"/>
      <c r="H3" s="201"/>
      <c r="I3" s="215"/>
      <c r="J3" s="215"/>
      <c r="K3" s="23">
        <f>+PROYECCIONES!D103</f>
        <v>146.353605</v>
      </c>
      <c r="L3" s="23">
        <v>0</v>
      </c>
      <c r="M3" s="23">
        <v>0</v>
      </c>
      <c r="N3" s="23">
        <v>0</v>
      </c>
      <c r="O3" s="23">
        <v>0</v>
      </c>
      <c r="P3" s="23">
        <f>SUM(K3:O3)</f>
        <v>146.353605</v>
      </c>
      <c r="Q3" s="227"/>
      <c r="R3" s="23">
        <f>+PROYECCIONES!E103</f>
        <v>155.1348213</v>
      </c>
      <c r="S3" s="23">
        <v>0</v>
      </c>
      <c r="T3" s="23">
        <v>0</v>
      </c>
      <c r="U3" s="23">
        <f>+PROYECCIONES!E91</f>
        <v>50</v>
      </c>
      <c r="V3" s="23">
        <v>0</v>
      </c>
      <c r="W3" s="23">
        <f>SUM(R3:V3)</f>
        <v>205.1348213</v>
      </c>
      <c r="X3" s="227"/>
      <c r="Y3" s="23">
        <f>+PROYECCIONES!F103</f>
        <v>164.442910578</v>
      </c>
      <c r="Z3" s="23">
        <v>0</v>
      </c>
      <c r="AA3" s="23">
        <v>0</v>
      </c>
      <c r="AB3" s="23">
        <v>0</v>
      </c>
      <c r="AC3" s="23">
        <v>0</v>
      </c>
      <c r="AD3" s="23">
        <f>SUM(Y3:AC3)</f>
        <v>164.442910578</v>
      </c>
      <c r="AE3" s="227"/>
      <c r="AF3" s="23">
        <f>+PROYECCIONES!G103</f>
        <v>174.30948521268002</v>
      </c>
      <c r="AG3" s="23">
        <v>0</v>
      </c>
      <c r="AH3" s="23">
        <v>0</v>
      </c>
      <c r="AI3" s="23">
        <v>0</v>
      </c>
      <c r="AJ3" s="23">
        <v>0</v>
      </c>
      <c r="AK3" s="23">
        <f>SUM(AF3:AJ3)</f>
        <v>174.30948521268002</v>
      </c>
    </row>
    <row r="4" spans="1:37" s="15" customFormat="1" ht="15" customHeight="1">
      <c r="A4" s="391" t="s">
        <v>35</v>
      </c>
      <c r="B4" s="391" t="s">
        <v>47</v>
      </c>
      <c r="C4" s="391" t="s">
        <v>0</v>
      </c>
      <c r="D4" s="391" t="s">
        <v>2</v>
      </c>
      <c r="E4" s="391" t="s">
        <v>39</v>
      </c>
      <c r="F4" s="391" t="s">
        <v>37</v>
      </c>
      <c r="G4" s="391" t="s">
        <v>10</v>
      </c>
      <c r="H4" s="391" t="s">
        <v>45</v>
      </c>
      <c r="I4" s="395" t="s">
        <v>266</v>
      </c>
      <c r="J4" s="393"/>
      <c r="K4" s="390">
        <v>2012</v>
      </c>
      <c r="L4" s="390"/>
      <c r="M4" s="390"/>
      <c r="N4" s="390"/>
      <c r="O4" s="390"/>
      <c r="P4" s="390"/>
      <c r="Q4" s="393"/>
      <c r="R4" s="390">
        <v>2013</v>
      </c>
      <c r="S4" s="390"/>
      <c r="T4" s="390"/>
      <c r="U4" s="390"/>
      <c r="V4" s="390"/>
      <c r="W4" s="390"/>
      <c r="X4" s="393"/>
      <c r="Y4" s="390">
        <v>2014</v>
      </c>
      <c r="Z4" s="390"/>
      <c r="AA4" s="390"/>
      <c r="AB4" s="390"/>
      <c r="AC4" s="390"/>
      <c r="AD4" s="390"/>
      <c r="AE4" s="393"/>
      <c r="AF4" s="390">
        <v>2015</v>
      </c>
      <c r="AG4" s="390"/>
      <c r="AH4" s="390"/>
      <c r="AI4" s="390"/>
      <c r="AJ4" s="390"/>
      <c r="AK4" s="390"/>
    </row>
    <row r="5" spans="1:37" s="15" customFormat="1" ht="12.75">
      <c r="A5" s="392"/>
      <c r="B5" s="392"/>
      <c r="C5" s="392"/>
      <c r="D5" s="392"/>
      <c r="E5" s="392"/>
      <c r="F5" s="392"/>
      <c r="G5" s="392"/>
      <c r="H5" s="392"/>
      <c r="I5" s="396"/>
      <c r="J5" s="394"/>
      <c r="K5" s="4" t="s">
        <v>40</v>
      </c>
      <c r="L5" s="5" t="s">
        <v>41</v>
      </c>
      <c r="M5" s="4" t="s">
        <v>42</v>
      </c>
      <c r="N5" s="4" t="s">
        <v>43</v>
      </c>
      <c r="O5" s="4" t="s">
        <v>1</v>
      </c>
      <c r="P5" s="4" t="s">
        <v>44</v>
      </c>
      <c r="Q5" s="394"/>
      <c r="R5" s="4" t="s">
        <v>40</v>
      </c>
      <c r="S5" s="5" t="s">
        <v>41</v>
      </c>
      <c r="T5" s="4" t="s">
        <v>42</v>
      </c>
      <c r="U5" s="4" t="s">
        <v>43</v>
      </c>
      <c r="V5" s="4" t="s">
        <v>1</v>
      </c>
      <c r="W5" s="4" t="s">
        <v>44</v>
      </c>
      <c r="X5" s="394"/>
      <c r="Y5" s="4" t="s">
        <v>40</v>
      </c>
      <c r="Z5" s="5" t="s">
        <v>41</v>
      </c>
      <c r="AA5" s="4" t="s">
        <v>42</v>
      </c>
      <c r="AB5" s="4" t="s">
        <v>43</v>
      </c>
      <c r="AC5" s="4" t="s">
        <v>1</v>
      </c>
      <c r="AD5" s="4" t="s">
        <v>44</v>
      </c>
      <c r="AE5" s="394"/>
      <c r="AF5" s="4" t="s">
        <v>40</v>
      </c>
      <c r="AG5" s="5" t="s">
        <v>41</v>
      </c>
      <c r="AH5" s="4" t="s">
        <v>42</v>
      </c>
      <c r="AI5" s="4" t="s">
        <v>43</v>
      </c>
      <c r="AJ5" s="4" t="s">
        <v>1</v>
      </c>
      <c r="AK5" s="4" t="s">
        <v>44</v>
      </c>
    </row>
    <row r="6" spans="1:37" ht="38.25" customHeight="1">
      <c r="A6" s="397" t="s">
        <v>101</v>
      </c>
      <c r="B6" s="397" t="s">
        <v>102</v>
      </c>
      <c r="C6" s="401" t="s">
        <v>111</v>
      </c>
      <c r="D6" s="405" t="s">
        <v>25</v>
      </c>
      <c r="E6" s="8" t="s">
        <v>576</v>
      </c>
      <c r="F6" s="8" t="s">
        <v>577</v>
      </c>
      <c r="G6" s="8" t="s">
        <v>578</v>
      </c>
      <c r="H6" s="108">
        <f aca="true" t="shared" si="2" ref="H6:H17">+P6+W6+AD6+AK6</f>
        <v>0</v>
      </c>
      <c r="I6" s="231"/>
      <c r="J6" s="237"/>
      <c r="K6" s="7">
        <v>0</v>
      </c>
      <c r="L6" s="7"/>
      <c r="M6" s="7"/>
      <c r="N6" s="7"/>
      <c r="O6" s="7"/>
      <c r="P6" s="7">
        <f aca="true" t="shared" si="3" ref="P6:P16">SUM(K6:O6)</f>
        <v>0</v>
      </c>
      <c r="Q6" s="237"/>
      <c r="R6" s="7">
        <v>0</v>
      </c>
      <c r="S6" s="7"/>
      <c r="T6" s="7"/>
      <c r="U6" s="7"/>
      <c r="V6" s="7"/>
      <c r="W6" s="7">
        <f aca="true" t="shared" si="4" ref="W6:W16">SUM(R6:V6)</f>
        <v>0</v>
      </c>
      <c r="X6" s="237"/>
      <c r="Y6" s="7">
        <v>0</v>
      </c>
      <c r="Z6" s="7"/>
      <c r="AA6" s="7"/>
      <c r="AB6" s="7"/>
      <c r="AC6" s="7"/>
      <c r="AD6" s="7">
        <f aca="true" t="shared" si="5" ref="AD6:AD16">SUM(Y6:AC6)</f>
        <v>0</v>
      </c>
      <c r="AE6" s="237"/>
      <c r="AF6" s="7">
        <v>0</v>
      </c>
      <c r="AG6" s="7"/>
      <c r="AH6" s="7"/>
      <c r="AI6" s="7"/>
      <c r="AJ6" s="7"/>
      <c r="AK6" s="7">
        <f aca="true" t="shared" si="6" ref="AK6:AK17">SUM(AF6:AJ6)</f>
        <v>0</v>
      </c>
    </row>
    <row r="7" spans="1:37" ht="38.25" customHeight="1">
      <c r="A7" s="398"/>
      <c r="B7" s="398"/>
      <c r="C7" s="402"/>
      <c r="D7" s="406"/>
      <c r="E7" s="8" t="s">
        <v>579</v>
      </c>
      <c r="F7" s="8" t="s">
        <v>580</v>
      </c>
      <c r="G7" s="8" t="s">
        <v>581</v>
      </c>
      <c r="H7" s="108">
        <f>+P7+W7+AD7+AK7</f>
        <v>256.096328836272</v>
      </c>
      <c r="I7" s="231"/>
      <c r="J7" s="237"/>
      <c r="K7" s="7">
        <f>+K3*0.4</f>
        <v>58.541441999999996</v>
      </c>
      <c r="L7" s="7"/>
      <c r="M7" s="7"/>
      <c r="N7" s="7"/>
      <c r="O7" s="7"/>
      <c r="P7" s="7">
        <f t="shared" si="3"/>
        <v>58.541441999999996</v>
      </c>
      <c r="Q7" s="237"/>
      <c r="R7" s="7">
        <f>+R3*0.4</f>
        <v>62.05392852</v>
      </c>
      <c r="S7" s="7"/>
      <c r="T7" s="7"/>
      <c r="U7" s="7"/>
      <c r="V7" s="7"/>
      <c r="W7" s="7">
        <f t="shared" si="4"/>
        <v>62.05392852</v>
      </c>
      <c r="X7" s="237"/>
      <c r="Y7" s="7">
        <f>+Y3*0.4</f>
        <v>65.7771642312</v>
      </c>
      <c r="Z7" s="7"/>
      <c r="AA7" s="7"/>
      <c r="AB7" s="7"/>
      <c r="AC7" s="7"/>
      <c r="AD7" s="7">
        <f t="shared" si="5"/>
        <v>65.7771642312</v>
      </c>
      <c r="AE7" s="237"/>
      <c r="AF7" s="7">
        <f>+AF3*0.4</f>
        <v>69.72379408507202</v>
      </c>
      <c r="AG7" s="7"/>
      <c r="AH7" s="7"/>
      <c r="AI7" s="7"/>
      <c r="AJ7" s="7"/>
      <c r="AK7" s="7">
        <f t="shared" si="6"/>
        <v>69.72379408507202</v>
      </c>
    </row>
    <row r="8" spans="1:37" ht="38.25">
      <c r="A8" s="399"/>
      <c r="B8" s="399"/>
      <c r="C8" s="403"/>
      <c r="D8" s="407"/>
      <c r="E8" s="8" t="s">
        <v>582</v>
      </c>
      <c r="F8" s="8" t="s">
        <v>583</v>
      </c>
      <c r="G8" s="8" t="s">
        <v>103</v>
      </c>
      <c r="H8" s="108">
        <f t="shared" si="2"/>
        <v>64.024082209068</v>
      </c>
      <c r="I8" s="231"/>
      <c r="J8" s="237"/>
      <c r="K8" s="7">
        <f>+K3*0.1</f>
        <v>14.635360499999999</v>
      </c>
      <c r="L8" s="7"/>
      <c r="M8" s="7"/>
      <c r="N8" s="7"/>
      <c r="O8" s="7"/>
      <c r="P8" s="7">
        <f t="shared" si="3"/>
        <v>14.635360499999999</v>
      </c>
      <c r="Q8" s="237"/>
      <c r="R8" s="7">
        <f>+R3*0.1</f>
        <v>15.51348213</v>
      </c>
      <c r="S8" s="7"/>
      <c r="T8" s="7"/>
      <c r="U8" s="7"/>
      <c r="V8" s="7"/>
      <c r="W8" s="7">
        <f t="shared" si="4"/>
        <v>15.51348213</v>
      </c>
      <c r="X8" s="237"/>
      <c r="Y8" s="7">
        <f>+Y3*0.1</f>
        <v>16.4442910578</v>
      </c>
      <c r="Z8" s="7"/>
      <c r="AA8" s="7"/>
      <c r="AB8" s="7"/>
      <c r="AC8" s="7"/>
      <c r="AD8" s="7">
        <f t="shared" si="5"/>
        <v>16.4442910578</v>
      </c>
      <c r="AE8" s="237"/>
      <c r="AF8" s="7">
        <f>+AF3*0.1</f>
        <v>17.430948521268004</v>
      </c>
      <c r="AG8" s="7"/>
      <c r="AH8" s="7"/>
      <c r="AI8" s="7"/>
      <c r="AJ8" s="7"/>
      <c r="AK8" s="7">
        <f t="shared" si="6"/>
        <v>17.430948521268004</v>
      </c>
    </row>
    <row r="9" spans="1:37" ht="51">
      <c r="A9" s="399"/>
      <c r="B9" s="399"/>
      <c r="C9" s="403"/>
      <c r="D9" s="407"/>
      <c r="E9" s="8" t="s">
        <v>584</v>
      </c>
      <c r="F9" s="8" t="s">
        <v>585</v>
      </c>
      <c r="G9" s="8" t="s">
        <v>113</v>
      </c>
      <c r="H9" s="108">
        <f t="shared" si="2"/>
        <v>96.036123313602</v>
      </c>
      <c r="I9" s="231"/>
      <c r="J9" s="237"/>
      <c r="K9" s="7">
        <f>+K3*0.15</f>
        <v>21.953040749999996</v>
      </c>
      <c r="L9" s="7"/>
      <c r="M9" s="7"/>
      <c r="N9" s="7"/>
      <c r="O9" s="7"/>
      <c r="P9" s="7">
        <f t="shared" si="3"/>
        <v>21.953040749999996</v>
      </c>
      <c r="Q9" s="237"/>
      <c r="R9" s="7">
        <f>+R3*0.15</f>
        <v>23.270223195</v>
      </c>
      <c r="S9" s="7"/>
      <c r="T9" s="7"/>
      <c r="U9" s="7"/>
      <c r="V9" s="7"/>
      <c r="W9" s="7">
        <f t="shared" si="4"/>
        <v>23.270223195</v>
      </c>
      <c r="X9" s="237"/>
      <c r="Y9" s="7">
        <f>+Y3*0.15</f>
        <v>24.6664365867</v>
      </c>
      <c r="Z9" s="7"/>
      <c r="AA9" s="7"/>
      <c r="AB9" s="7"/>
      <c r="AC9" s="7"/>
      <c r="AD9" s="7">
        <f t="shared" si="5"/>
        <v>24.6664365867</v>
      </c>
      <c r="AE9" s="237"/>
      <c r="AF9" s="7">
        <f>+AF3*0.15</f>
        <v>26.146422781902</v>
      </c>
      <c r="AG9" s="7"/>
      <c r="AH9" s="7"/>
      <c r="AI9" s="7"/>
      <c r="AJ9" s="7"/>
      <c r="AK9" s="7">
        <f t="shared" si="6"/>
        <v>26.146422781902</v>
      </c>
    </row>
    <row r="10" spans="1:37" ht="38.25">
      <c r="A10" s="399"/>
      <c r="B10" s="399"/>
      <c r="C10" s="403"/>
      <c r="D10" s="407"/>
      <c r="E10" s="8" t="s">
        <v>586</v>
      </c>
      <c r="F10" s="8" t="s">
        <v>587</v>
      </c>
      <c r="G10" s="8" t="s">
        <v>572</v>
      </c>
      <c r="H10" s="108">
        <f t="shared" si="2"/>
        <v>32.012041104534</v>
      </c>
      <c r="I10" s="231"/>
      <c r="J10" s="237"/>
      <c r="K10" s="7">
        <f>+K3*0.05</f>
        <v>7.3176802499999996</v>
      </c>
      <c r="L10" s="7"/>
      <c r="M10" s="7"/>
      <c r="N10" s="7"/>
      <c r="O10" s="7"/>
      <c r="P10" s="7">
        <f t="shared" si="3"/>
        <v>7.3176802499999996</v>
      </c>
      <c r="Q10" s="237"/>
      <c r="R10" s="7">
        <f>+R3*0.05</f>
        <v>7.756741065</v>
      </c>
      <c r="S10" s="7"/>
      <c r="T10" s="7"/>
      <c r="U10" s="7"/>
      <c r="V10" s="7"/>
      <c r="W10" s="7">
        <f t="shared" si="4"/>
        <v>7.756741065</v>
      </c>
      <c r="X10" s="237"/>
      <c r="Y10" s="7">
        <f>+Y3*0.05</f>
        <v>8.2221455289</v>
      </c>
      <c r="Z10" s="7"/>
      <c r="AA10" s="7"/>
      <c r="AB10" s="7"/>
      <c r="AC10" s="7"/>
      <c r="AD10" s="7">
        <f t="shared" si="5"/>
        <v>8.2221455289</v>
      </c>
      <c r="AE10" s="237"/>
      <c r="AF10" s="7">
        <f>+AF3*0.05</f>
        <v>8.715474260634002</v>
      </c>
      <c r="AG10" s="7"/>
      <c r="AH10" s="7"/>
      <c r="AI10" s="7"/>
      <c r="AJ10" s="7"/>
      <c r="AK10" s="7">
        <f t="shared" si="6"/>
        <v>8.715474260634002</v>
      </c>
    </row>
    <row r="11" spans="1:37" ht="38.25">
      <c r="A11" s="399"/>
      <c r="B11" s="399"/>
      <c r="C11" s="403"/>
      <c r="D11" s="407"/>
      <c r="E11" s="8" t="s">
        <v>588</v>
      </c>
      <c r="F11" s="8" t="s">
        <v>589</v>
      </c>
      <c r="G11" s="8" t="s">
        <v>114</v>
      </c>
      <c r="H11" s="108">
        <f t="shared" si="2"/>
        <v>32.012041104534</v>
      </c>
      <c r="I11" s="231"/>
      <c r="J11" s="237"/>
      <c r="K11" s="7">
        <f>+K3*0.05</f>
        <v>7.3176802499999996</v>
      </c>
      <c r="L11" s="7"/>
      <c r="M11" s="7"/>
      <c r="N11" s="7"/>
      <c r="O11" s="7"/>
      <c r="P11" s="7">
        <f t="shared" si="3"/>
        <v>7.3176802499999996</v>
      </c>
      <c r="Q11" s="237"/>
      <c r="R11" s="7">
        <f>+R3*0.05</f>
        <v>7.756741065</v>
      </c>
      <c r="S11" s="7"/>
      <c r="T11" s="7"/>
      <c r="U11" s="7"/>
      <c r="V11" s="7"/>
      <c r="W11" s="7">
        <f t="shared" si="4"/>
        <v>7.756741065</v>
      </c>
      <c r="X11" s="237"/>
      <c r="Y11" s="7">
        <f>+Y3*0.05</f>
        <v>8.2221455289</v>
      </c>
      <c r="Z11" s="7"/>
      <c r="AA11" s="7"/>
      <c r="AB11" s="7"/>
      <c r="AC11" s="7"/>
      <c r="AD11" s="7">
        <f t="shared" si="5"/>
        <v>8.2221455289</v>
      </c>
      <c r="AE11" s="237"/>
      <c r="AF11" s="7">
        <f>+AF3*0.05</f>
        <v>8.715474260634002</v>
      </c>
      <c r="AG11" s="7"/>
      <c r="AH11" s="7"/>
      <c r="AI11" s="7"/>
      <c r="AJ11" s="7"/>
      <c r="AK11" s="7">
        <f t="shared" si="6"/>
        <v>8.715474260634002</v>
      </c>
    </row>
    <row r="12" spans="1:37" ht="38.25">
      <c r="A12" s="399"/>
      <c r="B12" s="399"/>
      <c r="C12" s="403"/>
      <c r="D12" s="407"/>
      <c r="E12" s="8" t="s">
        <v>590</v>
      </c>
      <c r="F12" s="8" t="s">
        <v>591</v>
      </c>
      <c r="G12" s="8" t="s">
        <v>115</v>
      </c>
      <c r="H12" s="108">
        <f t="shared" si="2"/>
        <v>32.012041104534</v>
      </c>
      <c r="I12" s="231"/>
      <c r="J12" s="237"/>
      <c r="K12" s="7">
        <f>+K3*0.05</f>
        <v>7.3176802499999996</v>
      </c>
      <c r="L12" s="7"/>
      <c r="M12" s="7"/>
      <c r="N12" s="7"/>
      <c r="O12" s="7"/>
      <c r="P12" s="7">
        <f t="shared" si="3"/>
        <v>7.3176802499999996</v>
      </c>
      <c r="Q12" s="237"/>
      <c r="R12" s="7">
        <f>+R3*0.05</f>
        <v>7.756741065</v>
      </c>
      <c r="S12" s="7"/>
      <c r="T12" s="7"/>
      <c r="U12" s="7"/>
      <c r="V12" s="7"/>
      <c r="W12" s="7">
        <f t="shared" si="4"/>
        <v>7.756741065</v>
      </c>
      <c r="X12" s="237"/>
      <c r="Y12" s="7">
        <f>+Y3*0.05</f>
        <v>8.2221455289</v>
      </c>
      <c r="Z12" s="7"/>
      <c r="AA12" s="7"/>
      <c r="AB12" s="7"/>
      <c r="AC12" s="7"/>
      <c r="AD12" s="7">
        <f t="shared" si="5"/>
        <v>8.2221455289</v>
      </c>
      <c r="AE12" s="237"/>
      <c r="AF12" s="7">
        <f>+AF3*0.05</f>
        <v>8.715474260634002</v>
      </c>
      <c r="AG12" s="7"/>
      <c r="AH12" s="7"/>
      <c r="AI12" s="7"/>
      <c r="AJ12" s="7"/>
      <c r="AK12" s="7">
        <f t="shared" si="6"/>
        <v>8.715474260634002</v>
      </c>
    </row>
    <row r="13" spans="1:37" ht="38.25">
      <c r="A13" s="399"/>
      <c r="B13" s="399"/>
      <c r="C13" s="403"/>
      <c r="D13" s="407"/>
      <c r="E13" s="8" t="s">
        <v>592</v>
      </c>
      <c r="F13" s="8" t="s">
        <v>591</v>
      </c>
      <c r="G13" s="8" t="s">
        <v>573</v>
      </c>
      <c r="H13" s="108">
        <f t="shared" si="2"/>
        <v>56.706401959068</v>
      </c>
      <c r="I13" s="231"/>
      <c r="J13" s="237"/>
      <c r="K13" s="7">
        <f>+K3*0.05</f>
        <v>7.3176802499999996</v>
      </c>
      <c r="L13" s="7"/>
      <c r="M13" s="7"/>
      <c r="N13" s="7"/>
      <c r="O13" s="7"/>
      <c r="P13" s="7">
        <f t="shared" si="3"/>
        <v>7.3176802499999996</v>
      </c>
      <c r="Q13" s="237"/>
      <c r="R13" s="7">
        <f>+R3*0.1</f>
        <v>15.51348213</v>
      </c>
      <c r="S13" s="7"/>
      <c r="T13" s="7"/>
      <c r="U13" s="7"/>
      <c r="V13" s="7"/>
      <c r="W13" s="7">
        <f t="shared" si="4"/>
        <v>15.51348213</v>
      </c>
      <c r="X13" s="237"/>
      <c r="Y13" s="7">
        <f>+Y3*0.1</f>
        <v>16.4442910578</v>
      </c>
      <c r="Z13" s="7"/>
      <c r="AA13" s="7"/>
      <c r="AB13" s="7"/>
      <c r="AC13" s="7"/>
      <c r="AD13" s="7">
        <f t="shared" si="5"/>
        <v>16.4442910578</v>
      </c>
      <c r="AE13" s="237"/>
      <c r="AF13" s="7">
        <f>+AF3*0.1</f>
        <v>17.430948521268004</v>
      </c>
      <c r="AG13" s="7"/>
      <c r="AH13" s="7"/>
      <c r="AI13" s="7"/>
      <c r="AJ13" s="7"/>
      <c r="AK13" s="7">
        <f t="shared" si="6"/>
        <v>17.430948521268004</v>
      </c>
    </row>
    <row r="14" spans="1:37" ht="51">
      <c r="A14" s="399"/>
      <c r="B14" s="399"/>
      <c r="C14" s="403"/>
      <c r="D14" s="407"/>
      <c r="E14" s="8" t="s">
        <v>593</v>
      </c>
      <c r="F14" s="8" t="s">
        <v>594</v>
      </c>
      <c r="G14" s="8" t="s">
        <v>631</v>
      </c>
      <c r="H14" s="108">
        <f t="shared" si="2"/>
        <v>39.329721354534</v>
      </c>
      <c r="I14" s="231"/>
      <c r="J14" s="237"/>
      <c r="K14" s="7">
        <f>+K3*0.1</f>
        <v>14.635360499999999</v>
      </c>
      <c r="L14" s="7"/>
      <c r="M14" s="7"/>
      <c r="N14" s="7"/>
      <c r="O14" s="7"/>
      <c r="P14" s="7">
        <f t="shared" si="3"/>
        <v>14.635360499999999</v>
      </c>
      <c r="Q14" s="237"/>
      <c r="R14" s="7">
        <f>+R3*0.05</f>
        <v>7.756741065</v>
      </c>
      <c r="S14" s="7"/>
      <c r="T14" s="7"/>
      <c r="U14" s="7"/>
      <c r="V14" s="7"/>
      <c r="W14" s="7">
        <f t="shared" si="4"/>
        <v>7.756741065</v>
      </c>
      <c r="X14" s="237"/>
      <c r="Y14" s="7">
        <f>+Y3*0.05</f>
        <v>8.2221455289</v>
      </c>
      <c r="Z14" s="7"/>
      <c r="AA14" s="7"/>
      <c r="AB14" s="7"/>
      <c r="AC14" s="7"/>
      <c r="AD14" s="7">
        <f t="shared" si="5"/>
        <v>8.2221455289</v>
      </c>
      <c r="AE14" s="237"/>
      <c r="AF14" s="7">
        <f>+AF3*0.05</f>
        <v>8.715474260634002</v>
      </c>
      <c r="AG14" s="7"/>
      <c r="AH14" s="7"/>
      <c r="AI14" s="7"/>
      <c r="AJ14" s="7"/>
      <c r="AK14" s="7">
        <f t="shared" si="6"/>
        <v>8.715474260634002</v>
      </c>
    </row>
    <row r="15" spans="1:37" ht="38.25">
      <c r="A15" s="399"/>
      <c r="B15" s="399"/>
      <c r="C15" s="403"/>
      <c r="D15" s="407"/>
      <c r="E15" s="8" t="s">
        <v>595</v>
      </c>
      <c r="F15" s="8" t="s">
        <v>596</v>
      </c>
      <c r="G15" s="8" t="s">
        <v>597</v>
      </c>
      <c r="H15" s="108">
        <f t="shared" si="2"/>
        <v>0</v>
      </c>
      <c r="I15" s="231"/>
      <c r="J15" s="237"/>
      <c r="K15" s="7"/>
      <c r="L15" s="7"/>
      <c r="M15" s="7"/>
      <c r="N15" s="7"/>
      <c r="O15" s="7"/>
      <c r="P15" s="7">
        <f t="shared" si="3"/>
        <v>0</v>
      </c>
      <c r="Q15" s="237"/>
      <c r="R15" s="7"/>
      <c r="S15" s="7"/>
      <c r="T15" s="7"/>
      <c r="U15" s="7"/>
      <c r="V15" s="7"/>
      <c r="W15" s="7">
        <f t="shared" si="4"/>
        <v>0</v>
      </c>
      <c r="X15" s="237"/>
      <c r="Y15" s="7"/>
      <c r="Z15" s="7"/>
      <c r="AA15" s="7"/>
      <c r="AB15" s="7"/>
      <c r="AC15" s="7"/>
      <c r="AD15" s="7">
        <f t="shared" si="5"/>
        <v>0</v>
      </c>
      <c r="AE15" s="237"/>
      <c r="AF15" s="7"/>
      <c r="AG15" s="7"/>
      <c r="AH15" s="7"/>
      <c r="AI15" s="7"/>
      <c r="AJ15" s="7"/>
      <c r="AK15" s="7">
        <f t="shared" si="6"/>
        <v>0</v>
      </c>
    </row>
    <row r="16" spans="1:37" ht="25.5">
      <c r="A16" s="399"/>
      <c r="B16" s="399"/>
      <c r="C16" s="403"/>
      <c r="D16" s="407"/>
      <c r="E16" s="8" t="s">
        <v>598</v>
      </c>
      <c r="F16" s="8" t="s">
        <v>599</v>
      </c>
      <c r="G16" s="8" t="s">
        <v>574</v>
      </c>
      <c r="H16" s="108">
        <f t="shared" si="2"/>
        <v>32.012041104534</v>
      </c>
      <c r="I16" s="231"/>
      <c r="J16" s="237"/>
      <c r="K16" s="7">
        <f>+K3*0.05</f>
        <v>7.3176802499999996</v>
      </c>
      <c r="L16" s="7"/>
      <c r="M16" s="7"/>
      <c r="N16" s="7"/>
      <c r="O16" s="7"/>
      <c r="P16" s="7">
        <f t="shared" si="3"/>
        <v>7.3176802499999996</v>
      </c>
      <c r="Q16" s="237"/>
      <c r="R16" s="7">
        <f>+R3*0.05</f>
        <v>7.756741065</v>
      </c>
      <c r="S16" s="7"/>
      <c r="T16" s="7"/>
      <c r="U16" s="7"/>
      <c r="V16" s="7"/>
      <c r="W16" s="7">
        <f t="shared" si="4"/>
        <v>7.756741065</v>
      </c>
      <c r="X16" s="237"/>
      <c r="Y16" s="7">
        <f>+Y3*0.05</f>
        <v>8.2221455289</v>
      </c>
      <c r="Z16" s="7"/>
      <c r="AA16" s="7"/>
      <c r="AB16" s="7"/>
      <c r="AC16" s="7"/>
      <c r="AD16" s="7">
        <f t="shared" si="5"/>
        <v>8.2221455289</v>
      </c>
      <c r="AE16" s="237"/>
      <c r="AF16" s="7">
        <f>+AF3*0.05</f>
        <v>8.715474260634002</v>
      </c>
      <c r="AG16" s="7"/>
      <c r="AH16" s="7"/>
      <c r="AI16" s="7"/>
      <c r="AJ16" s="7"/>
      <c r="AK16" s="7">
        <f t="shared" si="6"/>
        <v>8.715474260634002</v>
      </c>
    </row>
    <row r="17" spans="1:37" ht="25.5">
      <c r="A17" s="400"/>
      <c r="B17" s="400"/>
      <c r="C17" s="404"/>
      <c r="D17" s="408"/>
      <c r="E17" s="8" t="s">
        <v>600</v>
      </c>
      <c r="F17" s="8" t="s">
        <v>601</v>
      </c>
      <c r="G17" s="8" t="s">
        <v>575</v>
      </c>
      <c r="H17" s="108">
        <f t="shared" si="2"/>
        <v>50</v>
      </c>
      <c r="I17" s="231"/>
      <c r="J17" s="237"/>
      <c r="K17" s="7"/>
      <c r="L17" s="7"/>
      <c r="M17" s="7"/>
      <c r="N17" s="7"/>
      <c r="O17" s="7"/>
      <c r="P17" s="7">
        <f>SUM(K17:O17)</f>
        <v>0</v>
      </c>
      <c r="Q17" s="237"/>
      <c r="R17" s="7"/>
      <c r="S17" s="7"/>
      <c r="T17" s="7"/>
      <c r="U17" s="7">
        <v>50</v>
      </c>
      <c r="V17" s="7"/>
      <c r="W17" s="7">
        <f>SUM(R17:V17)</f>
        <v>50</v>
      </c>
      <c r="X17" s="237"/>
      <c r="Y17" s="7"/>
      <c r="Z17" s="7"/>
      <c r="AA17" s="7"/>
      <c r="AB17" s="7"/>
      <c r="AC17" s="7"/>
      <c r="AD17" s="7">
        <f>SUM(Y17:AC17)</f>
        <v>0</v>
      </c>
      <c r="AE17" s="237"/>
      <c r="AF17" s="7"/>
      <c r="AG17" s="7"/>
      <c r="AH17" s="7"/>
      <c r="AI17" s="7"/>
      <c r="AJ17" s="7"/>
      <c r="AK17" s="7">
        <f t="shared" si="6"/>
        <v>0</v>
      </c>
    </row>
    <row r="18" spans="1:37" s="95" customFormat="1" ht="12.75">
      <c r="A18" s="234"/>
      <c r="B18" s="13"/>
      <c r="C18" s="152"/>
      <c r="D18" s="152"/>
      <c r="E18" s="163"/>
      <c r="F18" s="163"/>
      <c r="G18" s="251" t="s">
        <v>44</v>
      </c>
      <c r="H18" s="235">
        <f>SUM(H13:H17)</f>
        <v>178.048164418136</v>
      </c>
      <c r="I18" s="236">
        <f>+H18/H18</f>
        <v>1</v>
      </c>
      <c r="J18" s="238"/>
      <c r="K18" s="235">
        <f aca="true" t="shared" si="7" ref="K18:P18">SUM(K6:K17)</f>
        <v>146.35360499999996</v>
      </c>
      <c r="L18" s="235">
        <f t="shared" si="7"/>
        <v>0</v>
      </c>
      <c r="M18" s="235">
        <f t="shared" si="7"/>
        <v>0</v>
      </c>
      <c r="N18" s="235">
        <f t="shared" si="7"/>
        <v>0</v>
      </c>
      <c r="O18" s="235">
        <f t="shared" si="7"/>
        <v>0</v>
      </c>
      <c r="P18" s="235">
        <f t="shared" si="7"/>
        <v>146.35360499999996</v>
      </c>
      <c r="Q18" s="238"/>
      <c r="R18" s="235">
        <f aca="true" t="shared" si="8" ref="R18:W18">SUM(R6:R17)</f>
        <v>155.1348213</v>
      </c>
      <c r="S18" s="235">
        <f t="shared" si="8"/>
        <v>0</v>
      </c>
      <c r="T18" s="235">
        <f t="shared" si="8"/>
        <v>0</v>
      </c>
      <c r="U18" s="235">
        <f t="shared" si="8"/>
        <v>50</v>
      </c>
      <c r="V18" s="235">
        <f t="shared" si="8"/>
        <v>0</v>
      </c>
      <c r="W18" s="235">
        <f t="shared" si="8"/>
        <v>205.1348213</v>
      </c>
      <c r="X18" s="238"/>
      <c r="Y18" s="235">
        <f aca="true" t="shared" si="9" ref="Y18:AD18">SUM(Y6:Y17)</f>
        <v>164.442910578</v>
      </c>
      <c r="Z18" s="235">
        <f t="shared" si="9"/>
        <v>0</v>
      </c>
      <c r="AA18" s="235">
        <f t="shared" si="9"/>
        <v>0</v>
      </c>
      <c r="AB18" s="235">
        <f t="shared" si="9"/>
        <v>0</v>
      </c>
      <c r="AC18" s="235">
        <f t="shared" si="9"/>
        <v>0</v>
      </c>
      <c r="AD18" s="235">
        <f t="shared" si="9"/>
        <v>164.442910578</v>
      </c>
      <c r="AE18" s="238"/>
      <c r="AF18" s="235">
        <f aca="true" t="shared" si="10" ref="AF18:AK18">SUM(AF6:AF17)</f>
        <v>174.30948521268004</v>
      </c>
      <c r="AG18" s="235">
        <f t="shared" si="10"/>
        <v>0</v>
      </c>
      <c r="AH18" s="235">
        <f t="shared" si="10"/>
        <v>0</v>
      </c>
      <c r="AI18" s="235">
        <f t="shared" si="10"/>
        <v>0</v>
      </c>
      <c r="AJ18" s="235">
        <f t="shared" si="10"/>
        <v>0</v>
      </c>
      <c r="AK18" s="235">
        <f t="shared" si="10"/>
        <v>174.30948521268004</v>
      </c>
    </row>
    <row r="19" spans="1:37" ht="12.75">
      <c r="A19" s="16"/>
      <c r="B19" s="14"/>
      <c r="C19" s="9"/>
      <c r="D19" s="9"/>
      <c r="E19" s="9"/>
      <c r="F19" s="9"/>
      <c r="G19" s="17"/>
      <c r="H19" s="10"/>
      <c r="I19" s="232"/>
      <c r="J19" s="232"/>
      <c r="K19" s="10"/>
      <c r="L19" s="10"/>
      <c r="M19" s="10"/>
      <c r="N19" s="10"/>
      <c r="O19" s="10"/>
      <c r="P19" s="10"/>
      <c r="Q19" s="232"/>
      <c r="R19" s="10"/>
      <c r="S19" s="10"/>
      <c r="T19" s="10"/>
      <c r="U19" s="10"/>
      <c r="V19" s="10"/>
      <c r="W19" s="10"/>
      <c r="X19" s="232"/>
      <c r="Y19" s="10"/>
      <c r="Z19" s="10"/>
      <c r="AA19" s="10"/>
      <c r="AB19" s="10"/>
      <c r="AC19" s="10"/>
      <c r="AD19" s="10"/>
      <c r="AE19" s="232"/>
      <c r="AF19" s="10"/>
      <c r="AG19" s="10"/>
      <c r="AH19" s="10"/>
      <c r="AI19" s="10"/>
      <c r="AJ19" s="10"/>
      <c r="AK19" s="10"/>
    </row>
  </sheetData>
  <sheetProtection/>
  <mergeCells count="24">
    <mergeCell ref="A6:A17"/>
    <mergeCell ref="B6:B17"/>
    <mergeCell ref="C6:C17"/>
    <mergeCell ref="D6:D17"/>
    <mergeCell ref="A4:A5"/>
    <mergeCell ref="E4:E5"/>
    <mergeCell ref="AF4:AK4"/>
    <mergeCell ref="B4:B5"/>
    <mergeCell ref="G4:G5"/>
    <mergeCell ref="H4:H5"/>
    <mergeCell ref="K4:P4"/>
    <mergeCell ref="I4:I5"/>
    <mergeCell ref="J4:J5"/>
    <mergeCell ref="AE4:AE5"/>
    <mergeCell ref="F4:F5"/>
    <mergeCell ref="B1:G1"/>
    <mergeCell ref="R4:W4"/>
    <mergeCell ref="Y4:AD4"/>
    <mergeCell ref="C4:C5"/>
    <mergeCell ref="D4:D5"/>
    <mergeCell ref="B2:G2"/>
    <mergeCell ref="B3:G3"/>
    <mergeCell ref="Q4:Q5"/>
    <mergeCell ref="X4:X5"/>
  </mergeCells>
  <printOptions horizontalCentered="1"/>
  <pageMargins left="0.3937007874015748" right="1.1811023622047245" top="0.984251968503937" bottom="0.984251968503937" header="0.5118110236220472" footer="0.5118110236220472"/>
  <pageSetup fitToHeight="1" fitToWidth="1" horizontalDpi="600" verticalDpi="600" orientation="landscape" scale="70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33"/>
  <sheetViews>
    <sheetView zoomScaleSheetLayoutView="130" workbookViewId="0" topLeftCell="A1">
      <selection activeCell="A1" sqref="A1"/>
    </sheetView>
  </sheetViews>
  <sheetFormatPr defaultColWidth="11.421875" defaultRowHeight="15"/>
  <cols>
    <col min="1" max="1" width="10.140625" style="138" bestFit="1" customWidth="1"/>
    <col min="2" max="2" width="9.421875" style="138" customWidth="1"/>
    <col min="3" max="3" width="12.140625" style="138" customWidth="1"/>
    <col min="4" max="4" width="20.00390625" style="138" customWidth="1"/>
    <col min="5" max="5" width="28.28125" style="159" customWidth="1"/>
    <col min="6" max="6" width="25.140625" style="138" customWidth="1"/>
    <col min="7" max="7" width="29.28125" style="138" customWidth="1"/>
    <col min="8" max="8" width="11.00390625" style="139" bestFit="1" customWidth="1"/>
    <col min="9" max="9" width="7.00390625" style="161" bestFit="1" customWidth="1"/>
    <col min="10" max="10" width="1.7109375" style="161" customWidth="1"/>
    <col min="11" max="16" width="8.7109375" style="89" customWidth="1"/>
    <col min="17" max="17" width="1.7109375" style="161" customWidth="1"/>
    <col min="18" max="23" width="8.7109375" style="89" customWidth="1"/>
    <col min="24" max="24" width="1.7109375" style="161" customWidth="1"/>
    <col min="25" max="30" width="8.7109375" style="89" customWidth="1"/>
    <col min="31" max="31" width="1.7109375" style="161" customWidth="1"/>
    <col min="32" max="37" width="8.7109375" style="89" customWidth="1"/>
    <col min="38" max="16384" width="11.421875" style="89" customWidth="1"/>
  </cols>
  <sheetData>
    <row r="1" spans="1:37" s="32" customFormat="1" ht="12.75">
      <c r="A1" s="153"/>
      <c r="B1" s="311" t="s">
        <v>134</v>
      </c>
      <c r="C1" s="311"/>
      <c r="D1" s="311"/>
      <c r="E1" s="311"/>
      <c r="F1" s="311"/>
      <c r="G1" s="311"/>
      <c r="I1" s="129"/>
      <c r="J1" s="129"/>
      <c r="K1" s="252">
        <f aca="true" t="shared" si="0" ref="K1:AK1">+K3-K2</f>
        <v>0</v>
      </c>
      <c r="L1" s="252">
        <f t="shared" si="0"/>
        <v>0</v>
      </c>
      <c r="M1" s="252">
        <f t="shared" si="0"/>
        <v>0</v>
      </c>
      <c r="N1" s="252">
        <f t="shared" si="0"/>
        <v>0</v>
      </c>
      <c r="O1" s="252">
        <f t="shared" si="0"/>
        <v>0</v>
      </c>
      <c r="P1" s="252">
        <f t="shared" si="0"/>
        <v>0</v>
      </c>
      <c r="Q1" s="253"/>
      <c r="R1" s="252">
        <f t="shared" si="0"/>
        <v>0</v>
      </c>
      <c r="S1" s="252">
        <f t="shared" si="0"/>
        <v>0</v>
      </c>
      <c r="T1" s="252">
        <f t="shared" si="0"/>
        <v>0</v>
      </c>
      <c r="U1" s="252">
        <f t="shared" si="0"/>
        <v>0</v>
      </c>
      <c r="V1" s="252">
        <f t="shared" si="0"/>
        <v>0</v>
      </c>
      <c r="W1" s="252">
        <f t="shared" si="0"/>
        <v>0</v>
      </c>
      <c r="X1" s="253"/>
      <c r="Y1" s="252">
        <f t="shared" si="0"/>
        <v>0</v>
      </c>
      <c r="Z1" s="252">
        <f t="shared" si="0"/>
        <v>0</v>
      </c>
      <c r="AA1" s="252">
        <f t="shared" si="0"/>
        <v>0</v>
      </c>
      <c r="AB1" s="252">
        <f t="shared" si="0"/>
        <v>0</v>
      </c>
      <c r="AC1" s="252">
        <f t="shared" si="0"/>
        <v>0</v>
      </c>
      <c r="AD1" s="252">
        <f t="shared" si="0"/>
        <v>0</v>
      </c>
      <c r="AE1" s="253"/>
      <c r="AF1" s="252">
        <f t="shared" si="0"/>
        <v>0</v>
      </c>
      <c r="AG1" s="252">
        <f t="shared" si="0"/>
        <v>0</v>
      </c>
      <c r="AH1" s="252">
        <f t="shared" si="0"/>
        <v>0</v>
      </c>
      <c r="AI1" s="252">
        <f t="shared" si="0"/>
        <v>0</v>
      </c>
      <c r="AJ1" s="252">
        <f t="shared" si="0"/>
        <v>0</v>
      </c>
      <c r="AK1" s="252">
        <f t="shared" si="0"/>
        <v>0</v>
      </c>
    </row>
    <row r="2" spans="1:37" s="32" customFormat="1" ht="12.75">
      <c r="A2" s="153"/>
      <c r="B2" s="312" t="s">
        <v>135</v>
      </c>
      <c r="C2" s="312"/>
      <c r="D2" s="312"/>
      <c r="E2" s="312"/>
      <c r="F2" s="312"/>
      <c r="G2" s="312"/>
      <c r="I2" s="129"/>
      <c r="J2" s="129"/>
      <c r="K2" s="252">
        <f aca="true" t="shared" si="1" ref="K2:AK2">+K8+K13+K16</f>
        <v>224.408861</v>
      </c>
      <c r="L2" s="252">
        <f t="shared" si="1"/>
        <v>0</v>
      </c>
      <c r="M2" s="252">
        <f t="shared" si="1"/>
        <v>0</v>
      </c>
      <c r="N2" s="252">
        <f t="shared" si="1"/>
        <v>0</v>
      </c>
      <c r="O2" s="252">
        <f t="shared" si="1"/>
        <v>0</v>
      </c>
      <c r="P2" s="252">
        <f t="shared" si="1"/>
        <v>224.408861</v>
      </c>
      <c r="Q2" s="253"/>
      <c r="R2" s="252">
        <f t="shared" si="1"/>
        <v>237.87339266000004</v>
      </c>
      <c r="S2" s="252">
        <f t="shared" si="1"/>
        <v>0</v>
      </c>
      <c r="T2" s="252">
        <f t="shared" si="1"/>
        <v>0</v>
      </c>
      <c r="U2" s="252">
        <f t="shared" si="1"/>
        <v>0</v>
      </c>
      <c r="V2" s="252">
        <f t="shared" si="1"/>
        <v>0</v>
      </c>
      <c r="W2" s="252">
        <f t="shared" si="1"/>
        <v>237.87339266000004</v>
      </c>
      <c r="X2" s="253"/>
      <c r="Y2" s="252">
        <f t="shared" si="1"/>
        <v>252.14579621960002</v>
      </c>
      <c r="Z2" s="252">
        <f t="shared" si="1"/>
        <v>0</v>
      </c>
      <c r="AA2" s="252">
        <f t="shared" si="1"/>
        <v>0</v>
      </c>
      <c r="AB2" s="252">
        <f t="shared" si="1"/>
        <v>0</v>
      </c>
      <c r="AC2" s="252">
        <f t="shared" si="1"/>
        <v>0</v>
      </c>
      <c r="AD2" s="252">
        <f t="shared" si="1"/>
        <v>252.14579621960002</v>
      </c>
      <c r="AE2" s="253"/>
      <c r="AF2" s="252">
        <f t="shared" si="1"/>
        <v>267.27454399277605</v>
      </c>
      <c r="AG2" s="252">
        <f t="shared" si="1"/>
        <v>0</v>
      </c>
      <c r="AH2" s="252">
        <f t="shared" si="1"/>
        <v>0</v>
      </c>
      <c r="AI2" s="252">
        <f t="shared" si="1"/>
        <v>0</v>
      </c>
      <c r="AJ2" s="252">
        <f t="shared" si="1"/>
        <v>0</v>
      </c>
      <c r="AK2" s="252">
        <f t="shared" si="1"/>
        <v>267.27454399277605</v>
      </c>
    </row>
    <row r="3" spans="1:37" s="32" customFormat="1" ht="12.75">
      <c r="A3" s="153"/>
      <c r="B3" s="313" t="s">
        <v>136</v>
      </c>
      <c r="C3" s="313"/>
      <c r="D3" s="313"/>
      <c r="E3" s="313"/>
      <c r="F3" s="313"/>
      <c r="G3" s="313"/>
      <c r="I3" s="129"/>
      <c r="J3" s="129"/>
      <c r="K3" s="252">
        <f>+PROYECCIONES!D104</f>
        <v>224.408861</v>
      </c>
      <c r="L3" s="252">
        <v>0</v>
      </c>
      <c r="M3" s="252">
        <v>0</v>
      </c>
      <c r="N3" s="252">
        <v>0</v>
      </c>
      <c r="O3" s="252">
        <v>0</v>
      </c>
      <c r="P3" s="252">
        <f>SUM(K3:O3)</f>
        <v>224.408861</v>
      </c>
      <c r="Q3" s="253"/>
      <c r="R3" s="252">
        <f>+PROYECCIONES!E104</f>
        <v>237.87339266000004</v>
      </c>
      <c r="S3" s="252">
        <v>0</v>
      </c>
      <c r="T3" s="252">
        <v>0</v>
      </c>
      <c r="U3" s="252">
        <v>0</v>
      </c>
      <c r="V3" s="252">
        <v>0</v>
      </c>
      <c r="W3" s="252">
        <f>SUM(R3:V3)</f>
        <v>237.87339266000004</v>
      </c>
      <c r="X3" s="253"/>
      <c r="Y3" s="252">
        <f>+PROYECCIONES!F104</f>
        <v>252.14579621960002</v>
      </c>
      <c r="Z3" s="252">
        <v>0</v>
      </c>
      <c r="AA3" s="252">
        <v>0</v>
      </c>
      <c r="AB3" s="252">
        <v>0</v>
      </c>
      <c r="AC3" s="252">
        <v>0</v>
      </c>
      <c r="AD3" s="252">
        <f>SUM(Y3:AC3)</f>
        <v>252.14579621960002</v>
      </c>
      <c r="AE3" s="253"/>
      <c r="AF3" s="252">
        <f>+PROYECCIONES!G104</f>
        <v>267.27454399277605</v>
      </c>
      <c r="AG3" s="252">
        <v>0</v>
      </c>
      <c r="AH3" s="252">
        <v>0</v>
      </c>
      <c r="AI3" s="252">
        <v>0</v>
      </c>
      <c r="AJ3" s="252">
        <v>0</v>
      </c>
      <c r="AK3" s="252">
        <f>SUM(AF3:AJ3)</f>
        <v>267.27454399277605</v>
      </c>
    </row>
    <row r="4" spans="1:37" s="136" customFormat="1" ht="12.75">
      <c r="A4" s="307" t="s">
        <v>35</v>
      </c>
      <c r="B4" s="307" t="s">
        <v>47</v>
      </c>
      <c r="C4" s="307" t="s">
        <v>0</v>
      </c>
      <c r="D4" s="307" t="s">
        <v>2</v>
      </c>
      <c r="E4" s="307" t="s">
        <v>39</v>
      </c>
      <c r="F4" s="307" t="s">
        <v>37</v>
      </c>
      <c r="G4" s="307" t="s">
        <v>10</v>
      </c>
      <c r="H4" s="307" t="s">
        <v>45</v>
      </c>
      <c r="I4" s="309" t="s">
        <v>266</v>
      </c>
      <c r="J4" s="299"/>
      <c r="K4" s="354">
        <v>2012</v>
      </c>
      <c r="L4" s="354"/>
      <c r="M4" s="354"/>
      <c r="N4" s="354"/>
      <c r="O4" s="354"/>
      <c r="P4" s="354"/>
      <c r="Q4" s="299"/>
      <c r="R4" s="354">
        <v>2013</v>
      </c>
      <c r="S4" s="354"/>
      <c r="T4" s="354"/>
      <c r="U4" s="354"/>
      <c r="V4" s="354"/>
      <c r="W4" s="354"/>
      <c r="X4" s="299"/>
      <c r="Y4" s="354">
        <v>2014</v>
      </c>
      <c r="Z4" s="354"/>
      <c r="AA4" s="354"/>
      <c r="AB4" s="354"/>
      <c r="AC4" s="354"/>
      <c r="AD4" s="354"/>
      <c r="AE4" s="299"/>
      <c r="AF4" s="354">
        <v>2015</v>
      </c>
      <c r="AG4" s="354"/>
      <c r="AH4" s="354"/>
      <c r="AI4" s="354"/>
      <c r="AJ4" s="354"/>
      <c r="AK4" s="354"/>
    </row>
    <row r="5" spans="1:37" s="136" customFormat="1" ht="12.75">
      <c r="A5" s="308"/>
      <c r="B5" s="308"/>
      <c r="C5" s="308"/>
      <c r="D5" s="308"/>
      <c r="E5" s="308"/>
      <c r="F5" s="308"/>
      <c r="G5" s="308"/>
      <c r="H5" s="308"/>
      <c r="I5" s="310"/>
      <c r="J5" s="300"/>
      <c r="K5" s="28" t="s">
        <v>40</v>
      </c>
      <c r="L5" s="29" t="s">
        <v>41</v>
      </c>
      <c r="M5" s="28" t="s">
        <v>42</v>
      </c>
      <c r="N5" s="28" t="s">
        <v>304</v>
      </c>
      <c r="O5" s="28" t="s">
        <v>1</v>
      </c>
      <c r="P5" s="28" t="s">
        <v>44</v>
      </c>
      <c r="Q5" s="300"/>
      <c r="R5" s="28" t="s">
        <v>40</v>
      </c>
      <c r="S5" s="29" t="s">
        <v>41</v>
      </c>
      <c r="T5" s="28" t="s">
        <v>42</v>
      </c>
      <c r="U5" s="28" t="s">
        <v>43</v>
      </c>
      <c r="V5" s="28" t="s">
        <v>1</v>
      </c>
      <c r="W5" s="28" t="s">
        <v>44</v>
      </c>
      <c r="X5" s="300"/>
      <c r="Y5" s="28" t="s">
        <v>40</v>
      </c>
      <c r="Z5" s="29" t="s">
        <v>41</v>
      </c>
      <c r="AA5" s="28" t="s">
        <v>42</v>
      </c>
      <c r="AB5" s="28" t="s">
        <v>43</v>
      </c>
      <c r="AC5" s="28" t="s">
        <v>1</v>
      </c>
      <c r="AD5" s="28" t="s">
        <v>44</v>
      </c>
      <c r="AE5" s="300"/>
      <c r="AF5" s="28" t="s">
        <v>40</v>
      </c>
      <c r="AG5" s="29" t="s">
        <v>41</v>
      </c>
      <c r="AH5" s="28" t="s">
        <v>42</v>
      </c>
      <c r="AI5" s="28" t="s">
        <v>43</v>
      </c>
      <c r="AJ5" s="28" t="s">
        <v>1</v>
      </c>
      <c r="AK5" s="28" t="s">
        <v>44</v>
      </c>
    </row>
    <row r="6" spans="1:37" ht="38.25">
      <c r="A6" s="409" t="s">
        <v>51</v>
      </c>
      <c r="B6" s="409" t="s">
        <v>22</v>
      </c>
      <c r="C6" s="382" t="s">
        <v>52</v>
      </c>
      <c r="D6" s="346" t="s">
        <v>313</v>
      </c>
      <c r="E6" s="20" t="s">
        <v>307</v>
      </c>
      <c r="F6" s="20" t="s">
        <v>314</v>
      </c>
      <c r="G6" s="20" t="s">
        <v>132</v>
      </c>
      <c r="H6" s="31">
        <f>+P6+W6+AD6+AK6</f>
        <v>294.5107781617128</v>
      </c>
      <c r="I6" s="121"/>
      <c r="J6" s="172"/>
      <c r="K6" s="30">
        <f>+K3*0.3</f>
        <v>67.3226583</v>
      </c>
      <c r="L6" s="30"/>
      <c r="M6" s="30"/>
      <c r="N6" s="30"/>
      <c r="O6" s="30"/>
      <c r="P6" s="30">
        <f>SUM(K6:O6)</f>
        <v>67.3226583</v>
      </c>
      <c r="Q6" s="172"/>
      <c r="R6" s="30">
        <f>+R3*0.3</f>
        <v>71.36201779800001</v>
      </c>
      <c r="S6" s="30"/>
      <c r="T6" s="30"/>
      <c r="U6" s="30"/>
      <c r="V6" s="30"/>
      <c r="W6" s="30">
        <f>SUM(R6:V6)</f>
        <v>71.36201779800001</v>
      </c>
      <c r="X6" s="172"/>
      <c r="Y6" s="30">
        <f>+Y3*0.3</f>
        <v>75.64373886588</v>
      </c>
      <c r="Z6" s="30"/>
      <c r="AA6" s="30"/>
      <c r="AB6" s="30"/>
      <c r="AC6" s="30"/>
      <c r="AD6" s="30">
        <f>SUM(Y6:AC6)</f>
        <v>75.64373886588</v>
      </c>
      <c r="AE6" s="172"/>
      <c r="AF6" s="30">
        <f>+AF3*0.3</f>
        <v>80.18236319783281</v>
      </c>
      <c r="AG6" s="30"/>
      <c r="AH6" s="30"/>
      <c r="AI6" s="30"/>
      <c r="AJ6" s="30"/>
      <c r="AK6" s="30">
        <f>SUM(AF6:AJ6)</f>
        <v>80.18236319783281</v>
      </c>
    </row>
    <row r="7" spans="1:37" ht="41.25" customHeight="1">
      <c r="A7" s="410"/>
      <c r="B7" s="410"/>
      <c r="C7" s="383"/>
      <c r="D7" s="346"/>
      <c r="E7" s="20" t="s">
        <v>315</v>
      </c>
      <c r="F7" s="20" t="s">
        <v>316</v>
      </c>
      <c r="G7" s="20" t="s">
        <v>306</v>
      </c>
      <c r="H7" s="31">
        <f>+P7+W7+AD7+AK7</f>
        <v>98.1702593872376</v>
      </c>
      <c r="I7" s="123"/>
      <c r="J7" s="174"/>
      <c r="K7" s="30">
        <f>+K3*0.1</f>
        <v>22.4408861</v>
      </c>
      <c r="L7" s="30"/>
      <c r="M7" s="30"/>
      <c r="N7" s="30"/>
      <c r="O7" s="30"/>
      <c r="P7" s="30">
        <f>SUM(K7:O7)</f>
        <v>22.4408861</v>
      </c>
      <c r="Q7" s="174"/>
      <c r="R7" s="30">
        <f>+R3*0.1</f>
        <v>23.787339266000004</v>
      </c>
      <c r="S7" s="30"/>
      <c r="T7" s="30"/>
      <c r="U7" s="30"/>
      <c r="V7" s="30"/>
      <c r="W7" s="30">
        <f>SUM(R7:V7)</f>
        <v>23.787339266000004</v>
      </c>
      <c r="X7" s="174"/>
      <c r="Y7" s="30">
        <f>+Y3*0.1</f>
        <v>25.214579621960002</v>
      </c>
      <c r="Z7" s="30"/>
      <c r="AA7" s="30"/>
      <c r="AB7" s="30"/>
      <c r="AC7" s="30"/>
      <c r="AD7" s="30">
        <f>SUM(Y7:AC7)</f>
        <v>25.214579621960002</v>
      </c>
      <c r="AE7" s="174"/>
      <c r="AF7" s="30">
        <f>+AF3*0.1</f>
        <v>26.727454399277605</v>
      </c>
      <c r="AG7" s="30"/>
      <c r="AH7" s="30"/>
      <c r="AI7" s="30"/>
      <c r="AJ7" s="30"/>
      <c r="AK7" s="30">
        <f>SUM(AF7:AJ7)</f>
        <v>26.727454399277605</v>
      </c>
    </row>
    <row r="8" spans="1:37" s="98" customFormat="1" ht="12.75">
      <c r="A8" s="410"/>
      <c r="B8" s="410"/>
      <c r="C8" s="383"/>
      <c r="D8" s="163"/>
      <c r="E8" s="102"/>
      <c r="F8" s="102"/>
      <c r="G8" s="164" t="s">
        <v>235</v>
      </c>
      <c r="H8" s="96">
        <f>SUM(H6:H7)</f>
        <v>392.68103754895037</v>
      </c>
      <c r="I8" s="119">
        <f>+H8/H18</f>
        <v>0.4</v>
      </c>
      <c r="J8" s="151"/>
      <c r="K8" s="96">
        <f aca="true" t="shared" si="2" ref="K8:AK8">SUM(K6:K7)</f>
        <v>89.7635444</v>
      </c>
      <c r="L8" s="96">
        <f t="shared" si="2"/>
        <v>0</v>
      </c>
      <c r="M8" s="96">
        <f t="shared" si="2"/>
        <v>0</v>
      </c>
      <c r="N8" s="96">
        <f t="shared" si="2"/>
        <v>0</v>
      </c>
      <c r="O8" s="96">
        <f t="shared" si="2"/>
        <v>0</v>
      </c>
      <c r="P8" s="96">
        <f t="shared" si="2"/>
        <v>89.7635444</v>
      </c>
      <c r="Q8" s="151"/>
      <c r="R8" s="96">
        <f t="shared" si="2"/>
        <v>95.14935706400001</v>
      </c>
      <c r="S8" s="96">
        <f t="shared" si="2"/>
        <v>0</v>
      </c>
      <c r="T8" s="96">
        <f t="shared" si="2"/>
        <v>0</v>
      </c>
      <c r="U8" s="96">
        <f t="shared" si="2"/>
        <v>0</v>
      </c>
      <c r="V8" s="96">
        <f t="shared" si="2"/>
        <v>0</v>
      </c>
      <c r="W8" s="96">
        <f t="shared" si="2"/>
        <v>95.14935706400001</v>
      </c>
      <c r="X8" s="151"/>
      <c r="Y8" s="96">
        <f t="shared" si="2"/>
        <v>100.85831848784</v>
      </c>
      <c r="Z8" s="96">
        <f t="shared" si="2"/>
        <v>0</v>
      </c>
      <c r="AA8" s="96">
        <f t="shared" si="2"/>
        <v>0</v>
      </c>
      <c r="AB8" s="96">
        <f t="shared" si="2"/>
        <v>0</v>
      </c>
      <c r="AC8" s="96">
        <f t="shared" si="2"/>
        <v>0</v>
      </c>
      <c r="AD8" s="96">
        <f t="shared" si="2"/>
        <v>100.85831848784</v>
      </c>
      <c r="AE8" s="151"/>
      <c r="AF8" s="96">
        <f t="shared" si="2"/>
        <v>106.90981759711042</v>
      </c>
      <c r="AG8" s="96">
        <f t="shared" si="2"/>
        <v>0</v>
      </c>
      <c r="AH8" s="96">
        <f t="shared" si="2"/>
        <v>0</v>
      </c>
      <c r="AI8" s="96">
        <f t="shared" si="2"/>
        <v>0</v>
      </c>
      <c r="AJ8" s="96">
        <f t="shared" si="2"/>
        <v>0</v>
      </c>
      <c r="AK8" s="96">
        <f t="shared" si="2"/>
        <v>106.90981759711042</v>
      </c>
    </row>
    <row r="9" spans="1:37" ht="4.5" customHeight="1">
      <c r="A9" s="410"/>
      <c r="B9" s="410"/>
      <c r="C9" s="383"/>
      <c r="D9" s="9"/>
      <c r="E9" s="3"/>
      <c r="F9" s="3"/>
      <c r="G9" s="3"/>
      <c r="H9" s="146"/>
      <c r="I9" s="147"/>
      <c r="J9" s="147"/>
      <c r="K9" s="146"/>
      <c r="L9" s="146"/>
      <c r="M9" s="146"/>
      <c r="N9" s="146"/>
      <c r="O9" s="146"/>
      <c r="P9" s="146"/>
      <c r="Q9" s="147"/>
      <c r="R9" s="146"/>
      <c r="S9" s="146"/>
      <c r="T9" s="146"/>
      <c r="U9" s="146"/>
      <c r="V9" s="146"/>
      <c r="W9" s="146"/>
      <c r="X9" s="147"/>
      <c r="Y9" s="146"/>
      <c r="Z9" s="146"/>
      <c r="AA9" s="146"/>
      <c r="AB9" s="146"/>
      <c r="AC9" s="146"/>
      <c r="AD9" s="146"/>
      <c r="AE9" s="147"/>
      <c r="AF9" s="146"/>
      <c r="AG9" s="146"/>
      <c r="AH9" s="146"/>
      <c r="AI9" s="146"/>
      <c r="AJ9" s="146"/>
      <c r="AK9" s="146"/>
    </row>
    <row r="10" spans="1:37" ht="38.25" customHeight="1">
      <c r="A10" s="410"/>
      <c r="B10" s="410"/>
      <c r="C10" s="383"/>
      <c r="D10" s="347" t="s">
        <v>317</v>
      </c>
      <c r="E10" s="20" t="s">
        <v>318</v>
      </c>
      <c r="F10" s="20" t="s">
        <v>319</v>
      </c>
      <c r="G10" s="20" t="s">
        <v>320</v>
      </c>
      <c r="H10" s="31">
        <f>+P10+W10+AD10+AK10</f>
        <v>294.5107781617128</v>
      </c>
      <c r="I10" s="121"/>
      <c r="J10" s="172"/>
      <c r="K10" s="30">
        <f>+K3*0.3</f>
        <v>67.3226583</v>
      </c>
      <c r="L10" s="30"/>
      <c r="M10" s="30"/>
      <c r="N10" s="30"/>
      <c r="O10" s="30"/>
      <c r="P10" s="30">
        <f>SUM(K10:O10)</f>
        <v>67.3226583</v>
      </c>
      <c r="Q10" s="172"/>
      <c r="R10" s="30">
        <f>+R3*0.3</f>
        <v>71.36201779800001</v>
      </c>
      <c r="S10" s="30"/>
      <c r="T10" s="30"/>
      <c r="U10" s="30"/>
      <c r="V10" s="30"/>
      <c r="W10" s="30">
        <f>SUM(R10:V10)</f>
        <v>71.36201779800001</v>
      </c>
      <c r="X10" s="172"/>
      <c r="Y10" s="30">
        <f>+Y3*0.3</f>
        <v>75.64373886588</v>
      </c>
      <c r="Z10" s="30"/>
      <c r="AA10" s="30"/>
      <c r="AB10" s="30"/>
      <c r="AC10" s="30"/>
      <c r="AD10" s="30">
        <f>SUM(Y10:AC10)</f>
        <v>75.64373886588</v>
      </c>
      <c r="AE10" s="172"/>
      <c r="AF10" s="30">
        <f>+AF3*0.3</f>
        <v>80.18236319783281</v>
      </c>
      <c r="AG10" s="30"/>
      <c r="AH10" s="30"/>
      <c r="AI10" s="30"/>
      <c r="AJ10" s="30"/>
      <c r="AK10" s="30">
        <f>SUM(AF10:AJ10)</f>
        <v>80.18236319783281</v>
      </c>
    </row>
    <row r="11" spans="1:37" ht="25.5">
      <c r="A11" s="410"/>
      <c r="B11" s="410"/>
      <c r="C11" s="383"/>
      <c r="D11" s="383"/>
      <c r="E11" s="20" t="s">
        <v>309</v>
      </c>
      <c r="F11" s="20" t="s">
        <v>308</v>
      </c>
      <c r="G11" s="20" t="s">
        <v>53</v>
      </c>
      <c r="H11" s="31">
        <f>+P11+W11+AD11+AK11</f>
        <v>196.3405187744752</v>
      </c>
      <c r="I11" s="122"/>
      <c r="J11" s="173"/>
      <c r="K11" s="30">
        <f>+K3*0.2</f>
        <v>44.8817722</v>
      </c>
      <c r="L11" s="30"/>
      <c r="M11" s="30"/>
      <c r="N11" s="30"/>
      <c r="O11" s="30"/>
      <c r="P11" s="30">
        <f>SUM(K11:O11)</f>
        <v>44.8817722</v>
      </c>
      <c r="Q11" s="173"/>
      <c r="R11" s="30">
        <f>+R3*0.2</f>
        <v>47.57467853200001</v>
      </c>
      <c r="S11" s="30"/>
      <c r="T11" s="30"/>
      <c r="U11" s="30"/>
      <c r="V11" s="30"/>
      <c r="W11" s="30">
        <f>SUM(R11:V11)</f>
        <v>47.57467853200001</v>
      </c>
      <c r="X11" s="173"/>
      <c r="Y11" s="30">
        <f>+Y3*0.2</f>
        <v>50.429159243920004</v>
      </c>
      <c r="Z11" s="30"/>
      <c r="AA11" s="30"/>
      <c r="AB11" s="30"/>
      <c r="AC11" s="30"/>
      <c r="AD11" s="30">
        <f>SUM(Y11:AC11)</f>
        <v>50.429159243920004</v>
      </c>
      <c r="AE11" s="173"/>
      <c r="AF11" s="30">
        <f>+AF3*0.2</f>
        <v>53.45490879855521</v>
      </c>
      <c r="AG11" s="30"/>
      <c r="AH11" s="30"/>
      <c r="AI11" s="30"/>
      <c r="AJ11" s="30"/>
      <c r="AK11" s="30">
        <f>SUM(AF11:AJ11)</f>
        <v>53.45490879855521</v>
      </c>
    </row>
    <row r="12" spans="1:37" ht="38.25">
      <c r="A12" s="410"/>
      <c r="B12" s="410"/>
      <c r="C12" s="383"/>
      <c r="D12" s="376"/>
      <c r="E12" s="20" t="s">
        <v>310</v>
      </c>
      <c r="F12" s="20" t="s">
        <v>311</v>
      </c>
      <c r="G12" s="20" t="s">
        <v>305</v>
      </c>
      <c r="H12" s="31">
        <f>+P12+W12+AD12+AK12</f>
        <v>98.1702593872376</v>
      </c>
      <c r="I12" s="123"/>
      <c r="J12" s="174"/>
      <c r="K12" s="30">
        <f>+K3*0.1</f>
        <v>22.4408861</v>
      </c>
      <c r="L12" s="30"/>
      <c r="M12" s="30"/>
      <c r="N12" s="30"/>
      <c r="O12" s="30"/>
      <c r="P12" s="30">
        <f>SUM(K12:O12)</f>
        <v>22.4408861</v>
      </c>
      <c r="Q12" s="174"/>
      <c r="R12" s="30">
        <f>+R3*0.1</f>
        <v>23.787339266000004</v>
      </c>
      <c r="S12" s="30"/>
      <c r="T12" s="30"/>
      <c r="U12" s="30"/>
      <c r="V12" s="30"/>
      <c r="W12" s="30">
        <f>SUM(R12:V12)</f>
        <v>23.787339266000004</v>
      </c>
      <c r="X12" s="174"/>
      <c r="Y12" s="30">
        <f>+Y3*0.1</f>
        <v>25.214579621960002</v>
      </c>
      <c r="Z12" s="30"/>
      <c r="AA12" s="30"/>
      <c r="AB12" s="30"/>
      <c r="AC12" s="30"/>
      <c r="AD12" s="30">
        <f>SUM(Y12:AC12)</f>
        <v>25.214579621960002</v>
      </c>
      <c r="AE12" s="174"/>
      <c r="AF12" s="30">
        <f>+AF3*0.1</f>
        <v>26.727454399277605</v>
      </c>
      <c r="AG12" s="30"/>
      <c r="AH12" s="30"/>
      <c r="AI12" s="30"/>
      <c r="AJ12" s="30"/>
      <c r="AK12" s="30">
        <f>SUM(AF12:AJ12)</f>
        <v>26.727454399277605</v>
      </c>
    </row>
    <row r="13" spans="1:37" s="98" customFormat="1" ht="12.75">
      <c r="A13" s="410"/>
      <c r="B13" s="410"/>
      <c r="C13" s="383"/>
      <c r="D13" s="163"/>
      <c r="E13" s="102"/>
      <c r="F13" s="102"/>
      <c r="G13" s="164" t="s">
        <v>235</v>
      </c>
      <c r="H13" s="96">
        <f>SUM(H10:H12)</f>
        <v>589.0215563234256</v>
      </c>
      <c r="I13" s="119">
        <f>+H13/H18</f>
        <v>0.6</v>
      </c>
      <c r="J13" s="151"/>
      <c r="K13" s="96">
        <f aca="true" t="shared" si="3" ref="K13:AK13">SUM(K10:K12)</f>
        <v>134.6453166</v>
      </c>
      <c r="L13" s="96">
        <f t="shared" si="3"/>
        <v>0</v>
      </c>
      <c r="M13" s="96">
        <f t="shared" si="3"/>
        <v>0</v>
      </c>
      <c r="N13" s="96">
        <f t="shared" si="3"/>
        <v>0</v>
      </c>
      <c r="O13" s="96">
        <f t="shared" si="3"/>
        <v>0</v>
      </c>
      <c r="P13" s="96">
        <f t="shared" si="3"/>
        <v>134.6453166</v>
      </c>
      <c r="Q13" s="151"/>
      <c r="R13" s="96">
        <f t="shared" si="3"/>
        <v>142.72403559600002</v>
      </c>
      <c r="S13" s="96">
        <f t="shared" si="3"/>
        <v>0</v>
      </c>
      <c r="T13" s="96">
        <f t="shared" si="3"/>
        <v>0</v>
      </c>
      <c r="U13" s="96">
        <f t="shared" si="3"/>
        <v>0</v>
      </c>
      <c r="V13" s="96">
        <f t="shared" si="3"/>
        <v>0</v>
      </c>
      <c r="W13" s="96">
        <f t="shared" si="3"/>
        <v>142.72403559600002</v>
      </c>
      <c r="X13" s="151"/>
      <c r="Y13" s="96">
        <f t="shared" si="3"/>
        <v>151.28747773176002</v>
      </c>
      <c r="Z13" s="96">
        <f t="shared" si="3"/>
        <v>0</v>
      </c>
      <c r="AA13" s="96">
        <f t="shared" si="3"/>
        <v>0</v>
      </c>
      <c r="AB13" s="96">
        <f t="shared" si="3"/>
        <v>0</v>
      </c>
      <c r="AC13" s="96">
        <f t="shared" si="3"/>
        <v>0</v>
      </c>
      <c r="AD13" s="96">
        <f t="shared" si="3"/>
        <v>151.28747773176002</v>
      </c>
      <c r="AE13" s="151"/>
      <c r="AF13" s="96">
        <f t="shared" si="3"/>
        <v>160.36472639566563</v>
      </c>
      <c r="AG13" s="96">
        <f t="shared" si="3"/>
        <v>0</v>
      </c>
      <c r="AH13" s="96">
        <f t="shared" si="3"/>
        <v>0</v>
      </c>
      <c r="AI13" s="96">
        <f t="shared" si="3"/>
        <v>0</v>
      </c>
      <c r="AJ13" s="96">
        <f t="shared" si="3"/>
        <v>0</v>
      </c>
      <c r="AK13" s="96">
        <f t="shared" si="3"/>
        <v>160.36472639566563</v>
      </c>
    </row>
    <row r="14" spans="1:37" ht="4.5" customHeight="1">
      <c r="A14" s="410"/>
      <c r="B14" s="410"/>
      <c r="C14" s="383"/>
      <c r="D14" s="9"/>
      <c r="E14" s="3"/>
      <c r="F14" s="3"/>
      <c r="G14" s="3"/>
      <c r="H14" s="146"/>
      <c r="I14" s="147"/>
      <c r="J14" s="147"/>
      <c r="K14" s="146"/>
      <c r="L14" s="146"/>
      <c r="M14" s="146"/>
      <c r="N14" s="146"/>
      <c r="O14" s="146"/>
      <c r="P14" s="146"/>
      <c r="Q14" s="147"/>
      <c r="R14" s="146"/>
      <c r="S14" s="146"/>
      <c r="T14" s="146"/>
      <c r="U14" s="146"/>
      <c r="V14" s="146"/>
      <c r="W14" s="146"/>
      <c r="X14" s="147"/>
      <c r="Y14" s="146"/>
      <c r="Z14" s="146"/>
      <c r="AA14" s="146"/>
      <c r="AB14" s="146"/>
      <c r="AC14" s="146"/>
      <c r="AD14" s="146"/>
      <c r="AE14" s="147"/>
      <c r="AF14" s="146"/>
      <c r="AG14" s="146"/>
      <c r="AH14" s="146"/>
      <c r="AI14" s="146"/>
      <c r="AJ14" s="146"/>
      <c r="AK14" s="146"/>
    </row>
    <row r="15" spans="1:37" ht="61.5" customHeight="1">
      <c r="A15" s="411"/>
      <c r="B15" s="411"/>
      <c r="C15" s="376"/>
      <c r="D15" s="20" t="s">
        <v>321</v>
      </c>
      <c r="E15" s="20" t="s">
        <v>322</v>
      </c>
      <c r="F15" s="20" t="s">
        <v>312</v>
      </c>
      <c r="G15" s="20" t="s">
        <v>131</v>
      </c>
      <c r="H15" s="31">
        <f>+P15+W15+AD15+AK15</f>
        <v>0</v>
      </c>
      <c r="I15" s="141"/>
      <c r="J15" s="150"/>
      <c r="K15" s="30"/>
      <c r="L15" s="30"/>
      <c r="M15" s="30"/>
      <c r="N15" s="30"/>
      <c r="O15" s="30"/>
      <c r="P15" s="30">
        <f>SUM(K15:O15)</f>
        <v>0</v>
      </c>
      <c r="Q15" s="150"/>
      <c r="R15" s="30"/>
      <c r="S15" s="30"/>
      <c r="T15" s="30">
        <f>+M15*1.04</f>
        <v>0</v>
      </c>
      <c r="U15" s="30"/>
      <c r="V15" s="30"/>
      <c r="W15" s="30">
        <f>SUM(R15:V15)</f>
        <v>0</v>
      </c>
      <c r="X15" s="150"/>
      <c r="Y15" s="30"/>
      <c r="Z15" s="30"/>
      <c r="AA15" s="30">
        <f>+T15*1.04</f>
        <v>0</v>
      </c>
      <c r="AB15" s="30"/>
      <c r="AC15" s="30"/>
      <c r="AD15" s="30">
        <f>SUM(Y15:AC15)</f>
        <v>0</v>
      </c>
      <c r="AE15" s="150"/>
      <c r="AF15" s="30"/>
      <c r="AG15" s="30"/>
      <c r="AH15" s="30">
        <f>+AA15*1.04</f>
        <v>0</v>
      </c>
      <c r="AI15" s="30"/>
      <c r="AJ15" s="30"/>
      <c r="AK15" s="30">
        <f>SUM(AF15:AJ15)</f>
        <v>0</v>
      </c>
    </row>
    <row r="16" spans="1:37" s="98" customFormat="1" ht="12.75">
      <c r="A16" s="152"/>
      <c r="B16" s="152"/>
      <c r="C16" s="152"/>
      <c r="D16" s="163"/>
      <c r="E16" s="102"/>
      <c r="F16" s="102"/>
      <c r="G16" s="164" t="s">
        <v>235</v>
      </c>
      <c r="H16" s="96">
        <f>SUM(H15)</f>
        <v>0</v>
      </c>
      <c r="I16" s="119">
        <f aca="true" t="shared" si="4" ref="I16:AK16">SUM(I15)</f>
        <v>0</v>
      </c>
      <c r="J16" s="151"/>
      <c r="K16" s="96">
        <f t="shared" si="4"/>
        <v>0</v>
      </c>
      <c r="L16" s="96">
        <f t="shared" si="4"/>
        <v>0</v>
      </c>
      <c r="M16" s="96">
        <f t="shared" si="4"/>
        <v>0</v>
      </c>
      <c r="N16" s="96">
        <f t="shared" si="4"/>
        <v>0</v>
      </c>
      <c r="O16" s="96">
        <f t="shared" si="4"/>
        <v>0</v>
      </c>
      <c r="P16" s="96">
        <f t="shared" si="4"/>
        <v>0</v>
      </c>
      <c r="Q16" s="151"/>
      <c r="R16" s="96">
        <f t="shared" si="4"/>
        <v>0</v>
      </c>
      <c r="S16" s="96">
        <f t="shared" si="4"/>
        <v>0</v>
      </c>
      <c r="T16" s="96">
        <f t="shared" si="4"/>
        <v>0</v>
      </c>
      <c r="U16" s="96">
        <f t="shared" si="4"/>
        <v>0</v>
      </c>
      <c r="V16" s="96">
        <f t="shared" si="4"/>
        <v>0</v>
      </c>
      <c r="W16" s="96">
        <f t="shared" si="4"/>
        <v>0</v>
      </c>
      <c r="X16" s="151"/>
      <c r="Y16" s="96">
        <f t="shared" si="4"/>
        <v>0</v>
      </c>
      <c r="Z16" s="96">
        <f t="shared" si="4"/>
        <v>0</v>
      </c>
      <c r="AA16" s="96">
        <f t="shared" si="4"/>
        <v>0</v>
      </c>
      <c r="AB16" s="96">
        <f t="shared" si="4"/>
        <v>0</v>
      </c>
      <c r="AC16" s="96">
        <f t="shared" si="4"/>
        <v>0</v>
      </c>
      <c r="AD16" s="96">
        <f t="shared" si="4"/>
        <v>0</v>
      </c>
      <c r="AE16" s="151"/>
      <c r="AF16" s="96">
        <f t="shared" si="4"/>
        <v>0</v>
      </c>
      <c r="AG16" s="96">
        <f t="shared" si="4"/>
        <v>0</v>
      </c>
      <c r="AH16" s="96">
        <f t="shared" si="4"/>
        <v>0</v>
      </c>
      <c r="AI16" s="96">
        <f t="shared" si="4"/>
        <v>0</v>
      </c>
      <c r="AJ16" s="96">
        <f t="shared" si="4"/>
        <v>0</v>
      </c>
      <c r="AK16" s="96">
        <f t="shared" si="4"/>
        <v>0</v>
      </c>
    </row>
    <row r="17" spans="3:37" ht="4.5" customHeight="1">
      <c r="C17" s="154"/>
      <c r="E17" s="3"/>
      <c r="F17" s="3"/>
      <c r="G17" s="3"/>
      <c r="H17" s="146"/>
      <c r="I17" s="147"/>
      <c r="J17" s="147"/>
      <c r="K17" s="146"/>
      <c r="L17" s="146"/>
      <c r="M17" s="146"/>
      <c r="N17" s="146"/>
      <c r="O17" s="146"/>
      <c r="P17" s="146"/>
      <c r="Q17" s="147"/>
      <c r="R17" s="146"/>
      <c r="S17" s="146"/>
      <c r="T17" s="146"/>
      <c r="U17" s="146"/>
      <c r="V17" s="146"/>
      <c r="W17" s="146"/>
      <c r="X17" s="147"/>
      <c r="Y17" s="146"/>
      <c r="Z17" s="146"/>
      <c r="AA17" s="146"/>
      <c r="AB17" s="146"/>
      <c r="AC17" s="146"/>
      <c r="AD17" s="146"/>
      <c r="AE17" s="147"/>
      <c r="AF17" s="146"/>
      <c r="AG17" s="146"/>
      <c r="AH17" s="146"/>
      <c r="AI17" s="146"/>
      <c r="AJ17" s="146"/>
      <c r="AK17" s="146"/>
    </row>
    <row r="18" spans="1:37" s="98" customFormat="1" ht="12.75">
      <c r="A18" s="155"/>
      <c r="B18" s="155"/>
      <c r="C18" s="156"/>
      <c r="D18" s="157"/>
      <c r="E18" s="158"/>
      <c r="F18" s="155"/>
      <c r="G18" s="148" t="s">
        <v>44</v>
      </c>
      <c r="H18" s="96">
        <f aca="true" t="shared" si="5" ref="H18:AK18">+H8+H13+H16</f>
        <v>981.7025938723759</v>
      </c>
      <c r="I18" s="119">
        <f t="shared" si="5"/>
        <v>1</v>
      </c>
      <c r="J18" s="151"/>
      <c r="K18" s="96">
        <f t="shared" si="5"/>
        <v>224.408861</v>
      </c>
      <c r="L18" s="96">
        <f t="shared" si="5"/>
        <v>0</v>
      </c>
      <c r="M18" s="96">
        <f t="shared" si="5"/>
        <v>0</v>
      </c>
      <c r="N18" s="96">
        <f t="shared" si="5"/>
        <v>0</v>
      </c>
      <c r="O18" s="96">
        <f t="shared" si="5"/>
        <v>0</v>
      </c>
      <c r="P18" s="96">
        <f t="shared" si="5"/>
        <v>224.408861</v>
      </c>
      <c r="Q18" s="151"/>
      <c r="R18" s="96">
        <f t="shared" si="5"/>
        <v>237.87339266000004</v>
      </c>
      <c r="S18" s="96">
        <f t="shared" si="5"/>
        <v>0</v>
      </c>
      <c r="T18" s="96">
        <f t="shared" si="5"/>
        <v>0</v>
      </c>
      <c r="U18" s="96">
        <f t="shared" si="5"/>
        <v>0</v>
      </c>
      <c r="V18" s="96">
        <f t="shared" si="5"/>
        <v>0</v>
      </c>
      <c r="W18" s="96">
        <f t="shared" si="5"/>
        <v>237.87339266000004</v>
      </c>
      <c r="X18" s="151"/>
      <c r="Y18" s="96">
        <f t="shared" si="5"/>
        <v>252.14579621960002</v>
      </c>
      <c r="Z18" s="96">
        <f t="shared" si="5"/>
        <v>0</v>
      </c>
      <c r="AA18" s="96">
        <f t="shared" si="5"/>
        <v>0</v>
      </c>
      <c r="AB18" s="96">
        <f t="shared" si="5"/>
        <v>0</v>
      </c>
      <c r="AC18" s="96">
        <f t="shared" si="5"/>
        <v>0</v>
      </c>
      <c r="AD18" s="96">
        <f t="shared" si="5"/>
        <v>252.14579621960002</v>
      </c>
      <c r="AE18" s="151"/>
      <c r="AF18" s="96">
        <f t="shared" si="5"/>
        <v>267.27454399277605</v>
      </c>
      <c r="AG18" s="96">
        <f t="shared" si="5"/>
        <v>0</v>
      </c>
      <c r="AH18" s="96">
        <f t="shared" si="5"/>
        <v>0</v>
      </c>
      <c r="AI18" s="96">
        <f t="shared" si="5"/>
        <v>0</v>
      </c>
      <c r="AJ18" s="96">
        <f t="shared" si="5"/>
        <v>0</v>
      </c>
      <c r="AK18" s="96">
        <f t="shared" si="5"/>
        <v>267.27454399277605</v>
      </c>
    </row>
    <row r="19" spans="3:7" ht="12.75">
      <c r="C19" s="154"/>
      <c r="G19" s="160"/>
    </row>
    <row r="20" spans="3:7" ht="12.75">
      <c r="C20" s="154"/>
      <c r="D20" s="162"/>
      <c r="G20" s="160"/>
    </row>
    <row r="21" spans="3:7" ht="12.75">
      <c r="C21" s="154"/>
      <c r="D21" s="162"/>
      <c r="G21" s="160"/>
    </row>
    <row r="22" spans="3:4" ht="12.75">
      <c r="C22" s="154"/>
      <c r="D22" s="162"/>
    </row>
    <row r="23" ht="12.75">
      <c r="C23" s="154"/>
    </row>
    <row r="24" ht="12.75">
      <c r="C24" s="154"/>
    </row>
    <row r="25" ht="12.75">
      <c r="C25" s="154"/>
    </row>
    <row r="26" ht="12.75">
      <c r="C26" s="154"/>
    </row>
    <row r="27" ht="12.75">
      <c r="C27" s="154"/>
    </row>
    <row r="28" ht="12.75">
      <c r="C28" s="154"/>
    </row>
    <row r="29" ht="12.75">
      <c r="C29" s="154"/>
    </row>
    <row r="30" ht="12.75">
      <c r="C30" s="154"/>
    </row>
    <row r="31" ht="12.75">
      <c r="C31" s="154"/>
    </row>
    <row r="32" ht="12.75">
      <c r="C32" s="154"/>
    </row>
    <row r="33" ht="12.75">
      <c r="C33" s="154"/>
    </row>
  </sheetData>
  <sheetProtection/>
  <mergeCells count="25">
    <mergeCell ref="AF4:AK4"/>
    <mergeCell ref="H4:H5"/>
    <mergeCell ref="K4:P4"/>
    <mergeCell ref="R4:W4"/>
    <mergeCell ref="Y4:AD4"/>
    <mergeCell ref="B4:B5"/>
    <mergeCell ref="J4:J5"/>
    <mergeCell ref="Q4:Q5"/>
    <mergeCell ref="X4:X5"/>
    <mergeCell ref="AE4:AE5"/>
    <mergeCell ref="D10:D12"/>
    <mergeCell ref="C6:C15"/>
    <mergeCell ref="B6:B15"/>
    <mergeCell ref="I4:I5"/>
    <mergeCell ref="A6:A15"/>
    <mergeCell ref="E4:E5"/>
    <mergeCell ref="A4:A5"/>
    <mergeCell ref="D6:D7"/>
    <mergeCell ref="D4:D5"/>
    <mergeCell ref="B1:G1"/>
    <mergeCell ref="B2:G2"/>
    <mergeCell ref="B3:G3"/>
    <mergeCell ref="G4:G5"/>
    <mergeCell ref="C4:C5"/>
    <mergeCell ref="F4:F5"/>
  </mergeCells>
  <printOptions horizontalCentered="1"/>
  <pageMargins left="0.3937007874015748" right="1.1811023622047245" top="0.984251968503937" bottom="0.984251968503937" header="0.5118110236220472" footer="0.5118110236220472"/>
  <pageSetup fitToHeight="1" fitToWidth="1" horizontalDpi="600" verticalDpi="600" orientation="landscape" scale="87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ccccccc</dc:creator>
  <cp:keywords/>
  <dc:description/>
  <cp:lastModifiedBy>Mayra Leguizamon</cp:lastModifiedBy>
  <cp:lastPrinted>2012-05-20T13:35:42Z</cp:lastPrinted>
  <dcterms:created xsi:type="dcterms:W3CDTF">2010-09-29T15:23:57Z</dcterms:created>
  <dcterms:modified xsi:type="dcterms:W3CDTF">2013-09-09T17:07:33Z</dcterms:modified>
  <cp:category/>
  <cp:version/>
  <cp:contentType/>
  <cp:contentStatus/>
</cp:coreProperties>
</file>