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45" windowWidth="15480" windowHeight="4215" activeTab="0"/>
  </bookViews>
  <sheets>
    <sheet name="POAI 2010" sheetId="1" r:id="rId1"/>
    <sheet name="POAI 2009" sheetId="2" r:id="rId2"/>
    <sheet name="plan de accion" sheetId="3" r:id="rId3"/>
  </sheets>
  <definedNames/>
  <calcPr fullCalcOnLoad="1"/>
</workbook>
</file>

<file path=xl/sharedStrings.xml><?xml version="1.0" encoding="utf-8"?>
<sst xmlns="http://schemas.openxmlformats.org/spreadsheetml/2006/main" count="1375" uniqueCount="670">
  <si>
    <t>CODIGO</t>
  </si>
  <si>
    <t>ICLD</t>
  </si>
  <si>
    <t>FUENTE 1</t>
  </si>
  <si>
    <t>TOTALES</t>
  </si>
  <si>
    <t>TOTAL INVERSIÓN</t>
  </si>
  <si>
    <t>FUENTE  4</t>
  </si>
  <si>
    <t>SGP</t>
  </si>
  <si>
    <t>LEY  715</t>
  </si>
  <si>
    <t>REC. PROPIOS</t>
  </si>
  <si>
    <t xml:space="preserve">RECURSOS </t>
  </si>
  <si>
    <t>ESPECÍFICOS</t>
  </si>
  <si>
    <t>FUENTE 3: L 756</t>
  </si>
  <si>
    <t>FUENTE 2: L 617</t>
  </si>
  <si>
    <t>REGALÍAS</t>
  </si>
  <si>
    <t>RECURSOS</t>
  </si>
  <si>
    <t>DE CAPITAL</t>
  </si>
  <si>
    <t>FUENTE 5</t>
  </si>
  <si>
    <t>EDUCACIÓN</t>
  </si>
  <si>
    <t xml:space="preserve"> Mantenimiento de infraestructura educativa</t>
  </si>
  <si>
    <t>Calidad matrícula oficial sisben I y II</t>
  </si>
  <si>
    <t>Capacitación Educación no Formal</t>
  </si>
  <si>
    <t>PAGO DE SERVICIOS PÚBLICOS DE LAS INSTITUCIONES EDUCATIVAS.</t>
  </si>
  <si>
    <t>Acueducto, alcantarillado y aseo</t>
  </si>
  <si>
    <t>Energia</t>
  </si>
  <si>
    <t>Servicios de Internet</t>
  </si>
  <si>
    <t>ALIMENTACIÓN ESCOLAR</t>
  </si>
  <si>
    <t>SALUD</t>
  </si>
  <si>
    <t>REGIMEN SUBSIDIADO</t>
  </si>
  <si>
    <t>Continuación Régimen subsidiado en salud</t>
  </si>
  <si>
    <t xml:space="preserve"> Acciones de salud pública - salud para todos</t>
  </si>
  <si>
    <t>Plan territorial de salud</t>
  </si>
  <si>
    <t>Interventoría regimen subsidiado</t>
  </si>
  <si>
    <t>AGUA POTABLE Y SANEAMIENTO BASICO</t>
  </si>
  <si>
    <t>Servicio de Acueducto</t>
  </si>
  <si>
    <t>Equipos requeridos para la operación de los sistemas de acueducto.</t>
  </si>
  <si>
    <t>Plan Departamental de Aguas</t>
  </si>
  <si>
    <t>Servicios pùblicos del sector</t>
  </si>
  <si>
    <t>Ampliación Sistema de Alcantarillado Sanitario</t>
  </si>
  <si>
    <t>Plan de Manejo Ambiental</t>
  </si>
  <si>
    <t>Adquisiciòn predios PTAR</t>
  </si>
  <si>
    <t>RECREACIÓN Y TIEMPO LIBRE</t>
  </si>
  <si>
    <t>Construcción, mantenimiento y/o Adecuación de los Escenarios Deportivos y recreativos.</t>
  </si>
  <si>
    <t>Dotación Escenarios Deportivos e Implementos para la Práctica del Deporte.</t>
  </si>
  <si>
    <t>Mantenimiento Parques Municipales</t>
  </si>
  <si>
    <t xml:space="preserve">Juegos Campesinos </t>
  </si>
  <si>
    <t>Escuelas de Formación Deportiva</t>
  </si>
  <si>
    <t>CULTURA</t>
  </si>
  <si>
    <t>Fomento, Apoyo y difusión de Eventos y Expresiones Artísticas y culturales.</t>
  </si>
  <si>
    <t>Formación, Capacitación e Investigación Artística y cultural</t>
  </si>
  <si>
    <t>Construcción, mantenimiento y Adecuación infraestructura Artística y cultural.</t>
  </si>
  <si>
    <t>Dotación Implementos para el Sector</t>
  </si>
  <si>
    <t>Apoyo Eventos Artísticos y culturales</t>
  </si>
  <si>
    <t>Celebración eventos para la comunidad campesina</t>
  </si>
  <si>
    <t>OTROS SECTORES</t>
  </si>
  <si>
    <t>SERVICIOS PÚBLICOS DIFERENTES A ACUEDUCTO, ALCANTARILLADO Y ASEO (SIN INCLUIR PROYECTOS DE VIVIENDA DE INTERÉS SOCIAL).</t>
  </si>
  <si>
    <t>Distribución de Gas combustible</t>
  </si>
  <si>
    <t>Red Eléctrica Municipal</t>
  </si>
  <si>
    <t>Alumbrado público</t>
  </si>
  <si>
    <t>VIVIENDA</t>
  </si>
  <si>
    <t>Subsidios para el mejoramiento de Vivienda de Interés Social</t>
  </si>
  <si>
    <t>Planes y Proyectos para la Adquisición y/o construcción de vivienda.</t>
  </si>
  <si>
    <t>Proyectos de Construcción y Mantenimiento de Distritos de Riego y Adecuación de Tierras.</t>
  </si>
  <si>
    <t>Programas y Proyectos de Asistencia Técnica Directa Rural</t>
  </si>
  <si>
    <t>Capacitación para el Mejoramiento de la Producción Agrícola</t>
  </si>
  <si>
    <t>Titulación de Predios Rurales</t>
  </si>
  <si>
    <t>Proyectos Productivos Agropecuarios</t>
  </si>
  <si>
    <t>Servicios públicos del sector</t>
  </si>
  <si>
    <t>TRANSPORTE</t>
  </si>
  <si>
    <t>Construcción de Vías</t>
  </si>
  <si>
    <t>Mejoramiento de Vías</t>
  </si>
  <si>
    <t>Mantenimiento Rutinario de vías</t>
  </si>
  <si>
    <t>EQUIPAMIENTO MUNICIPAL Y BIENES PÚBLICOS.</t>
  </si>
  <si>
    <t>Programas de capacitación y asistencia técnica orientados al desarrollo eficiente de las competencias de Ley.</t>
  </si>
  <si>
    <t>Capacitación de Funcionarios Municipales</t>
  </si>
  <si>
    <t>GOBIERNO, PLANEACIÓN Y DESARROLLO INSTITUCIONAL.</t>
  </si>
  <si>
    <t>Sistema de archivistica municipal</t>
  </si>
  <si>
    <t>Elaboración, Desarrollo y Actualización de Planes de Emergencia y Contingencia.</t>
  </si>
  <si>
    <t>Atención de Desastres</t>
  </si>
  <si>
    <t>PREVENCIÓN Y ATENCIÓN DE DESASTRES</t>
  </si>
  <si>
    <t>JUSTICIA</t>
  </si>
  <si>
    <t>Apoyo Bienestar de la Niñez Vulnerable</t>
  </si>
  <si>
    <t>Apoyo Población Discapacitada</t>
  </si>
  <si>
    <t>Programas, Diseños para la Supervisión de la probreza extrema en el marco de la Red Juntos Familias en Acción.</t>
  </si>
  <si>
    <t>Atención y apoyo al Adulto Mayor</t>
  </si>
  <si>
    <t>POBLACIÓN VULNERABLE</t>
  </si>
  <si>
    <t>Inhumación de cadáveres pobres de solemnidad</t>
  </si>
  <si>
    <t>DESARROLLO COMUNITARIO</t>
  </si>
  <si>
    <t>Programas de Capacitación, Asesoría y Asistencia Técnica para consolidar procesos de Participación Ciudadana y control Social.</t>
  </si>
  <si>
    <t>Educación ambiental no Formal</t>
  </si>
  <si>
    <t>Apoyo Casa del Menor</t>
  </si>
  <si>
    <t>PROTEGIENDO LOS RECURSOS NATURALES</t>
  </si>
  <si>
    <t>Adquisición y mantenimiento de predios de micro cuencas  (Art 106 ley 1151 de 2006)</t>
  </si>
  <si>
    <t>Dotación de los restaurantes escolares</t>
  </si>
  <si>
    <t>Operación de Comisarìa de Familia</t>
  </si>
  <si>
    <t>Fondo de protección ciudadana</t>
  </si>
  <si>
    <t>Complemento nutricional para la población escolar</t>
  </si>
  <si>
    <t>2.2</t>
  </si>
  <si>
    <t>2.2.01</t>
  </si>
  <si>
    <t>2.2.01.1</t>
  </si>
  <si>
    <t>2.2.01.1.1</t>
  </si>
  <si>
    <t>2.2.01.1.3</t>
  </si>
  <si>
    <t>2.2.01.1.2</t>
  </si>
  <si>
    <t>2.2.01.1.4</t>
  </si>
  <si>
    <t>2.2.01.1.5</t>
  </si>
  <si>
    <t>2.2.01.1.6</t>
  </si>
  <si>
    <t>2.2.01.1.7</t>
  </si>
  <si>
    <t>2.2.01.1.8</t>
  </si>
  <si>
    <t>2.2.01.2</t>
  </si>
  <si>
    <t>2.2.01.2.1</t>
  </si>
  <si>
    <t>2.2.01.2.2</t>
  </si>
  <si>
    <t>2.2.01.2.3</t>
  </si>
  <si>
    <t>2.2.01.3</t>
  </si>
  <si>
    <t>2.2.01.3.1.1</t>
  </si>
  <si>
    <t>2.2.01.3.1.2</t>
  </si>
  <si>
    <t>2.2.02.1</t>
  </si>
  <si>
    <t>2.2.02.1.1</t>
  </si>
  <si>
    <t>2.2.02.1.2</t>
  </si>
  <si>
    <t>2.2.02.1.3</t>
  </si>
  <si>
    <t>2.2.02.2</t>
  </si>
  <si>
    <t>2.2.03</t>
  </si>
  <si>
    <t>2.2.03.1</t>
  </si>
  <si>
    <t xml:space="preserve"> Servicio de Alcantarillado</t>
  </si>
  <si>
    <t>2.2.03.1.1</t>
  </si>
  <si>
    <t>2.2.03.1.2</t>
  </si>
  <si>
    <t>2.2.03.1.3</t>
  </si>
  <si>
    <t>2.2.03.1.4</t>
  </si>
  <si>
    <t>2.2.03.1.5</t>
  </si>
  <si>
    <t>2.2.03.1.6</t>
  </si>
  <si>
    <t>2.2.03.2</t>
  </si>
  <si>
    <t>2.2.03.2.1</t>
  </si>
  <si>
    <t>2.2.03.2.2</t>
  </si>
  <si>
    <t>2.2.03.2.3</t>
  </si>
  <si>
    <t>2.2.03.2.4</t>
  </si>
  <si>
    <t>2.2.03.2.5</t>
  </si>
  <si>
    <t>2.2.03.2.6</t>
  </si>
  <si>
    <t>2.2.03.2.7</t>
  </si>
  <si>
    <t>2.2.04</t>
  </si>
  <si>
    <t>2.2.04.1</t>
  </si>
  <si>
    <t>2.2.04.2</t>
  </si>
  <si>
    <t>2.2.04.3</t>
  </si>
  <si>
    <t>2.2.04.4</t>
  </si>
  <si>
    <t>2.2.04.5</t>
  </si>
  <si>
    <t>2.2.05</t>
  </si>
  <si>
    <t>2.2.05.1</t>
  </si>
  <si>
    <t>2.2.05.2</t>
  </si>
  <si>
    <t>2.2.05.3</t>
  </si>
  <si>
    <t>2.2.05.4</t>
  </si>
  <si>
    <t>2.2.05.5</t>
  </si>
  <si>
    <t>2.2.05.6</t>
  </si>
  <si>
    <t>2.2.06</t>
  </si>
  <si>
    <t>2.2.06.1</t>
  </si>
  <si>
    <t>2.2.06.2</t>
  </si>
  <si>
    <t>2.2.06.3</t>
  </si>
  <si>
    <t>AGROPECUARIO</t>
  </si>
  <si>
    <t>Mantenimiento Granja Integral Rural</t>
  </si>
  <si>
    <t xml:space="preserve">Servicio de cuerpo de bomberos </t>
  </si>
  <si>
    <t xml:space="preserve"> Dotación, mantenimiento y reparación de equipos.</t>
  </si>
  <si>
    <t>Cuota Inpección, vigilancia y control en salud</t>
  </si>
  <si>
    <t>Ampliación sistema de potabilización del agua</t>
  </si>
  <si>
    <t>2.2.03.1.7</t>
  </si>
  <si>
    <t>Sobretasa impuesto predial</t>
  </si>
  <si>
    <t>2.2.05.7</t>
  </si>
  <si>
    <t>Construcción escenarios culturales</t>
  </si>
  <si>
    <t>Construcción y mantenimiento de reservorios</t>
  </si>
  <si>
    <t>Formento, Desarrollo y Práctica del Deporte, la Recreación y el Tiempo Libre.</t>
  </si>
  <si>
    <t>PRESUPUESTO</t>
  </si>
  <si>
    <t>FOSYGA</t>
  </si>
  <si>
    <t>2.2.03.2.8</t>
  </si>
  <si>
    <t>Construcción recolectores aguas lluvias</t>
  </si>
  <si>
    <t>Reforestación protectora y productiva</t>
  </si>
  <si>
    <t>Mantenimiento de instituciones educativas educación No Formal.</t>
  </si>
  <si>
    <t>construcción de Andenes en la Parte urbana</t>
  </si>
  <si>
    <t>Promoción y Prevención del POS-S</t>
  </si>
  <si>
    <t>2.2.02.2.2</t>
  </si>
  <si>
    <t>2.2.02.2.1</t>
  </si>
  <si>
    <t>2.2.01.1.9</t>
  </si>
  <si>
    <t>Ampliación Anillo Turistico Tundama</t>
  </si>
  <si>
    <t>Construcción Sistema de Tratamiento de Aguas Residuales.</t>
  </si>
  <si>
    <t>Atención y Apoyo a la Población Desplazada por la violencia.</t>
  </si>
  <si>
    <t>Centro Especializado de Servicios para el adolescente Infractor.</t>
  </si>
  <si>
    <t>Continuación Construcción ciudadela para la tercera edad.</t>
  </si>
  <si>
    <t>Dotación implementos escolares Instituciones Educativas municipales.</t>
  </si>
  <si>
    <t>Materiales y Elementos Necesarios para los Centros Educativos Municipales.</t>
  </si>
  <si>
    <t>Transporte Escolar</t>
  </si>
  <si>
    <t xml:space="preserve"> Fondo de solidaridad y predistribución del ingreso.</t>
  </si>
  <si>
    <t>Diseño e implementación de esquemas organizacionales.</t>
  </si>
  <si>
    <t>Ampliación sistema de Tratamiento Aguas Residuales.</t>
  </si>
  <si>
    <t>Recolección, Tratamiento y Disposición Final de Residuos Sólidos.</t>
  </si>
  <si>
    <t>Energía</t>
  </si>
  <si>
    <t>2.2.02</t>
  </si>
  <si>
    <t>MODIFICACIONES</t>
  </si>
  <si>
    <t>PRESUP. DEF.</t>
  </si>
  <si>
    <t>CAUSAC. ACUM.</t>
  </si>
  <si>
    <t>GIROS ACUM.</t>
  </si>
  <si>
    <t>SALDO PRESUP.</t>
  </si>
  <si>
    <t>CUENTAS X PAGAR</t>
  </si>
  <si>
    <t>ADICIONES</t>
  </si>
  <si>
    <t>REDUCCIONES</t>
  </si>
  <si>
    <t>MAY. ING.</t>
  </si>
  <si>
    <t>TRASL.</t>
  </si>
  <si>
    <t>MEN. IN</t>
  </si>
  <si>
    <t>Construcción de Sistema de Alcantarillado Sanitario</t>
  </si>
  <si>
    <t>CALIDAD</t>
  </si>
  <si>
    <t>.</t>
  </si>
  <si>
    <t xml:space="preserve"> Equipos didácticos, herramientas para talleres y ambientes especializados para la Educación media técnica.</t>
  </si>
  <si>
    <r>
      <t xml:space="preserve">Mejoramiento y Mantenimiento Dependencias de la Admón y </t>
    </r>
    <r>
      <rPr>
        <sz val="8"/>
        <color indexed="56"/>
        <rFont val="Tahoma"/>
        <family val="2"/>
      </rPr>
      <t xml:space="preserve">cerramiento. </t>
    </r>
  </si>
  <si>
    <t xml:space="preserve">                                                                         GERARDO RINCÓN CAMACHO                                          ANA OMAIRA CARREÑO SALAMANCA</t>
  </si>
  <si>
    <t xml:space="preserve">                                                                                  Alcalde Municipal                                                                             Secretaria  de Hacienda</t>
  </si>
  <si>
    <t>2.2.06.2.1</t>
  </si>
  <si>
    <t>2.2.06.2.2</t>
  </si>
  <si>
    <t>2.2.06.3.1</t>
  </si>
  <si>
    <t>2.2.06.3.2</t>
  </si>
  <si>
    <t>2.2.06.3.3</t>
  </si>
  <si>
    <t>2.2.06.3.4</t>
  </si>
  <si>
    <t>2.2.06.3.5</t>
  </si>
  <si>
    <t>2.2.06.3.6</t>
  </si>
  <si>
    <t>2.2.06.3.7</t>
  </si>
  <si>
    <t>2.2.06.3.8</t>
  </si>
  <si>
    <t>2.2.06.4</t>
  </si>
  <si>
    <t>2.2.06.4.1</t>
  </si>
  <si>
    <t>2.2.06.4.2</t>
  </si>
  <si>
    <t>2.2.06.4.3</t>
  </si>
  <si>
    <t>2.2.06.4.4</t>
  </si>
  <si>
    <t>2.2.06.4.5</t>
  </si>
  <si>
    <t>2.2.06.5</t>
  </si>
  <si>
    <t>2.2.06.5.1</t>
  </si>
  <si>
    <t>2.2.06.5.2</t>
  </si>
  <si>
    <t>2.2.06.5.3</t>
  </si>
  <si>
    <t>2.2.06.6</t>
  </si>
  <si>
    <t>2.2.06.6.1</t>
  </si>
  <si>
    <t>2.2.06.6.2</t>
  </si>
  <si>
    <t>2.2.06.6.3</t>
  </si>
  <si>
    <t>2.2.06.7</t>
  </si>
  <si>
    <t>2.2.06.7.1</t>
  </si>
  <si>
    <t>2.2.06.7.2</t>
  </si>
  <si>
    <t>2.2.06.7.3</t>
  </si>
  <si>
    <t>2.2.06.7.4</t>
  </si>
  <si>
    <t>2.2.06.7.5</t>
  </si>
  <si>
    <t>2.2.06.7.6</t>
  </si>
  <si>
    <t>2.2.06.7.7</t>
  </si>
  <si>
    <t>2.2.06.7.8</t>
  </si>
  <si>
    <t>2.2.06.7.9</t>
  </si>
  <si>
    <t>2.2.06.8</t>
  </si>
  <si>
    <t>2.2.06.8.1</t>
  </si>
  <si>
    <t>2.2.06.8.2</t>
  </si>
  <si>
    <t>2.2.06.9</t>
  </si>
  <si>
    <t>2.2.06.9.1</t>
  </si>
  <si>
    <t>2.2.06.10</t>
  </si>
  <si>
    <t>2.2.06.10.1</t>
  </si>
  <si>
    <t>2.2.06.10.2</t>
  </si>
  <si>
    <t>2.2.06.10.3</t>
  </si>
  <si>
    <t>2.2.06.11</t>
  </si>
  <si>
    <t>2.2.06.11.1</t>
  </si>
  <si>
    <t>2.2.06.11.2</t>
  </si>
  <si>
    <t>Productos</t>
  </si>
  <si>
    <t>Resultados/Efectos/Impactos</t>
  </si>
  <si>
    <t>Nombre del Indicador</t>
  </si>
  <si>
    <t>Inicial</t>
  </si>
  <si>
    <t>Final</t>
  </si>
  <si>
    <t>% de cobertura educativa</t>
  </si>
  <si>
    <t>% de niños de nivel 1 y 2 con subsidio de matrícula</t>
  </si>
  <si>
    <t>No de niños matriculados</t>
  </si>
  <si>
    <t>No de centros educativos en óptimas condiciones</t>
  </si>
  <si>
    <t>No de niños desertados</t>
  </si>
  <si>
    <t>% de niños de primaria con canasta escolar completa</t>
  </si>
  <si>
    <t>No de niños con transporte regular</t>
  </si>
  <si>
    <t>No de estudiantes con raciòn complementaria</t>
  </si>
  <si>
    <t>No de restaurantes dotados</t>
  </si>
  <si>
    <t>% de cobertura en regimen subsidiado</t>
  </si>
  <si>
    <t>No de muertes maternas</t>
  </si>
  <si>
    <t>Población carnetizada</t>
  </si>
  <si>
    <t>niños nacidos vivos por cada 1000 habitantes</t>
  </si>
  <si>
    <t>% de vacunación en triple viral</t>
  </si>
  <si>
    <t>% de tratamiento de agua en acueductos</t>
  </si>
  <si>
    <t xml:space="preserve">No de horas diarias de servicio de acueductos </t>
  </si>
  <si>
    <t>% de cobertura de acueducto urbano</t>
  </si>
  <si>
    <t>% de pérdida de agua en el servicio urbano</t>
  </si>
  <si>
    <t>% de escenarios adecuados para la práctica deportiva</t>
  </si>
  <si>
    <t>No de eventos deportivos desarrollados</t>
  </si>
  <si>
    <t>No de escuelas de formación deportiva en operación</t>
  </si>
  <si>
    <t>No de grupos artìsticos municipales participantes en los eventos culturales</t>
  </si>
  <si>
    <t>No de eventos culturales desarrollados</t>
  </si>
  <si>
    <t>No de grupos artìsticos participantes en los eventos culturales</t>
  </si>
  <si>
    <t>No de investigaciones històricas impresas</t>
  </si>
  <si>
    <t>No de objetos de interes cultural recopilados en el museo municipal</t>
  </si>
  <si>
    <t xml:space="preserve">No de hogares de estratos 1 y 2 con vivienda </t>
  </si>
  <si>
    <t>No de viviendas con servicios básicos</t>
  </si>
  <si>
    <t>No de hogares de estratos 1 y 2 con vivienda mejorada</t>
  </si>
  <si>
    <t>% de viviendas con servicios básicos</t>
  </si>
  <si>
    <t>No de productores con asistencia técnica agropecuaria</t>
  </si>
  <si>
    <t>% de familias con huerta casera</t>
  </si>
  <si>
    <t>No de pequeños productores con mecanizacion de su actividad agropecuaria</t>
  </si>
  <si>
    <t>No de familias con huerta casera</t>
  </si>
  <si>
    <t>% de de vías urbanas deterioradas que son recuperadas</t>
  </si>
  <si>
    <t>No de kilómetros de malla vial rural pavimentada</t>
  </si>
  <si>
    <t>No de kilómetros de malla vial urbana no pavimentada</t>
  </si>
  <si>
    <t>No de personas capacitadas en emergencias</t>
  </si>
  <si>
    <t>No de hidrantes disponibles</t>
  </si>
  <si>
    <t>No de simulacros efectuados</t>
  </si>
  <si>
    <t>No de familias con apoyo en proyectos productivos</t>
  </si>
  <si>
    <t>No de estudios de diagnóstico institucional</t>
  </si>
  <si>
    <t xml:space="preserve">Puntos de la calificación del ranking municipal </t>
  </si>
  <si>
    <t>No de instrumentos de focalización actualizados</t>
  </si>
  <si>
    <t>No de charlas sobre solución pacífica de conflictos</t>
  </si>
  <si>
    <t>% de casos atendidos solucionados a través de la conciliación</t>
  </si>
  <si>
    <t>No de charlas sobre prevención del consumo de sustancias psicoactivas</t>
  </si>
  <si>
    <t>POAI BUSBANZA 2010</t>
  </si>
  <si>
    <t xml:space="preserve">PROYECTOS ACCIONES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</si>
  <si>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</si>
  <si>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</si>
  <si>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</si>
  <si>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</si>
  <si>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</si>
  <si>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</si>
  <si>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</si>
  <si>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</si>
  <si>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</si>
  <si>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</si>
  <si>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x</t>
  </si>
  <si>
    <t>X</t>
  </si>
  <si>
    <t>Secretario de Gobierno</t>
  </si>
  <si>
    <t>Alcalde Municipal</t>
  </si>
  <si>
    <t>POAI MUNICIPIO DE BUSBANZA 2009</t>
  </si>
  <si>
    <t xml:space="preserve"> INVERSIÓN</t>
  </si>
  <si>
    <t>M.I</t>
  </si>
  <si>
    <t>,</t>
  </si>
  <si>
    <t xml:space="preserve"> 3,                         ,</t>
  </si>
  <si>
    <t>Construcción, ampliación y adecuación de infraestructura educativa.</t>
  </si>
  <si>
    <t>S.G.P</t>
  </si>
  <si>
    <t>I.C.L.D.</t>
  </si>
  <si>
    <t>TOTAL</t>
  </si>
  <si>
    <t>Mantenimiento de infraestructura educativa</t>
  </si>
  <si>
    <t>Dotación de infraestructura educativa: Mobiliario, equipos didácticos, herramientas para talleres y ambientes especializados para la Educación media técnica.</t>
  </si>
  <si>
    <t>Dotación de material y medios pedagógicos para el aprendizaje: Audiovisuales, sofware educativo, textos y material de laboratorio.</t>
  </si>
  <si>
    <t>Subsidio de pensiones niveles I y II casos especiales</t>
  </si>
  <si>
    <t>REGALIAS</t>
  </si>
  <si>
    <t>2.2.01.1.8 (N)</t>
  </si>
  <si>
    <t>Materiales y Elementos Necesarios para los Centros Educativos Municipales</t>
  </si>
  <si>
    <t>Construcción Bateria Sanitaria Escuela de Cusagota</t>
  </si>
  <si>
    <t>REC.DEP</t>
  </si>
  <si>
    <t>,,,,,,,,,,,,,,,,,,,,,,,,,,,,,,,,,,,,,,,,,,,,,,,,,,,,,,,,,,,,,,,,,,,,,,,,,,,,,,,,,,,,,,,,,,,,,,,,,,,,,,,,,,,,,,,,,,,,,,,,,,,,,,,,,,,,,,,,,,,,,,,,,,,,,,,,,,,,,,,,,,,,,,,,,,,,,,,,,,,,,,,,,,,,,,,</t>
  </si>
  <si>
    <t>Mantenimiento Establecimientos Educacion no Formal</t>
  </si>
  <si>
    <t>Teléfono</t>
  </si>
  <si>
    <t>2.2.01.2.4</t>
  </si>
  <si>
    <t>Otros</t>
  </si>
  <si>
    <t>2.2.01.2.5</t>
  </si>
  <si>
    <t>2.2.01.3.1</t>
  </si>
  <si>
    <t>Prestación Directa del Servicio</t>
  </si>
  <si>
    <t>Compra de Alimentos</t>
  </si>
  <si>
    <t>Menaje, dotación y su reposición para la prestación del servicio de alimentación escolar.</t>
  </si>
  <si>
    <t>Régimen Subsidiado</t>
  </si>
  <si>
    <t>Afiliación régimen subsidiado- continuidad</t>
  </si>
  <si>
    <t>Afiliaicón al Régimen subsidiado- ampliación</t>
  </si>
  <si>
    <t>0.4% Interventoría del Régimen Subsidiado</t>
  </si>
  <si>
    <t>2.2.02.1.4</t>
  </si>
  <si>
    <t>0.2% Superintendencia de Salud</t>
  </si>
  <si>
    <t>SALUD PÚBLICA</t>
  </si>
  <si>
    <t>Gestión en salud pública</t>
  </si>
  <si>
    <t>2.2.02.2.1.1</t>
  </si>
  <si>
    <t>Gestión del plan de salud pública de intervenciones colectivas</t>
  </si>
  <si>
    <t>2.2.02.2.1.1.1</t>
  </si>
  <si>
    <t>Formulación, adopción y evaluación de acciones para mejorar la participación social y comunitaria en salud.</t>
  </si>
  <si>
    <t>REG.</t>
  </si>
  <si>
    <t>2.2.02.2.1.1.2</t>
  </si>
  <si>
    <t>Promocion y prevencion del POS_S</t>
  </si>
  <si>
    <t>AGUA POTABLE Y SANEAMIENTO BASICO (SIN INCLUIR PROY. VIS.)</t>
  </si>
  <si>
    <t>Subsidios- Fondo de solidaridad y predistribución del ingreso</t>
  </si>
  <si>
    <t>Diseño e implementación de esquemas organizacionales</t>
  </si>
  <si>
    <t>Ampliación de sistemas de potabilización del agua</t>
  </si>
  <si>
    <t>REC. PROP.</t>
  </si>
  <si>
    <t>Equipos requeridos para la operación de los sistemas de acueducto..</t>
  </si>
  <si>
    <t>2.2.03.1.6(N)</t>
  </si>
  <si>
    <t>Ampliacion Servicio de Acueducto Vereda el Tobo.</t>
  </si>
  <si>
    <t>REC. DPTO</t>
  </si>
  <si>
    <t>Servicio de Alcantarillado</t>
  </si>
  <si>
    <t>Construcicón de Sistema de Alcantarillado Sanitario</t>
  </si>
  <si>
    <t>Construcción Sistema de Tratamiento de Aguas Residuales</t>
  </si>
  <si>
    <t>Ampliación sistema de Tratamiento Aguas Residuales</t>
  </si>
  <si>
    <t>Recolección, Tratamiento y Disposición Final de Residuos Sólidos</t>
  </si>
  <si>
    <t>2.2.03.2.6 (n)</t>
  </si>
  <si>
    <t>DEPORTE Y RECREACIÓN</t>
  </si>
  <si>
    <t>Formento, Desarrollo y Práctica del Deporte, la Recreación y el Aprovechamiento del Tiempo Libre.</t>
  </si>
  <si>
    <t>REC.DPTO</t>
  </si>
  <si>
    <t>2.2.04.6</t>
  </si>
  <si>
    <t>REC.PROP</t>
  </si>
  <si>
    <t>Adecuación Plazoleta Eventos Culturales</t>
  </si>
  <si>
    <t>2.2.05.7 (N)</t>
  </si>
  <si>
    <t>Construccion Escenario Cultural Vereda de Cusagota</t>
  </si>
  <si>
    <t>2.2.07</t>
  </si>
  <si>
    <t>2.2.07.1</t>
  </si>
  <si>
    <t>2.2.07.2</t>
  </si>
  <si>
    <t>2.2.07.3 (N)</t>
  </si>
  <si>
    <t>Construccion 27 Unidades Sanitarias Sector Rural</t>
  </si>
  <si>
    <t>REC. DPTO.</t>
  </si>
  <si>
    <t>2.2.08</t>
  </si>
  <si>
    <t>2.2.08.1</t>
  </si>
  <si>
    <t>2.2.08.2</t>
  </si>
  <si>
    <t>2.2.08.3</t>
  </si>
  <si>
    <t>2.2.08.4</t>
  </si>
  <si>
    <t>2.2.08.5</t>
  </si>
  <si>
    <t>2.2.08.6</t>
  </si>
  <si>
    <t>Mantenimiento Granja Integral rural</t>
  </si>
  <si>
    <t>2.2.09</t>
  </si>
  <si>
    <t>2.2.09.1</t>
  </si>
  <si>
    <t>2.2.09.2</t>
  </si>
  <si>
    <t>2.2.09.3</t>
  </si>
  <si>
    <t>2.2.09.4</t>
  </si>
  <si>
    <t>Mejoramiento vias red terciaria</t>
  </si>
  <si>
    <t>INVIAS</t>
  </si>
  <si>
    <t>2.2.10</t>
  </si>
  <si>
    <t>AMBIENTAL</t>
  </si>
  <si>
    <t>2.2.10.1</t>
  </si>
  <si>
    <t>2.2.10.2</t>
  </si>
  <si>
    <t>Adquisición Predios de Reserva Hídrica y zonas de reserva natual</t>
  </si>
  <si>
    <t>2.2.10.3</t>
  </si>
  <si>
    <t>Reforestación y control de Erosión</t>
  </si>
  <si>
    <t>2.2.11</t>
  </si>
  <si>
    <t>2.2.11.1</t>
  </si>
  <si>
    <t>2.2.11.2</t>
  </si>
  <si>
    <t>2.2.12.</t>
  </si>
  <si>
    <t>PROMOCIÓN DEL DESARROLLO</t>
  </si>
  <si>
    <t>2.2.12.1</t>
  </si>
  <si>
    <t>Promoción del Desarrollo Turístico</t>
  </si>
  <si>
    <t>2.2.13</t>
  </si>
  <si>
    <t>ATENCION GRUPOS VULNERABLES-PROMOCIÓN SOCIAL</t>
  </si>
  <si>
    <t>2.2.13.1</t>
  </si>
  <si>
    <t>Protección Integral a la Primera Infancia</t>
  </si>
  <si>
    <t>2.2.13.2</t>
  </si>
  <si>
    <t>Protección Integral a la Infancia</t>
  </si>
  <si>
    <t>2.2.13.3</t>
  </si>
  <si>
    <t>2.2.13.4</t>
  </si>
  <si>
    <t>Atención y Apoyo a la Población Desplazada por la violencia</t>
  </si>
  <si>
    <t>2.2.13.5</t>
  </si>
  <si>
    <t>2.2.13.6</t>
  </si>
  <si>
    <t>Continuación Construcción ciudadela para la tercera edad</t>
  </si>
  <si>
    <t>2.2.13.7</t>
  </si>
  <si>
    <t>2.2.13.8</t>
  </si>
  <si>
    <t>2.2.13.9</t>
  </si>
  <si>
    <t>Dotación de Hogares Comunitarios de Bienestar Familiar (N)</t>
  </si>
  <si>
    <t>2.2.14</t>
  </si>
  <si>
    <t>EQUIPAMIENTO</t>
  </si>
  <si>
    <t>2.2.14.1</t>
  </si>
  <si>
    <t>Mejoramiento y Mantenimiento Dependencias de la Admón.</t>
  </si>
  <si>
    <t>2.2.15</t>
  </si>
  <si>
    <t>2.2.15.1</t>
  </si>
  <si>
    <t>2.2.16</t>
  </si>
  <si>
    <t>FORTALECIMIENTO INSTITUCIONAL</t>
  </si>
  <si>
    <t>2.2.16.1</t>
  </si>
  <si>
    <t>2.2.16.2</t>
  </si>
  <si>
    <t>2.2.16.3</t>
  </si>
  <si>
    <t>Actualización catastral municipal</t>
  </si>
  <si>
    <t>2.2.16.4</t>
  </si>
  <si>
    <t>Actualización Ordenamiento Territorial</t>
  </si>
  <si>
    <t>2.2.17</t>
  </si>
  <si>
    <t>2.2.17.1</t>
  </si>
  <si>
    <t>Desarrollo del Plan Integral de Seguridad y conviv. Ciudadan.</t>
  </si>
  <si>
    <t>2.2.17.2</t>
  </si>
  <si>
    <t>Apoyo Sistema Penal Acusatorio</t>
  </si>
  <si>
    <t>___________________________________</t>
  </si>
  <si>
    <t>GERARDO RINCON CAMACHO</t>
  </si>
  <si>
    <t>ANA OMAIRA CARREÑO SALAMANCA</t>
  </si>
  <si>
    <t>Secretaria de Hacienda</t>
  </si>
  <si>
    <t>PLAN DE ACCION BUSBANZA 2013</t>
  </si>
  <si>
    <t>CÓDIGO</t>
  </si>
  <si>
    <t>CONCEPTO</t>
  </si>
  <si>
    <t>2.1.</t>
  </si>
  <si>
    <t>TOTAL GASTOS DE FUNCIONAMIENTO</t>
  </si>
  <si>
    <t>2.1.1</t>
  </si>
  <si>
    <t>GASTOS CONCEJO MUNICIPAL</t>
  </si>
  <si>
    <t>2.1.1.1</t>
  </si>
  <si>
    <t>SERVICIOS PERSONALES</t>
  </si>
  <si>
    <t>2.1.1.1.1</t>
  </si>
  <si>
    <t>SERVICIOS PERSONALES DIRECTOS</t>
  </si>
  <si>
    <t>2.1.1.1.1.01</t>
  </si>
  <si>
    <t>Sueldo Peronal de Nómina</t>
  </si>
  <si>
    <t>2.1.1.1.1.02</t>
  </si>
  <si>
    <t>Vacaciones</t>
  </si>
  <si>
    <t>2.1.1.1.1.03</t>
  </si>
  <si>
    <t>Prima de Navidad</t>
  </si>
  <si>
    <t>2.1.1.1.1.04</t>
  </si>
  <si>
    <t>Indemnización por Vacaciones</t>
  </si>
  <si>
    <t>2.1.1.1.2</t>
  </si>
  <si>
    <t>SERVICIOS PERSONALES INDIRECTOS</t>
  </si>
  <si>
    <t>2.1.1.1.2.01</t>
  </si>
  <si>
    <t>Honorarios</t>
  </si>
  <si>
    <t>2.1.1.1.3</t>
  </si>
  <si>
    <t>CONTRIBUCIONES INHERENTES A LA NÓMINA DEL SECTOR PRIVADO</t>
  </si>
  <si>
    <t>2.1.1.1.3.01</t>
  </si>
  <si>
    <t>E.P.S. Salud</t>
  </si>
  <si>
    <t>2.1.1.1.3.02</t>
  </si>
  <si>
    <t>Aportes Pensión</t>
  </si>
  <si>
    <t>2.1.1.1.3.03</t>
  </si>
  <si>
    <t>Administración riesgos Profesionales</t>
  </si>
  <si>
    <t>2.1.1.1.3.04</t>
  </si>
  <si>
    <t xml:space="preserve">Cesantías </t>
  </si>
  <si>
    <t>2.1.1.1.3.05</t>
  </si>
  <si>
    <t>Intereses de Cesantías</t>
  </si>
  <si>
    <t>2.1.1.1.3.06</t>
  </si>
  <si>
    <t>Caja de Compensación Familiar de Boyacá "COMFABOY"</t>
  </si>
  <si>
    <t>2.1.1.1.4</t>
  </si>
  <si>
    <t>CONTRIBUCIONES INHERENTES A LA NÓMINA DEL SECTOR PÚBLICO</t>
  </si>
  <si>
    <t>2.1.1.1.4.01</t>
  </si>
  <si>
    <t>SENA</t>
  </si>
  <si>
    <t>2.1.1.1.4.02</t>
  </si>
  <si>
    <t>ESAP</t>
  </si>
  <si>
    <t>2.1.1.1.4.03</t>
  </si>
  <si>
    <t>Institutos Técnicos</t>
  </si>
  <si>
    <t>2.1.1.1.4.04</t>
  </si>
  <si>
    <t>I.C.B.F.</t>
  </si>
  <si>
    <t>2.1.1.1.4.05</t>
  </si>
  <si>
    <t>Aporte Salud Concejales</t>
  </si>
  <si>
    <t>2.1.1.1.4.06</t>
  </si>
  <si>
    <t>A.R.P. Concejales</t>
  </si>
  <si>
    <t>2.1.1.2</t>
  </si>
  <si>
    <t>GASTOS GENERALES</t>
  </si>
  <si>
    <t>2.1.1.2.1</t>
  </si>
  <si>
    <t>Adquisición de Bienes</t>
  </si>
  <si>
    <t>2.1.1.2.1.01</t>
  </si>
  <si>
    <t>Compra de equipo</t>
  </si>
  <si>
    <t>2.1.1.2.1.02</t>
  </si>
  <si>
    <t>Materiales y Suministros</t>
  </si>
  <si>
    <t>2.1.1.2.2</t>
  </si>
  <si>
    <t>Adquisición de Servicios</t>
  </si>
  <si>
    <t>2.1.1.2.2.01</t>
  </si>
  <si>
    <t>Mantenimiento</t>
  </si>
  <si>
    <t>2.1.1.2.2.02</t>
  </si>
  <si>
    <t>Dotación de empleados</t>
  </si>
  <si>
    <t>2.1.1.2.2.03</t>
  </si>
  <si>
    <t>Impresos y publicaciones</t>
  </si>
  <si>
    <t>2.1.1.2.2.04</t>
  </si>
  <si>
    <t>Servicios de Comunicaciones (Teléfono, Celular e Internet).</t>
  </si>
  <si>
    <t>2.1.1.2.2.05</t>
  </si>
  <si>
    <t>Seguro de vida concejales</t>
  </si>
  <si>
    <t>2.1.1.2.2.06</t>
  </si>
  <si>
    <t>Transporte Concejales</t>
  </si>
  <si>
    <t>2.1.1.2.2.07</t>
  </si>
  <si>
    <t>Capacitación</t>
  </si>
  <si>
    <t>2.1.1.2.2.08</t>
  </si>
  <si>
    <t>Actualización y Cargue Modelo Estandar de Contro Interno (MECI)</t>
  </si>
  <si>
    <t>2.1.2</t>
  </si>
  <si>
    <t>GASTOS PERSONERÍA MUNICIPAL</t>
  </si>
  <si>
    <t>2.1.2.1</t>
  </si>
  <si>
    <t>2.1.2.1.1</t>
  </si>
  <si>
    <t>2.1.2.1.1.01</t>
  </si>
  <si>
    <t>2.1.2.1.1.02</t>
  </si>
  <si>
    <t>2.1.2.1.1.03</t>
  </si>
  <si>
    <t>2.1.2.1.1.04</t>
  </si>
  <si>
    <t>2.1.2.1.2</t>
  </si>
  <si>
    <t>2.1.2.1.2.01</t>
  </si>
  <si>
    <t>2.1.2.1.2.02</t>
  </si>
  <si>
    <t>2.1.2.1.2.03</t>
  </si>
  <si>
    <t>2.1.2.1.2.04</t>
  </si>
  <si>
    <t>2.1.2.1.2.05</t>
  </si>
  <si>
    <t>2.1.2.1.2.06</t>
  </si>
  <si>
    <t>2.1.2.1.3</t>
  </si>
  <si>
    <t>2.1.2.1.3.01</t>
  </si>
  <si>
    <t>2.1.2.1.3.02</t>
  </si>
  <si>
    <t>2.1.2.1.3.03</t>
  </si>
  <si>
    <t>2.1.2.1.3.04</t>
  </si>
  <si>
    <t>2.1.2.2</t>
  </si>
  <si>
    <t>2.1.2.2.1</t>
  </si>
  <si>
    <t>2.1.2.2.1.01</t>
  </si>
  <si>
    <t>2.1.2.2.1.02</t>
  </si>
  <si>
    <t>2.1.2.2.2</t>
  </si>
  <si>
    <t>2.1.2.2.2.01</t>
  </si>
  <si>
    <t>2.1.2.2.2.02</t>
  </si>
  <si>
    <t>2.1.2.2.2.03</t>
  </si>
  <si>
    <t>2.1.2.2.2.04</t>
  </si>
  <si>
    <t>Servicios de Comunicación, teléfono, Celular y modem</t>
  </si>
  <si>
    <t>2.1.2.2.2.05</t>
  </si>
  <si>
    <t>Capacitación funcionarios</t>
  </si>
  <si>
    <t>2.1.2.2.2.06</t>
  </si>
  <si>
    <t>Viáticos y gastos de Viajes</t>
  </si>
  <si>
    <t>2.1.2.2.2.07</t>
  </si>
  <si>
    <t>Seguro Personero</t>
  </si>
  <si>
    <t>2.1.2.2.2.08</t>
  </si>
  <si>
    <t>Derechos Humanos</t>
  </si>
  <si>
    <t>2.1.2.2.2.09</t>
  </si>
  <si>
    <t>2.1.3</t>
  </si>
  <si>
    <t>GASTOS ALCALDÍA MUNICIPAL</t>
  </si>
  <si>
    <t>2.1.3.1</t>
  </si>
  <si>
    <t>2.1.3.1.1</t>
  </si>
  <si>
    <t>2.1.3.1.1.01</t>
  </si>
  <si>
    <t>Sueldo Personal de Nómina</t>
  </si>
  <si>
    <t>2.1.3.1.1.02</t>
  </si>
  <si>
    <t>2.1.3.1.1.03</t>
  </si>
  <si>
    <t>2.1.3.1.1.04</t>
  </si>
  <si>
    <t>2.1.3.1.1.05</t>
  </si>
  <si>
    <t>Bonificación de Dirección</t>
  </si>
  <si>
    <t>2.1.3.1.2</t>
  </si>
  <si>
    <t>Servicios Personales Indirectos</t>
  </si>
  <si>
    <t>2.1.3.1.2.01</t>
  </si>
  <si>
    <t>Remuneración Servicios Técnicos</t>
  </si>
  <si>
    <t>2.1.3.1.2.02</t>
  </si>
  <si>
    <t>Personal Supernumerario</t>
  </si>
  <si>
    <t>2.1.3.1.2.03</t>
  </si>
  <si>
    <t>Auxilio de Alimentación Funcionario Público</t>
  </si>
  <si>
    <t>2.1.3.1.3</t>
  </si>
  <si>
    <t>2.1.3.1.3.01</t>
  </si>
  <si>
    <t>2.1.3.1.3.02</t>
  </si>
  <si>
    <t>2.1.3.1.3.03</t>
  </si>
  <si>
    <t>2.1.3.1.3.04</t>
  </si>
  <si>
    <t>2.1.3.1.3.05</t>
  </si>
  <si>
    <t>2.1.3.1.3.06</t>
  </si>
  <si>
    <t>2.1.3.1.4</t>
  </si>
  <si>
    <t>2.1.3.1.4.01</t>
  </si>
  <si>
    <t>2.1.3.1.4.02</t>
  </si>
  <si>
    <t>2.1.3.1.4.03</t>
  </si>
  <si>
    <t>2.1.3.1.4.04</t>
  </si>
  <si>
    <t>2.1.3.2</t>
  </si>
  <si>
    <t>2.1.3.2.1</t>
  </si>
  <si>
    <t>2.1.3.2.1.01</t>
  </si>
  <si>
    <t>2.1.3.2.1.02</t>
  </si>
  <si>
    <t>2.1.3.2.1.03</t>
  </si>
  <si>
    <t>Combustible y mantenimiento vehículos</t>
  </si>
  <si>
    <t>2.1.3.2.2</t>
  </si>
  <si>
    <t>2.1.3.2.2.01</t>
  </si>
  <si>
    <t>2.1.3.2.2.02</t>
  </si>
  <si>
    <t>Comunicaciones y transporte</t>
  </si>
  <si>
    <t>2.1.3.2.2.03</t>
  </si>
  <si>
    <t>Impresos y Publicaciones</t>
  </si>
  <si>
    <t>2.1.3.2.2.04</t>
  </si>
  <si>
    <t>Seguro de Vida Alcalde</t>
  </si>
  <si>
    <t>2.1.3.2.2.05</t>
  </si>
  <si>
    <t>Seguros de bienes muebles e inmuebles</t>
  </si>
  <si>
    <t>2.1.3.2.2.06</t>
  </si>
  <si>
    <t>Pago Servicio de Comunicaciones (Teléfono, Celulares e Internet)</t>
  </si>
  <si>
    <t>2.1.3.2.2.07</t>
  </si>
  <si>
    <t>Pago Servicio de Acueducto, alcantarillado y aseo</t>
  </si>
  <si>
    <t>2.1.3.2.2.08</t>
  </si>
  <si>
    <t>Viáticos y Gastos de viaje</t>
  </si>
  <si>
    <t>2.1.3.2.2.09</t>
  </si>
  <si>
    <t>Fondo de Compensación</t>
  </si>
  <si>
    <t>2.1.3.2.2.010</t>
  </si>
  <si>
    <t>Junta Defensora de animales</t>
  </si>
  <si>
    <t>2.1.3.2.2.011</t>
  </si>
  <si>
    <t>Gastos electorales</t>
  </si>
  <si>
    <t>2.1.3.2.2.012</t>
  </si>
  <si>
    <t>Gastos Notariales, Avalúos y Registro de Escrituras</t>
  </si>
  <si>
    <t>2.1.3.2.2.013</t>
  </si>
  <si>
    <t>2.1.3.2.2.014</t>
  </si>
  <si>
    <t>Premiación mejores estudiantes planteles educativos Municipales</t>
  </si>
  <si>
    <t>2.1.3.2.2.015</t>
  </si>
  <si>
    <t>Celebración día del niño</t>
  </si>
  <si>
    <t>2.1.3.2.2.016</t>
  </si>
  <si>
    <t>Servicio de aseo</t>
  </si>
  <si>
    <t>2.1.3.2.2.017</t>
  </si>
  <si>
    <t>Mantenimiento Equipos de Televisión</t>
  </si>
  <si>
    <t>2.1.3.2.2.018</t>
  </si>
  <si>
    <t>2.1.3.3</t>
  </si>
  <si>
    <t>TRANSFERENCIAS CORRIENTES</t>
  </si>
  <si>
    <t>2.1.3.3.01</t>
  </si>
  <si>
    <t>Cuotas partes pensionales</t>
  </si>
  <si>
    <t>2.1.3.3.02</t>
  </si>
  <si>
    <t>Sentencias Judiciales y Conciliaciones</t>
  </si>
  <si>
    <t>2.1.3.3.03</t>
  </si>
  <si>
    <t>Aporte Federación de Municipios</t>
  </si>
  <si>
    <t>PRES. FUNCIO.</t>
  </si>
  <si>
    <t>GARANTIZAR EL DESARROLLO OPTIMO DE LA ENTIDAD A TREVES DE PERSONAL IDONEO</t>
  </si>
  <si>
    <t>ES NECESARIO PARA LOS FUNCIONARIOS QUE LABORAN EN LA ENTIDAD PARA EL CUMPLIMIENTO SATISFACTORIO DE LAS NECESIDADES DE LA ENTIDAD</t>
  </si>
  <si>
    <t xml:space="preserve">CANCELAR UN APOYO AL TRABAJADOR PARA ASI INCENTIVAR SU TRABAJO </t>
  </si>
  <si>
    <t>ESTA LEGALMENTE ESTABLECIDO</t>
  </si>
  <si>
    <t>POR MEDIO DE ESTAS CONTRIBUCIONES SE ASEGURAN LOS DERECHOS DE LOS TRABAJADORES Y SE PREVIENE ANTE ENFERMEDAD. PARA PENSION Y RIESGOS LABORALES LO QUE PERMITE UN BUEN DESARROLLO DE LAS LABORES</t>
  </si>
  <si>
    <t>SALUD A LOS TRABAJADORES</t>
  </si>
  <si>
    <t>PENSION A LOS TRABAJADORES</t>
  </si>
  <si>
    <t>ATENCION EN CASO DE EMERGENCIA LABORAL</t>
  </si>
  <si>
    <t>RETRIBUCION POR SERVICIO</t>
  </si>
  <si>
    <t>POR MEDIO DE ESTE SE OPTIMIZA EL DESARROLLO DE LA ENTIDAD A TRAVES DE LA ADQUISION DE BIENES Y SERVICIOS</t>
  </si>
  <si>
    <t>POR MEDIO DE ESTOS SE SATISFACEN LOS GASTOS GENERADOS PARA EL DESARROLLO DE LAS ACTIVIDADES DERIVADAS DEL EJERCICIO DE LA ADMINISTRACION PUBLICA</t>
  </si>
  <si>
    <t>POR MEDIO DE ESTAS CONTRIBUCIONES SE ASEGURAN LOS PROCESOS Y PETICIONES DEL MUNICIPIO CON PARTICULARES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</si>
</sst>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(* #,##0_);_(* \(#,##0\);_(* &quot;-&quot;??_);_(@_)"/>
    <numFmt numFmtId="195" formatCode="_-* #,##0\ _€_-;\-* #,##0\ _€_-;_-* &quot;-&quot;??\ _€_-;_-@_-"/>
    <numFmt numFmtId="196" formatCode="_-* #,##0.000\ _€_-;\-* #,##0.000\ _€_-;_-* &quot;-&quot;??\ _€_-;_-@_-"/>
    <numFmt numFmtId="197" formatCode="_-* #,##0.0\ _€_-;\-* #,##0.0\ _€_-;_-* &quot;-&quot;??\ _€_-;_-@_-"/>
    <numFmt numFmtId="198" formatCode="_-* #,##0.0000\ _€_-;\-* #,##0.0000\ _€_-;_-* &quot;-&quot;??\ _€_-;_-@_-"/>
    <numFmt numFmtId="199" formatCode="_ * #,##0_ ;_ * \-#,##0_ ;_ * &quot;-&quot;??_ ;_ @_ "/>
    <numFmt numFmtId="200" formatCode="#,##0.0"/>
    <numFmt numFmtId="201" formatCode="0.0"/>
  </numFmts>
  <fonts count="7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56"/>
      <name val="Tahoma"/>
      <family val="2"/>
    </font>
    <font>
      <b/>
      <sz val="8"/>
      <name val="Consolas"/>
      <family val="3"/>
    </font>
    <font>
      <sz val="8"/>
      <color indexed="62"/>
      <name val="Tahoma"/>
      <family val="2"/>
    </font>
    <font>
      <b/>
      <sz val="7"/>
      <name val="Verdana"/>
      <family val="2"/>
    </font>
    <font>
      <sz val="7"/>
      <name val="Verdan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0"/>
      <name val="Tahoma"/>
      <family val="2"/>
    </font>
    <font>
      <b/>
      <sz val="10"/>
      <color indexed="50"/>
      <name val="Tahoma"/>
      <family val="2"/>
    </font>
    <font>
      <sz val="10"/>
      <color indexed="17"/>
      <name val="Tahoma"/>
      <family val="2"/>
    </font>
    <font>
      <b/>
      <sz val="16"/>
      <color indexed="36"/>
      <name val="Tahom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92D050"/>
      <name val="Tahoma"/>
      <family val="2"/>
    </font>
    <font>
      <b/>
      <sz val="10"/>
      <color rgb="FF92D050"/>
      <name val="Tahoma"/>
      <family val="2"/>
    </font>
    <font>
      <sz val="10"/>
      <color rgb="FF00B050"/>
      <name val="Tahoma"/>
      <family val="2"/>
    </font>
    <font>
      <b/>
      <sz val="16"/>
      <color theme="7" tint="-0.24997000396251678"/>
      <name val="Tahom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95" fontId="0" fillId="0" borderId="0" xfId="46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95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194" fontId="6" fillId="0" borderId="10" xfId="46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left" wrapText="1"/>
    </xf>
    <xf numFmtId="194" fontId="7" fillId="0" borderId="10" xfId="46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wrapText="1"/>
    </xf>
    <xf numFmtId="194" fontId="7" fillId="0" borderId="10" xfId="46" applyNumberFormat="1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left" vertical="justify" wrapText="1"/>
    </xf>
    <xf numFmtId="195" fontId="8" fillId="0" borderId="10" xfId="46" applyNumberFormat="1" applyFont="1" applyBorder="1" applyAlignment="1">
      <alignment/>
    </xf>
    <xf numFmtId="194" fontId="6" fillId="0" borderId="10" xfId="46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95" fontId="10" fillId="0" borderId="11" xfId="46" applyNumberFormat="1" applyFont="1" applyFill="1" applyBorder="1" applyAlignment="1">
      <alignment horizontal="center"/>
    </xf>
    <xf numFmtId="195" fontId="10" fillId="0" borderId="12" xfId="46" applyNumberFormat="1" applyFont="1" applyFill="1" applyBorder="1" applyAlignment="1">
      <alignment horizontal="center"/>
    </xf>
    <xf numFmtId="0" fontId="10" fillId="0" borderId="10" xfId="81" applyFont="1" applyBorder="1" applyAlignment="1">
      <alignment horizontal="center"/>
      <protection/>
    </xf>
    <xf numFmtId="195" fontId="10" fillId="0" borderId="13" xfId="46" applyNumberFormat="1" applyFont="1" applyFill="1" applyBorder="1" applyAlignment="1">
      <alignment horizontal="center"/>
    </xf>
    <xf numFmtId="195" fontId="10" fillId="0" borderId="14" xfId="46" applyNumberFormat="1" applyFont="1" applyFill="1" applyBorder="1" applyAlignment="1">
      <alignment horizontal="center"/>
    </xf>
    <xf numFmtId="195" fontId="10" fillId="0" borderId="15" xfId="46" applyNumberFormat="1" applyFont="1" applyFill="1" applyBorder="1" applyAlignment="1">
      <alignment horizontal="center"/>
    </xf>
    <xf numFmtId="195" fontId="10" fillId="0" borderId="16" xfId="46" applyNumberFormat="1" applyFont="1" applyFill="1" applyBorder="1" applyAlignment="1">
      <alignment horizontal="center"/>
    </xf>
    <xf numFmtId="195" fontId="6" fillId="0" borderId="10" xfId="46" applyNumberFormat="1" applyFont="1" applyFill="1" applyBorder="1" applyAlignment="1">
      <alignment horizontal="center"/>
    </xf>
    <xf numFmtId="195" fontId="6" fillId="0" borderId="10" xfId="46" applyNumberFormat="1" applyFont="1" applyFill="1" applyBorder="1" applyAlignment="1">
      <alignment/>
    </xf>
    <xf numFmtId="194" fontId="6" fillId="0" borderId="10" xfId="65" applyNumberFormat="1" applyFont="1" applyFill="1" applyBorder="1" applyAlignment="1">
      <alignment horizontal="center"/>
    </xf>
    <xf numFmtId="194" fontId="6" fillId="0" borderId="10" xfId="81" applyNumberFormat="1" applyFont="1" applyBorder="1">
      <alignment/>
      <protection/>
    </xf>
    <xf numFmtId="195" fontId="7" fillId="0" borderId="10" xfId="46" applyNumberFormat="1" applyFont="1" applyBorder="1" applyAlignment="1">
      <alignment/>
    </xf>
    <xf numFmtId="194" fontId="6" fillId="0" borderId="10" xfId="65" applyNumberFormat="1" applyFont="1" applyFill="1" applyBorder="1" applyAlignment="1">
      <alignment/>
    </xf>
    <xf numFmtId="0" fontId="6" fillId="0" borderId="10" xfId="81" applyFont="1" applyBorder="1">
      <alignment/>
      <protection/>
    </xf>
    <xf numFmtId="195" fontId="6" fillId="0" borderId="10" xfId="46" applyNumberFormat="1" applyFont="1" applyBorder="1" applyAlignment="1">
      <alignment/>
    </xf>
    <xf numFmtId="0" fontId="7" fillId="0" borderId="10" xfId="81" applyFont="1" applyBorder="1">
      <alignment/>
      <protection/>
    </xf>
    <xf numFmtId="194" fontId="7" fillId="0" borderId="10" xfId="81" applyNumberFormat="1" applyFont="1" applyBorder="1">
      <alignment/>
      <protection/>
    </xf>
    <xf numFmtId="195" fontId="7" fillId="0" borderId="10" xfId="46" applyNumberFormat="1" applyFont="1" applyFill="1" applyBorder="1" applyAlignment="1">
      <alignment/>
    </xf>
    <xf numFmtId="3" fontId="7" fillId="0" borderId="10" xfId="81" applyNumberFormat="1" applyFont="1" applyBorder="1">
      <alignment/>
      <protection/>
    </xf>
    <xf numFmtId="194" fontId="7" fillId="0" borderId="10" xfId="65" applyNumberFormat="1" applyFont="1" applyFill="1" applyBorder="1" applyAlignment="1">
      <alignment/>
    </xf>
    <xf numFmtId="195" fontId="11" fillId="0" borderId="10" xfId="46" applyNumberFormat="1" applyFont="1" applyFill="1" applyBorder="1" applyAlignment="1">
      <alignment/>
    </xf>
    <xf numFmtId="38" fontId="7" fillId="0" borderId="10" xfId="81" applyNumberFormat="1" applyFont="1" applyBorder="1">
      <alignment/>
      <protection/>
    </xf>
    <xf numFmtId="195" fontId="7" fillId="0" borderId="0" xfId="46" applyNumberFormat="1" applyFont="1" applyAlignment="1">
      <alignment/>
    </xf>
    <xf numFmtId="3" fontId="6" fillId="0" borderId="10" xfId="81" applyNumberFormat="1" applyFont="1" applyBorder="1">
      <alignment/>
      <protection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12" fillId="0" borderId="10" xfId="46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49" fontId="13" fillId="0" borderId="10" xfId="46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194" fontId="7" fillId="0" borderId="10" xfId="46" applyNumberFormat="1" applyFont="1" applyFill="1" applyBorder="1" applyAlignment="1">
      <alignment horizontal="center" wrapText="1"/>
    </xf>
    <xf numFmtId="194" fontId="6" fillId="34" borderId="10" xfId="46" applyNumberFormat="1" applyFont="1" applyFill="1" applyBorder="1" applyAlignment="1">
      <alignment horizontal="center" wrapText="1"/>
    </xf>
    <xf numFmtId="194" fontId="6" fillId="34" borderId="10" xfId="46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201" fontId="7" fillId="0" borderId="10" xfId="0" applyNumberFormat="1" applyFont="1" applyBorder="1" applyAlignment="1">
      <alignment/>
    </xf>
    <xf numFmtId="49" fontId="13" fillId="0" borderId="12" xfId="46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195" fontId="7" fillId="0" borderId="12" xfId="46" applyNumberFormat="1" applyFont="1" applyFill="1" applyBorder="1" applyAlignment="1">
      <alignment/>
    </xf>
    <xf numFmtId="195" fontId="7" fillId="0" borderId="12" xfId="46" applyNumberFormat="1" applyFont="1" applyBorder="1" applyAlignment="1">
      <alignment/>
    </xf>
    <xf numFmtId="0" fontId="7" fillId="0" borderId="12" xfId="0" applyFont="1" applyBorder="1" applyAlignment="1">
      <alignment/>
    </xf>
    <xf numFmtId="194" fontId="7" fillId="0" borderId="12" xfId="81" applyNumberFormat="1" applyFont="1" applyBorder="1">
      <alignment/>
      <protection/>
    </xf>
    <xf numFmtId="3" fontId="7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195" fontId="0" fillId="0" borderId="10" xfId="46" applyNumberFormat="1" applyFont="1" applyFill="1" applyBorder="1" applyAlignment="1">
      <alignment/>
    </xf>
    <xf numFmtId="194" fontId="6" fillId="0" borderId="17" xfId="81" applyNumberFormat="1" applyFont="1" applyBorder="1">
      <alignment/>
      <protection/>
    </xf>
    <xf numFmtId="194" fontId="7" fillId="0" borderId="17" xfId="81" applyNumberFormat="1" applyFont="1" applyBorder="1">
      <alignment/>
      <protection/>
    </xf>
    <xf numFmtId="194" fontId="7" fillId="0" borderId="11" xfId="81" applyNumberFormat="1" applyFont="1" applyBorder="1">
      <alignment/>
      <protection/>
    </xf>
    <xf numFmtId="0" fontId="0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4" fontId="2" fillId="0" borderId="0" xfId="0" applyNumberFormat="1" applyFont="1" applyAlignment="1">
      <alignment/>
    </xf>
    <xf numFmtId="194" fontId="1" fillId="0" borderId="11" xfId="46" applyNumberFormat="1" applyFont="1" applyFill="1" applyBorder="1" applyAlignment="1">
      <alignment horizontal="left"/>
    </xf>
    <xf numFmtId="194" fontId="1" fillId="0" borderId="13" xfId="46" applyNumberFormat="1" applyFont="1" applyFill="1" applyBorder="1" applyAlignment="1">
      <alignment horizontal="left"/>
    </xf>
    <xf numFmtId="194" fontId="1" fillId="0" borderId="14" xfId="46" applyNumberFormat="1" applyFont="1" applyFill="1" applyBorder="1" applyAlignment="1">
      <alignment horizontal="center" vertical="center"/>
    </xf>
    <xf numFmtId="194" fontId="1" fillId="0" borderId="10" xfId="46" applyNumberFormat="1" applyFont="1" applyFill="1" applyBorder="1" applyAlignment="1">
      <alignment horizontal="left"/>
    </xf>
    <xf numFmtId="194" fontId="1" fillId="0" borderId="16" xfId="46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94" fontId="16" fillId="0" borderId="10" xfId="46" applyNumberFormat="1" applyFont="1" applyFill="1" applyBorder="1" applyAlignment="1">
      <alignment horizontal="left"/>
    </xf>
    <xf numFmtId="194" fontId="16" fillId="0" borderId="10" xfId="46" applyNumberFormat="1" applyFont="1" applyFill="1" applyBorder="1" applyAlignment="1">
      <alignment horizontal="center"/>
    </xf>
    <xf numFmtId="194" fontId="17" fillId="0" borderId="10" xfId="46" applyNumberFormat="1" applyFont="1" applyFill="1" applyBorder="1" applyAlignment="1">
      <alignment horizontal="center"/>
    </xf>
    <xf numFmtId="194" fontId="1" fillId="0" borderId="10" xfId="46" applyNumberFormat="1" applyFont="1" applyFill="1" applyBorder="1" applyAlignment="1">
      <alignment horizontal="center"/>
    </xf>
    <xf numFmtId="194" fontId="6" fillId="34" borderId="18" xfId="46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94" fontId="2" fillId="0" borderId="10" xfId="46" applyNumberFormat="1" applyFont="1" applyFill="1" applyBorder="1" applyAlignment="1">
      <alignment horizontal="left"/>
    </xf>
    <xf numFmtId="194" fontId="2" fillId="0" borderId="10" xfId="46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194" fontId="16" fillId="0" borderId="10" xfId="46" applyNumberFormat="1" applyFont="1" applyFill="1" applyBorder="1" applyAlignment="1">
      <alignment/>
    </xf>
    <xf numFmtId="194" fontId="1" fillId="0" borderId="10" xfId="46" applyNumberFormat="1" applyFont="1" applyFill="1" applyBorder="1" applyAlignment="1">
      <alignment/>
    </xf>
    <xf numFmtId="194" fontId="1" fillId="0" borderId="17" xfId="46" applyNumberFormat="1" applyFont="1" applyFill="1" applyBorder="1" applyAlignment="1">
      <alignment horizontal="center"/>
    </xf>
    <xf numFmtId="194" fontId="14" fillId="0" borderId="10" xfId="0" applyNumberFormat="1" applyFont="1" applyBorder="1" applyAlignment="1">
      <alignment/>
    </xf>
    <xf numFmtId="194" fontId="1" fillId="0" borderId="17" xfId="46" applyNumberFormat="1" applyFont="1" applyFill="1" applyBorder="1" applyAlignment="1">
      <alignment/>
    </xf>
    <xf numFmtId="194" fontId="2" fillId="0" borderId="10" xfId="46" applyNumberFormat="1" applyFont="1" applyFill="1" applyBorder="1" applyAlignment="1">
      <alignment/>
    </xf>
    <xf numFmtId="194" fontId="2" fillId="0" borderId="10" xfId="0" applyNumberFormat="1" applyFont="1" applyBorder="1" applyAlignment="1">
      <alignment/>
    </xf>
    <xf numFmtId="194" fontId="2" fillId="0" borderId="17" xfId="46" applyNumberFormat="1" applyFont="1" applyFill="1" applyBorder="1" applyAlignment="1">
      <alignment horizontal="center"/>
    </xf>
    <xf numFmtId="194" fontId="1" fillId="0" borderId="16" xfId="46" applyNumberFormat="1" applyFont="1" applyFill="1" applyBorder="1" applyAlignment="1">
      <alignment horizontal="center" vertical="center" wrapText="1"/>
    </xf>
    <xf numFmtId="194" fontId="1" fillId="0" borderId="10" xfId="46" applyNumberFormat="1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194" fontId="64" fillId="0" borderId="10" xfId="0" applyNumberFormat="1" applyFont="1" applyBorder="1" applyAlignment="1">
      <alignment/>
    </xf>
    <xf numFmtId="194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20" xfId="46" applyNumberFormat="1" applyFont="1" applyFill="1" applyBorder="1" applyAlignment="1">
      <alignment horizontal="justify" wrapText="1"/>
    </xf>
    <xf numFmtId="194" fontId="1" fillId="0" borderId="20" xfId="46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left"/>
    </xf>
    <xf numFmtId="194" fontId="1" fillId="0" borderId="10" xfId="46" applyNumberFormat="1" applyFont="1" applyFill="1" applyBorder="1" applyAlignment="1">
      <alignment horizontal="center" wrapText="1"/>
    </xf>
    <xf numFmtId="194" fontId="1" fillId="0" borderId="20" xfId="4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4" fontId="16" fillId="0" borderId="10" xfId="46" applyNumberFormat="1" applyFont="1" applyFill="1" applyBorder="1" applyAlignment="1">
      <alignment horizontal="center" wrapText="1"/>
    </xf>
    <xf numFmtId="194" fontId="16" fillId="0" borderId="10" xfId="46" applyNumberFormat="1" applyFont="1" applyFill="1" applyBorder="1" applyAlignment="1">
      <alignment wrapText="1"/>
    </xf>
    <xf numFmtId="4" fontId="2" fillId="0" borderId="10" xfId="46" applyNumberFormat="1" applyFont="1" applyFill="1" applyBorder="1" applyAlignment="1">
      <alignment horizontal="right"/>
    </xf>
    <xf numFmtId="199" fontId="2" fillId="0" borderId="10" xfId="46" applyNumberFormat="1" applyFont="1" applyBorder="1" applyAlignment="1">
      <alignment horizontal="left" indent="1"/>
    </xf>
    <xf numFmtId="0" fontId="2" fillId="0" borderId="10" xfId="0" applyFont="1" applyFill="1" applyBorder="1" applyAlignment="1">
      <alignment/>
    </xf>
    <xf numFmtId="194" fontId="17" fillId="0" borderId="10" xfId="46" applyNumberFormat="1" applyFont="1" applyFill="1" applyBorder="1" applyAlignment="1">
      <alignment horizontal="center" vertical="center" wrapText="1"/>
    </xf>
    <xf numFmtId="194" fontId="16" fillId="0" borderId="10" xfId="46" applyNumberFormat="1" applyFont="1" applyFill="1" applyBorder="1" applyAlignment="1">
      <alignment horizontal="justify" wrapText="1"/>
    </xf>
    <xf numFmtId="4" fontId="2" fillId="0" borderId="10" xfId="46" applyNumberFormat="1" applyFont="1" applyFill="1" applyBorder="1" applyAlignment="1">
      <alignment/>
    </xf>
    <xf numFmtId="194" fontId="65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/>
    </xf>
    <xf numFmtId="194" fontId="16" fillId="0" borderId="12" xfId="46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66" fillId="0" borderId="10" xfId="0" applyNumberFormat="1" applyFont="1" applyBorder="1" applyAlignment="1">
      <alignment/>
    </xf>
    <xf numFmtId="194" fontId="18" fillId="0" borderId="10" xfId="46" applyNumberFormat="1" applyFont="1" applyFill="1" applyBorder="1" applyAlignment="1">
      <alignment/>
    </xf>
    <xf numFmtId="194" fontId="19" fillId="0" borderId="10" xfId="46" applyNumberFormat="1" applyFont="1" applyFill="1" applyBorder="1" applyAlignment="1">
      <alignment/>
    </xf>
    <xf numFmtId="194" fontId="17" fillId="0" borderId="10" xfId="46" applyNumberFormat="1" applyFont="1" applyFill="1" applyBorder="1" applyAlignment="1">
      <alignment horizontal="center" wrapText="1"/>
    </xf>
    <xf numFmtId="194" fontId="2" fillId="0" borderId="10" xfId="46" applyNumberFormat="1" applyFont="1" applyFill="1" applyBorder="1" applyAlignment="1">
      <alignment horizontal="justify" wrapText="1"/>
    </xf>
    <xf numFmtId="0" fontId="67" fillId="0" borderId="10" xfId="0" applyFont="1" applyBorder="1" applyAlignment="1">
      <alignment/>
    </xf>
    <xf numFmtId="194" fontId="14" fillId="0" borderId="10" xfId="46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94" fontId="14" fillId="0" borderId="0" xfId="0" applyNumberFormat="1" applyFont="1" applyAlignment="1">
      <alignment/>
    </xf>
    <xf numFmtId="194" fontId="1" fillId="0" borderId="1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195" fontId="21" fillId="0" borderId="12" xfId="46" applyNumberFormat="1" applyFont="1" applyFill="1" applyBorder="1" applyAlignment="1">
      <alignment horizontal="center"/>
    </xf>
    <xf numFmtId="195" fontId="21" fillId="0" borderId="16" xfId="46" applyNumberFormat="1" applyFont="1" applyFill="1" applyBorder="1" applyAlignment="1">
      <alignment horizontal="center"/>
    </xf>
    <xf numFmtId="194" fontId="68" fillId="0" borderId="10" xfId="0" applyNumberFormat="1" applyFont="1" applyBorder="1" applyAlignment="1">
      <alignment horizontal="left"/>
    </xf>
    <xf numFmtId="194" fontId="69" fillId="0" borderId="10" xfId="0" applyNumberFormat="1" applyFont="1" applyBorder="1" applyAlignment="1">
      <alignment horizontal="left"/>
    </xf>
    <xf numFmtId="0" fontId="20" fillId="0" borderId="15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194" fontId="20" fillId="0" borderId="10" xfId="46" applyNumberFormat="1" applyFont="1" applyFill="1" applyBorder="1" applyAlignment="1">
      <alignment horizontal="left" wrapText="1"/>
    </xf>
    <xf numFmtId="194" fontId="23" fillId="0" borderId="10" xfId="46" applyNumberFormat="1" applyFont="1" applyFill="1" applyBorder="1" applyAlignment="1">
      <alignment horizontal="left" wrapText="1"/>
    </xf>
    <xf numFmtId="194" fontId="20" fillId="0" borderId="10" xfId="46" applyNumberFormat="1" applyFont="1" applyFill="1" applyBorder="1" applyAlignment="1">
      <alignment wrapText="1"/>
    </xf>
    <xf numFmtId="194" fontId="23" fillId="0" borderId="10" xfId="46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194" fontId="20" fillId="0" borderId="10" xfId="46" applyNumberFormat="1" applyFont="1" applyFill="1" applyBorder="1" applyAlignment="1">
      <alignment horizontal="left" vertical="center" wrapText="1"/>
    </xf>
    <xf numFmtId="195" fontId="0" fillId="0" borderId="0" xfId="46" applyNumberFormat="1" applyFont="1" applyAlignment="1">
      <alignment vertical="center"/>
    </xf>
    <xf numFmtId="0" fontId="0" fillId="0" borderId="0" xfId="0" applyFont="1" applyAlignment="1">
      <alignment vertical="center"/>
    </xf>
    <xf numFmtId="194" fontId="68" fillId="0" borderId="10" xfId="0" applyNumberFormat="1" applyFont="1" applyBorder="1" applyAlignment="1">
      <alignment horizontal="left" vertical="center"/>
    </xf>
    <xf numFmtId="195" fontId="0" fillId="0" borderId="10" xfId="46" applyNumberFormat="1" applyFont="1" applyFill="1" applyBorder="1" applyAlignment="1">
      <alignment vertical="center"/>
    </xf>
    <xf numFmtId="195" fontId="0" fillId="0" borderId="10" xfId="46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95" fontId="6" fillId="0" borderId="10" xfId="46" applyNumberFormat="1" applyFont="1" applyFill="1" applyBorder="1" applyAlignment="1">
      <alignment vertical="center"/>
    </xf>
    <xf numFmtId="195" fontId="6" fillId="0" borderId="10" xfId="46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195" fontId="7" fillId="0" borderId="10" xfId="46" applyNumberFormat="1" applyFont="1" applyFill="1" applyBorder="1" applyAlignment="1">
      <alignment vertical="center"/>
    </xf>
    <xf numFmtId="195" fontId="7" fillId="0" borderId="10" xfId="46" applyNumberFormat="1" applyFont="1" applyBorder="1" applyAlignment="1">
      <alignment vertical="center"/>
    </xf>
    <xf numFmtId="0" fontId="7" fillId="0" borderId="10" xfId="81" applyFont="1" applyBorder="1" applyAlignment="1">
      <alignment vertical="center"/>
      <protection/>
    </xf>
    <xf numFmtId="0" fontId="21" fillId="0" borderId="10" xfId="0" applyFont="1" applyBorder="1" applyAlignment="1">
      <alignment vertical="center"/>
    </xf>
    <xf numFmtId="194" fontId="7" fillId="0" borderId="10" xfId="81" applyNumberFormat="1" applyFont="1" applyBorder="1" applyAlignment="1">
      <alignment vertical="center"/>
      <protection/>
    </xf>
    <xf numFmtId="194" fontId="69" fillId="0" borderId="10" xfId="0" applyNumberFormat="1" applyFont="1" applyBorder="1" applyAlignment="1">
      <alignment horizontal="left" vertical="center"/>
    </xf>
    <xf numFmtId="194" fontId="6" fillId="0" borderId="10" xfId="65" applyNumberFormat="1" applyFont="1" applyFill="1" applyBorder="1" applyAlignment="1">
      <alignment vertical="center"/>
    </xf>
    <xf numFmtId="194" fontId="6" fillId="34" borderId="10" xfId="46" applyNumberFormat="1" applyFont="1" applyFill="1" applyBorder="1" applyAlignment="1">
      <alignment horizontal="center" vertical="center" wrapText="1"/>
    </xf>
    <xf numFmtId="0" fontId="1" fillId="0" borderId="0" xfId="78" applyFont="1" applyAlignment="1">
      <alignment horizontal="center"/>
      <protection/>
    </xf>
    <xf numFmtId="0" fontId="1" fillId="0" borderId="0" xfId="77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194" fontId="5" fillId="0" borderId="12" xfId="46" applyNumberFormat="1" applyFont="1" applyFill="1" applyBorder="1" applyAlignment="1">
      <alignment horizontal="center" vertical="center"/>
    </xf>
    <xf numFmtId="194" fontId="5" fillId="0" borderId="14" xfId="46" applyNumberFormat="1" applyFont="1" applyFill="1" applyBorder="1" applyAlignment="1">
      <alignment horizontal="center" vertical="center"/>
    </xf>
    <xf numFmtId="194" fontId="5" fillId="0" borderId="16" xfId="46" applyNumberFormat="1" applyFont="1" applyFill="1" applyBorder="1" applyAlignment="1">
      <alignment horizontal="center" vertical="center"/>
    </xf>
    <xf numFmtId="194" fontId="6" fillId="0" borderId="12" xfId="46" applyNumberFormat="1" applyFont="1" applyFill="1" applyBorder="1" applyAlignment="1">
      <alignment horizontal="center" vertical="center"/>
    </xf>
    <xf numFmtId="194" fontId="6" fillId="0" borderId="14" xfId="46" applyNumberFormat="1" applyFont="1" applyFill="1" applyBorder="1" applyAlignment="1">
      <alignment horizontal="center" vertical="center"/>
    </xf>
    <xf numFmtId="194" fontId="6" fillId="0" borderId="16" xfId="46" applyNumberFormat="1" applyFont="1" applyFill="1" applyBorder="1" applyAlignment="1">
      <alignment horizontal="center" vertical="center"/>
    </xf>
    <xf numFmtId="0" fontId="10" fillId="0" borderId="10" xfId="81" applyFont="1" applyBorder="1" applyAlignment="1">
      <alignment horizontal="center"/>
      <protection/>
    </xf>
    <xf numFmtId="0" fontId="10" fillId="0" borderId="10" xfId="81" applyFont="1" applyBorder="1" applyAlignment="1">
      <alignment horizontal="center" wrapText="1"/>
      <protection/>
    </xf>
    <xf numFmtId="0" fontId="10" fillId="0" borderId="17" xfId="8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19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1" fillId="0" borderId="11" xfId="46" applyNumberFormat="1" applyFont="1" applyFill="1" applyBorder="1" applyAlignment="1">
      <alignment horizontal="center" vertical="center"/>
    </xf>
    <xf numFmtId="194" fontId="1" fillId="0" borderId="22" xfId="46" applyNumberFormat="1" applyFont="1" applyFill="1" applyBorder="1" applyAlignment="1">
      <alignment horizontal="center" vertical="center"/>
    </xf>
    <xf numFmtId="194" fontId="1" fillId="0" borderId="13" xfId="46" applyNumberFormat="1" applyFont="1" applyFill="1" applyBorder="1" applyAlignment="1">
      <alignment horizontal="center" vertical="center"/>
    </xf>
    <xf numFmtId="194" fontId="1" fillId="0" borderId="23" xfId="46" applyNumberFormat="1" applyFont="1" applyFill="1" applyBorder="1" applyAlignment="1">
      <alignment horizontal="center" vertical="center"/>
    </xf>
    <xf numFmtId="194" fontId="1" fillId="0" borderId="15" xfId="46" applyNumberFormat="1" applyFont="1" applyFill="1" applyBorder="1" applyAlignment="1">
      <alignment horizontal="center" vertical="center"/>
    </xf>
    <xf numFmtId="194" fontId="1" fillId="0" borderId="24" xfId="46" applyNumberFormat="1" applyFont="1" applyFill="1" applyBorder="1" applyAlignment="1">
      <alignment horizontal="center" vertical="center"/>
    </xf>
    <xf numFmtId="194" fontId="1" fillId="0" borderId="12" xfId="46" applyNumberFormat="1" applyFont="1" applyFill="1" applyBorder="1" applyAlignment="1">
      <alignment horizontal="center" vertical="center"/>
    </xf>
    <xf numFmtId="194" fontId="1" fillId="0" borderId="14" xfId="46" applyNumberFormat="1" applyFont="1" applyFill="1" applyBorder="1" applyAlignment="1">
      <alignment horizontal="center" vertical="center"/>
    </xf>
    <xf numFmtId="194" fontId="1" fillId="0" borderId="16" xfId="46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94" fontId="6" fillId="34" borderId="25" xfId="46" applyNumberFormat="1" applyFont="1" applyFill="1" applyBorder="1" applyAlignment="1">
      <alignment horizontal="center" vertical="center" wrapText="1"/>
    </xf>
    <xf numFmtId="194" fontId="6" fillId="34" borderId="21" xfId="46" applyNumberFormat="1" applyFont="1" applyFill="1" applyBorder="1" applyAlignment="1">
      <alignment horizontal="center" vertical="center" wrapText="1"/>
    </xf>
    <xf numFmtId="194" fontId="6" fillId="34" borderId="26" xfId="46" applyNumberFormat="1" applyFont="1" applyFill="1" applyBorder="1" applyAlignment="1">
      <alignment horizontal="center" vertical="center" wrapText="1"/>
    </xf>
    <xf numFmtId="194" fontId="2" fillId="0" borderId="12" xfId="46" applyNumberFormat="1" applyFont="1" applyFill="1" applyBorder="1" applyAlignment="1">
      <alignment horizontal="center" vertical="center"/>
    </xf>
    <xf numFmtId="194" fontId="2" fillId="0" borderId="14" xfId="46" applyNumberFormat="1" applyFont="1" applyFill="1" applyBorder="1" applyAlignment="1">
      <alignment horizontal="center" vertical="center"/>
    </xf>
    <xf numFmtId="194" fontId="2" fillId="0" borderId="12" xfId="46" applyNumberFormat="1" applyFont="1" applyFill="1" applyBorder="1" applyAlignment="1">
      <alignment horizontal="center" vertical="center" wrapText="1"/>
    </xf>
    <xf numFmtId="194" fontId="2" fillId="0" borderId="14" xfId="46" applyNumberFormat="1" applyFont="1" applyFill="1" applyBorder="1" applyAlignment="1">
      <alignment horizontal="center" vertical="center" wrapText="1"/>
    </xf>
    <xf numFmtId="194" fontId="1" fillId="0" borderId="16" xfId="46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94" fontId="2" fillId="0" borderId="12" xfId="46" applyNumberFormat="1" applyFont="1" applyFill="1" applyBorder="1" applyAlignment="1">
      <alignment horizontal="center"/>
    </xf>
    <xf numFmtId="194" fontId="2" fillId="0" borderId="14" xfId="46" applyNumberFormat="1" applyFont="1" applyFill="1" applyBorder="1" applyAlignment="1">
      <alignment horizontal="center"/>
    </xf>
    <xf numFmtId="194" fontId="1" fillId="0" borderId="16" xfId="46" applyNumberFormat="1" applyFont="1" applyFill="1" applyBorder="1" applyAlignment="1">
      <alignment horizontal="center"/>
    </xf>
    <xf numFmtId="194" fontId="2" fillId="0" borderId="12" xfId="46" applyNumberFormat="1" applyFont="1" applyFill="1" applyBorder="1" applyAlignment="1">
      <alignment horizontal="center" wrapText="1"/>
    </xf>
    <xf numFmtId="194" fontId="2" fillId="0" borderId="14" xfId="46" applyNumberFormat="1" applyFont="1" applyFill="1" applyBorder="1" applyAlignment="1">
      <alignment horizontal="center" wrapText="1"/>
    </xf>
    <xf numFmtId="194" fontId="1" fillId="0" borderId="16" xfId="46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94" fontId="2" fillId="0" borderId="16" xfId="46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94" fontId="2" fillId="0" borderId="16" xfId="46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94" fontId="6" fillId="34" borderId="12" xfId="46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10" xfId="49"/>
    <cellStyle name="Millares 2 2" xfId="50"/>
    <cellStyle name="Millares 2 2 2" xfId="51"/>
    <cellStyle name="Millares 2 2 3" xfId="52"/>
    <cellStyle name="Millares 2 2 4" xfId="53"/>
    <cellStyle name="Millares 2 2 5" xfId="54"/>
    <cellStyle name="Millares 2 2 6" xfId="55"/>
    <cellStyle name="Millares 2 2 7" xfId="56"/>
    <cellStyle name="Millares 2 3" xfId="57"/>
    <cellStyle name="Millares 2 4" xfId="58"/>
    <cellStyle name="Millares 2 5" xfId="59"/>
    <cellStyle name="Millares 2 6" xfId="60"/>
    <cellStyle name="Millares 2 7" xfId="61"/>
    <cellStyle name="Millares 2 8" xfId="62"/>
    <cellStyle name="Millares 2 9" xfId="63"/>
    <cellStyle name="Millares 3" xfId="64"/>
    <cellStyle name="Millares 4" xfId="65"/>
    <cellStyle name="Millares 5" xfId="66"/>
    <cellStyle name="Millares 6" xfId="67"/>
    <cellStyle name="Millares 7" xfId="68"/>
    <cellStyle name="Millares 8" xfId="69"/>
    <cellStyle name="Currency" xfId="70"/>
    <cellStyle name="Currency [0]" xfId="71"/>
    <cellStyle name="Neutral" xfId="72"/>
    <cellStyle name="Normal 2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3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8.28125" style="3" customWidth="1"/>
    <col min="2" max="2" width="51.140625" style="3" customWidth="1"/>
    <col min="3" max="3" width="15.00390625" style="4" hidden="1" customWidth="1"/>
    <col min="4" max="4" width="14.421875" style="4" hidden="1" customWidth="1"/>
    <col min="5" max="5" width="14.57421875" style="4" hidden="1" customWidth="1"/>
    <col min="6" max="6" width="11.57421875" style="4" hidden="1" customWidth="1"/>
    <col min="7" max="7" width="12.140625" style="4" hidden="1" customWidth="1"/>
    <col min="8" max="8" width="15.28125" style="4" hidden="1" customWidth="1"/>
    <col min="9" max="9" width="12.140625" style="3" hidden="1" customWidth="1"/>
    <col min="10" max="10" width="8.421875" style="3" hidden="1" customWidth="1"/>
    <col min="11" max="11" width="8.140625" style="3" hidden="1" customWidth="1"/>
    <col min="12" max="12" width="7.57421875" style="3" hidden="1" customWidth="1"/>
    <col min="13" max="13" width="13.7109375" style="3" customWidth="1"/>
    <col min="14" max="14" width="12.28125" style="3" hidden="1" customWidth="1"/>
    <col min="15" max="15" width="13.7109375" style="3" hidden="1" customWidth="1"/>
    <col min="16" max="16" width="14.7109375" style="3" hidden="1" customWidth="1"/>
    <col min="17" max="17" width="10.8515625" style="3" hidden="1" customWidth="1"/>
    <col min="18" max="18" width="37.00390625" style="3" customWidth="1"/>
    <col min="19" max="20" width="11.421875" style="3" customWidth="1"/>
    <col min="21" max="21" width="29.57421875" style="3" customWidth="1"/>
    <col min="22" max="16384" width="11.421875" style="3" customWidth="1"/>
  </cols>
  <sheetData>
    <row r="1" spans="1:17" ht="12.7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2.75">
      <c r="A2" s="202" t="s">
        <v>306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5" customFormat="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23" ht="12.75">
      <c r="A4" s="204" t="s">
        <v>0</v>
      </c>
      <c r="B4" s="207" t="s">
        <v>4</v>
      </c>
      <c r="C4" s="29" t="s">
        <v>6</v>
      </c>
      <c r="D4" s="29" t="s">
        <v>8</v>
      </c>
      <c r="E4" s="29" t="s">
        <v>9</v>
      </c>
      <c r="F4" s="29" t="s">
        <v>13</v>
      </c>
      <c r="G4" s="29" t="s">
        <v>14</v>
      </c>
      <c r="H4" s="30" t="s">
        <v>3</v>
      </c>
      <c r="I4" s="210" t="s">
        <v>190</v>
      </c>
      <c r="J4" s="210"/>
      <c r="K4" s="210"/>
      <c r="L4" s="210"/>
      <c r="M4" s="211" t="s">
        <v>191</v>
      </c>
      <c r="N4" s="211" t="s">
        <v>192</v>
      </c>
      <c r="O4" s="211" t="s">
        <v>193</v>
      </c>
      <c r="P4" s="211" t="s">
        <v>194</v>
      </c>
      <c r="Q4" s="212" t="s">
        <v>195</v>
      </c>
      <c r="R4" s="6"/>
      <c r="S4" s="6"/>
      <c r="T4" s="6"/>
      <c r="U4" s="6"/>
      <c r="V4" s="6"/>
      <c r="W4" s="6"/>
    </row>
    <row r="5" spans="1:23" ht="12.75">
      <c r="A5" s="205"/>
      <c r="B5" s="208"/>
      <c r="C5" s="32" t="s">
        <v>2</v>
      </c>
      <c r="D5" s="32" t="s">
        <v>1</v>
      </c>
      <c r="E5" s="32" t="s">
        <v>10</v>
      </c>
      <c r="F5" s="32"/>
      <c r="G5" s="32" t="s">
        <v>15</v>
      </c>
      <c r="H5" s="33" t="s">
        <v>165</v>
      </c>
      <c r="I5" s="210" t="s">
        <v>196</v>
      </c>
      <c r="J5" s="210"/>
      <c r="K5" s="210" t="s">
        <v>197</v>
      </c>
      <c r="L5" s="210"/>
      <c r="M5" s="211"/>
      <c r="N5" s="211"/>
      <c r="O5" s="211"/>
      <c r="P5" s="211"/>
      <c r="Q5" s="212"/>
      <c r="R5" s="6"/>
      <c r="S5" s="6"/>
      <c r="T5" s="6"/>
      <c r="U5" s="6"/>
      <c r="V5" s="6"/>
      <c r="W5" s="6"/>
    </row>
    <row r="6" spans="1:23" ht="12" customHeight="1">
      <c r="A6" s="206"/>
      <c r="B6" s="209"/>
      <c r="C6" s="34" t="s">
        <v>7</v>
      </c>
      <c r="D6" s="34" t="s">
        <v>12</v>
      </c>
      <c r="E6" s="34" t="s">
        <v>11</v>
      </c>
      <c r="F6" s="34" t="s">
        <v>5</v>
      </c>
      <c r="G6" s="34" t="s">
        <v>16</v>
      </c>
      <c r="H6" s="35">
        <v>2010</v>
      </c>
      <c r="I6" s="31" t="s">
        <v>198</v>
      </c>
      <c r="J6" s="31" t="s">
        <v>199</v>
      </c>
      <c r="K6" s="31" t="s">
        <v>200</v>
      </c>
      <c r="L6" s="31" t="s">
        <v>199</v>
      </c>
      <c r="M6" s="211"/>
      <c r="N6" s="211"/>
      <c r="O6" s="211"/>
      <c r="P6" s="211"/>
      <c r="Q6" s="212"/>
      <c r="R6" s="200" t="s">
        <v>254</v>
      </c>
      <c r="S6" s="200"/>
      <c r="T6" s="200"/>
      <c r="U6" s="200" t="s">
        <v>255</v>
      </c>
      <c r="V6" s="200"/>
      <c r="W6" s="200"/>
    </row>
    <row r="7" spans="1:23" ht="12.75">
      <c r="A7" s="55" t="s">
        <v>96</v>
      </c>
      <c r="B7" s="9" t="s">
        <v>4</v>
      </c>
      <c r="C7" s="36">
        <f>SUM(C8+C27+C35+C53+C63+C71)</f>
        <v>1503831589</v>
      </c>
      <c r="D7" s="36">
        <f>SUM(D8+D27+D35+D53+D63+D71)</f>
        <v>427648442</v>
      </c>
      <c r="E7" s="36">
        <f>SUM(E8+E27+E35+E53+E63+E71)</f>
        <v>100700000</v>
      </c>
      <c r="F7" s="36">
        <f>SUM(F8)</f>
        <v>2000000</v>
      </c>
      <c r="G7" s="36">
        <f>SUM(G27)</f>
        <v>1000000</v>
      </c>
      <c r="H7" s="37">
        <f>SUM(C7:G7)</f>
        <v>2035180031</v>
      </c>
      <c r="I7" s="38">
        <f>+I8+I20+I28+I32+I35+I44+I53+I63+I73+I82+I91+I97+I101+I105+I115+I120+I122+I126</f>
        <v>212316271</v>
      </c>
      <c r="J7" s="38"/>
      <c r="K7" s="38"/>
      <c r="L7" s="38"/>
      <c r="M7" s="39">
        <f>+H7+I7+J7-K7-L7</f>
        <v>2247496302</v>
      </c>
      <c r="N7" s="38">
        <f>+N8+N27+N35+N53+N63+N71</f>
        <v>254020112</v>
      </c>
      <c r="O7" s="38">
        <f>+O8+O27+O35+O53+O63+O71</f>
        <v>203560112</v>
      </c>
      <c r="P7" s="39">
        <f>+M7-O7</f>
        <v>2043936190</v>
      </c>
      <c r="Q7" s="79">
        <f>+N7-O7</f>
        <v>50460000</v>
      </c>
      <c r="R7" s="62" t="s">
        <v>256</v>
      </c>
      <c r="S7" s="63" t="s">
        <v>257</v>
      </c>
      <c r="T7" s="63" t="s">
        <v>258</v>
      </c>
      <c r="U7" s="62" t="s">
        <v>256</v>
      </c>
      <c r="V7" s="63" t="s">
        <v>257</v>
      </c>
      <c r="W7" s="63" t="s">
        <v>258</v>
      </c>
    </row>
    <row r="8" spans="1:23" ht="12.75">
      <c r="A8" s="55" t="s">
        <v>97</v>
      </c>
      <c r="B8" s="11" t="s">
        <v>17</v>
      </c>
      <c r="C8" s="43">
        <f>SUM(C10+C20+C24)</f>
        <v>11866055</v>
      </c>
      <c r="D8" s="43">
        <f>SUM(D10+D24)</f>
        <v>101634490</v>
      </c>
      <c r="E8" s="43">
        <f>SUM(E10)</f>
        <v>2500000</v>
      </c>
      <c r="F8" s="43">
        <f>SUM(F14)</f>
        <v>2000000</v>
      </c>
      <c r="G8" s="40"/>
      <c r="H8" s="43">
        <f>SUM(C8:G8)</f>
        <v>118000545</v>
      </c>
      <c r="I8" s="41">
        <f>+I10+I20+I24</f>
        <v>28800518</v>
      </c>
      <c r="J8" s="41"/>
      <c r="K8" s="41"/>
      <c r="L8" s="41"/>
      <c r="M8" s="39">
        <f aca="true" t="shared" si="0" ref="M8:M71">+H8+I8+J8-K8-L8</f>
        <v>146801063</v>
      </c>
      <c r="N8" s="41">
        <f>+N10+N24+N20</f>
        <v>698490</v>
      </c>
      <c r="O8" s="41">
        <f>+O10+O24+O20</f>
        <v>698490</v>
      </c>
      <c r="P8" s="39">
        <f aca="true" t="shared" si="1" ref="P8:P71">+M8-O8</f>
        <v>146102573</v>
      </c>
      <c r="Q8" s="79">
        <f aca="true" t="shared" si="2" ref="Q8:Q72">+N8-O8</f>
        <v>0</v>
      </c>
      <c r="R8" s="2"/>
      <c r="S8" s="2"/>
      <c r="T8" s="2"/>
      <c r="U8" s="2"/>
      <c r="V8" s="2"/>
      <c r="W8" s="2"/>
    </row>
    <row r="9" spans="1:23" ht="12.75">
      <c r="A9" s="56"/>
      <c r="B9" s="10"/>
      <c r="C9" s="40"/>
      <c r="D9" s="40"/>
      <c r="E9" s="40"/>
      <c r="F9" s="40"/>
      <c r="G9" s="40"/>
      <c r="H9" s="40"/>
      <c r="I9" s="44"/>
      <c r="J9" s="44"/>
      <c r="K9" s="44"/>
      <c r="L9" s="44"/>
      <c r="M9" s="39">
        <f t="shared" si="0"/>
        <v>0</v>
      </c>
      <c r="N9" s="44"/>
      <c r="O9" s="44"/>
      <c r="P9" s="39">
        <f t="shared" si="1"/>
        <v>0</v>
      </c>
      <c r="Q9" s="79">
        <f t="shared" si="2"/>
        <v>0</v>
      </c>
      <c r="R9" s="2"/>
      <c r="S9" s="2"/>
      <c r="T9" s="2"/>
      <c r="U9" s="2"/>
      <c r="V9" s="2"/>
      <c r="W9" s="2"/>
    </row>
    <row r="10" spans="1:23" ht="12.75">
      <c r="A10" s="55" t="s">
        <v>98</v>
      </c>
      <c r="B10" s="11" t="s">
        <v>202</v>
      </c>
      <c r="C10" s="43">
        <f>SUM(C11:C18)</f>
        <v>4994560</v>
      </c>
      <c r="D10" s="43">
        <f>SUM(D11:D19)</f>
        <v>67634490</v>
      </c>
      <c r="E10" s="43">
        <f>SUM(E11)</f>
        <v>2500000</v>
      </c>
      <c r="F10" s="40"/>
      <c r="G10" s="40"/>
      <c r="H10" s="43">
        <f>SUM(C10:G10)</f>
        <v>75129050</v>
      </c>
      <c r="I10" s="39">
        <f>+I11+I12+I13+I14+I15+I16+I17+I18+I19</f>
        <v>28567498</v>
      </c>
      <c r="J10" s="44"/>
      <c r="K10" s="44"/>
      <c r="L10" s="44"/>
      <c r="M10" s="39">
        <f t="shared" si="0"/>
        <v>103696548</v>
      </c>
      <c r="N10" s="45">
        <f>+N11+N12+N13+N14+N15+N16+N17+N18+N19</f>
        <v>0</v>
      </c>
      <c r="O10" s="45">
        <f>+O11+O12+O13+O14+O16+O17+O18+O19</f>
        <v>0</v>
      </c>
      <c r="P10" s="39">
        <f t="shared" si="1"/>
        <v>103696548</v>
      </c>
      <c r="Q10" s="79">
        <f t="shared" si="2"/>
        <v>0</v>
      </c>
      <c r="R10" s="2"/>
      <c r="S10" s="2"/>
      <c r="T10" s="2"/>
      <c r="U10" s="2"/>
      <c r="V10" s="2"/>
      <c r="W10" s="2"/>
    </row>
    <row r="11" spans="1:23" ht="12.75">
      <c r="A11" s="57" t="s">
        <v>99</v>
      </c>
      <c r="B11" s="13" t="s">
        <v>18</v>
      </c>
      <c r="C11" s="40">
        <v>2000000</v>
      </c>
      <c r="D11" s="40">
        <v>5000000</v>
      </c>
      <c r="E11" s="46">
        <v>2500000</v>
      </c>
      <c r="F11" s="40"/>
      <c r="G11" s="40"/>
      <c r="H11" s="40">
        <f aca="true" t="shared" si="3" ref="H11:H42">SUM(C11:G11)</f>
        <v>9500000</v>
      </c>
      <c r="I11" s="47">
        <v>15000000</v>
      </c>
      <c r="J11" s="44"/>
      <c r="K11" s="44"/>
      <c r="L11" s="44"/>
      <c r="M11" s="45">
        <f t="shared" si="0"/>
        <v>24500000</v>
      </c>
      <c r="N11" s="45"/>
      <c r="O11" s="45"/>
      <c r="P11" s="45">
        <f t="shared" si="1"/>
        <v>24500000</v>
      </c>
      <c r="Q11" s="79">
        <f t="shared" si="2"/>
        <v>0</v>
      </c>
      <c r="R11" s="10"/>
      <c r="S11" s="10"/>
      <c r="T11" s="10"/>
      <c r="U11" s="10" t="s">
        <v>259</v>
      </c>
      <c r="V11" s="65">
        <v>0.84</v>
      </c>
      <c r="W11" s="65">
        <v>0.84</v>
      </c>
    </row>
    <row r="12" spans="1:23" ht="21.75">
      <c r="A12" s="57" t="s">
        <v>101</v>
      </c>
      <c r="B12" s="14" t="s">
        <v>204</v>
      </c>
      <c r="C12" s="40">
        <v>494560</v>
      </c>
      <c r="D12" s="40">
        <v>3400000</v>
      </c>
      <c r="E12" s="40"/>
      <c r="F12" s="40"/>
      <c r="G12" s="40"/>
      <c r="H12" s="40">
        <f t="shared" si="3"/>
        <v>3894560</v>
      </c>
      <c r="I12" s="44"/>
      <c r="J12" s="44"/>
      <c r="K12" s="44"/>
      <c r="L12" s="44"/>
      <c r="M12" s="45">
        <f t="shared" si="0"/>
        <v>3894560</v>
      </c>
      <c r="N12" s="45"/>
      <c r="O12" s="45"/>
      <c r="P12" s="45">
        <f t="shared" si="1"/>
        <v>3894560</v>
      </c>
      <c r="Q12" s="79">
        <f t="shared" si="2"/>
        <v>0</v>
      </c>
      <c r="R12" s="66" t="s">
        <v>260</v>
      </c>
      <c r="S12" s="10">
        <v>100</v>
      </c>
      <c r="T12" s="10">
        <v>100</v>
      </c>
      <c r="U12" s="10" t="s">
        <v>261</v>
      </c>
      <c r="V12" s="10">
        <f>1085+95</f>
        <v>1180</v>
      </c>
      <c r="W12" s="10">
        <v>1180</v>
      </c>
    </row>
    <row r="13" spans="1:23" ht="12.75">
      <c r="A13" s="57" t="s">
        <v>100</v>
      </c>
      <c r="B13" s="15" t="s">
        <v>19</v>
      </c>
      <c r="C13" s="40">
        <v>2500000</v>
      </c>
      <c r="D13" s="40"/>
      <c r="E13" s="40"/>
      <c r="F13" s="40"/>
      <c r="G13" s="40"/>
      <c r="H13" s="40">
        <f t="shared" si="3"/>
        <v>2500000</v>
      </c>
      <c r="I13" s="45">
        <v>567498</v>
      </c>
      <c r="J13" s="44"/>
      <c r="K13" s="44"/>
      <c r="L13" s="44"/>
      <c r="M13" s="45">
        <f t="shared" si="0"/>
        <v>3067498</v>
      </c>
      <c r="N13" s="44"/>
      <c r="O13" s="44"/>
      <c r="P13" s="45">
        <f t="shared" si="1"/>
        <v>3067498</v>
      </c>
      <c r="Q13" s="79">
        <f t="shared" si="2"/>
        <v>0</v>
      </c>
      <c r="R13" s="66" t="s">
        <v>262</v>
      </c>
      <c r="S13" s="10">
        <v>3</v>
      </c>
      <c r="T13" s="10">
        <v>3</v>
      </c>
      <c r="U13" s="10" t="s">
        <v>263</v>
      </c>
      <c r="V13" s="10">
        <v>52</v>
      </c>
      <c r="W13" s="67">
        <v>50</v>
      </c>
    </row>
    <row r="14" spans="1:23" ht="21.75">
      <c r="A14" s="57" t="s">
        <v>102</v>
      </c>
      <c r="B14" s="14" t="s">
        <v>156</v>
      </c>
      <c r="C14" s="40"/>
      <c r="D14" s="40">
        <v>3000000</v>
      </c>
      <c r="E14" s="40"/>
      <c r="F14" s="40">
        <v>2000000</v>
      </c>
      <c r="G14" s="40"/>
      <c r="H14" s="40">
        <f t="shared" si="3"/>
        <v>5000000</v>
      </c>
      <c r="I14" s="47"/>
      <c r="J14" s="44"/>
      <c r="K14" s="44"/>
      <c r="L14" s="44"/>
      <c r="M14" s="45">
        <f t="shared" si="0"/>
        <v>5000000</v>
      </c>
      <c r="N14" s="44"/>
      <c r="O14" s="44"/>
      <c r="P14" s="45">
        <f t="shared" si="1"/>
        <v>5000000</v>
      </c>
      <c r="Q14" s="79">
        <f t="shared" si="2"/>
        <v>0</v>
      </c>
      <c r="R14" s="66" t="s">
        <v>264</v>
      </c>
      <c r="S14" s="10">
        <v>100</v>
      </c>
      <c r="T14" s="10">
        <v>100</v>
      </c>
      <c r="U14" s="10"/>
      <c r="V14" s="10"/>
      <c r="W14" s="10"/>
    </row>
    <row r="15" spans="1:23" ht="12.75">
      <c r="A15" s="57" t="s">
        <v>103</v>
      </c>
      <c r="B15" s="14" t="s">
        <v>170</v>
      </c>
      <c r="C15" s="40"/>
      <c r="D15" s="40">
        <v>2000000</v>
      </c>
      <c r="E15" s="40"/>
      <c r="F15" s="40"/>
      <c r="G15" s="40"/>
      <c r="H15" s="40">
        <f t="shared" si="3"/>
        <v>2000000</v>
      </c>
      <c r="I15" s="44"/>
      <c r="J15" s="44"/>
      <c r="K15" s="44"/>
      <c r="L15" s="44"/>
      <c r="M15" s="45">
        <f t="shared" si="0"/>
        <v>2000000</v>
      </c>
      <c r="N15" s="44"/>
      <c r="O15" s="44"/>
      <c r="P15" s="45">
        <f t="shared" si="1"/>
        <v>2000000</v>
      </c>
      <c r="Q15" s="79">
        <f t="shared" si="2"/>
        <v>0</v>
      </c>
      <c r="R15" s="66" t="s">
        <v>265</v>
      </c>
      <c r="S15" s="10">
        <v>150</v>
      </c>
      <c r="T15" s="10">
        <v>200</v>
      </c>
      <c r="U15" s="10"/>
      <c r="V15" s="10"/>
      <c r="W15" s="10"/>
    </row>
    <row r="16" spans="1:23" ht="12.75">
      <c r="A16" s="57" t="s">
        <v>104</v>
      </c>
      <c r="B16" s="15" t="s">
        <v>20</v>
      </c>
      <c r="C16" s="40"/>
      <c r="D16" s="40">
        <v>5000000</v>
      </c>
      <c r="E16" s="40"/>
      <c r="F16" s="40"/>
      <c r="G16" s="40"/>
      <c r="H16" s="40">
        <f t="shared" si="3"/>
        <v>5000000</v>
      </c>
      <c r="I16" s="41"/>
      <c r="J16" s="41"/>
      <c r="K16" s="41"/>
      <c r="L16" s="41"/>
      <c r="M16" s="45">
        <f t="shared" si="0"/>
        <v>5000000</v>
      </c>
      <c r="N16" s="41"/>
      <c r="O16" s="41"/>
      <c r="P16" s="45">
        <f t="shared" si="1"/>
        <v>5000000</v>
      </c>
      <c r="Q16" s="79">
        <f t="shared" si="2"/>
        <v>0</v>
      </c>
      <c r="R16" s="2"/>
      <c r="S16" s="2"/>
      <c r="T16" s="2"/>
      <c r="U16" s="2"/>
      <c r="V16" s="2"/>
      <c r="W16" s="2"/>
    </row>
    <row r="17" spans="1:23" ht="14.25" customHeight="1">
      <c r="A17" s="57" t="s">
        <v>105</v>
      </c>
      <c r="B17" s="14" t="s">
        <v>182</v>
      </c>
      <c r="C17" s="40"/>
      <c r="D17" s="40">
        <v>2234490</v>
      </c>
      <c r="E17" s="40"/>
      <c r="F17" s="40"/>
      <c r="G17" s="40"/>
      <c r="H17" s="40">
        <f t="shared" si="3"/>
        <v>2234490</v>
      </c>
      <c r="I17" s="44"/>
      <c r="J17" s="44"/>
      <c r="K17" s="44"/>
      <c r="L17" s="44"/>
      <c r="M17" s="45">
        <f t="shared" si="0"/>
        <v>2234490</v>
      </c>
      <c r="N17" s="44"/>
      <c r="O17" s="44"/>
      <c r="P17" s="45">
        <f t="shared" si="1"/>
        <v>2234490</v>
      </c>
      <c r="Q17" s="79">
        <f t="shared" si="2"/>
        <v>0</v>
      </c>
      <c r="R17" s="2"/>
      <c r="S17" s="2"/>
      <c r="T17" s="2"/>
      <c r="U17" s="2"/>
      <c r="V17" s="2"/>
      <c r="W17" s="2"/>
    </row>
    <row r="18" spans="1:23" ht="12.75">
      <c r="A18" s="57" t="s">
        <v>106</v>
      </c>
      <c r="B18" s="15" t="s">
        <v>183</v>
      </c>
      <c r="C18" s="40"/>
      <c r="D18" s="40">
        <v>45000000</v>
      </c>
      <c r="E18" s="40"/>
      <c r="F18" s="40"/>
      <c r="G18" s="40"/>
      <c r="H18" s="40">
        <f t="shared" si="3"/>
        <v>45000000</v>
      </c>
      <c r="I18" s="44"/>
      <c r="J18" s="44"/>
      <c r="K18" s="44"/>
      <c r="L18" s="44"/>
      <c r="M18" s="45">
        <f t="shared" si="0"/>
        <v>45000000</v>
      </c>
      <c r="N18" s="45"/>
      <c r="O18" s="45"/>
      <c r="P18" s="45">
        <f t="shared" si="1"/>
        <v>45000000</v>
      </c>
      <c r="Q18" s="79">
        <f t="shared" si="2"/>
        <v>0</v>
      </c>
      <c r="R18" s="2"/>
      <c r="S18" s="2"/>
      <c r="T18" s="2"/>
      <c r="U18" s="2"/>
      <c r="V18" s="2"/>
      <c r="W18" s="2"/>
    </row>
    <row r="19" spans="1:23" ht="12.75">
      <c r="A19" s="57" t="s">
        <v>175</v>
      </c>
      <c r="B19" s="14" t="s">
        <v>181</v>
      </c>
      <c r="C19" s="40"/>
      <c r="D19" s="40">
        <v>2000000</v>
      </c>
      <c r="E19" s="40"/>
      <c r="F19" s="40"/>
      <c r="G19" s="40"/>
      <c r="H19" s="40">
        <f t="shared" si="3"/>
        <v>2000000</v>
      </c>
      <c r="I19" s="47">
        <v>13000000</v>
      </c>
      <c r="J19" s="44"/>
      <c r="K19" s="44"/>
      <c r="L19" s="44"/>
      <c r="M19" s="45">
        <f t="shared" si="0"/>
        <v>15000000</v>
      </c>
      <c r="N19" s="45"/>
      <c r="O19" s="45"/>
      <c r="P19" s="45">
        <f t="shared" si="1"/>
        <v>15000000</v>
      </c>
      <c r="Q19" s="79">
        <f t="shared" si="2"/>
        <v>0</v>
      </c>
      <c r="R19" s="2"/>
      <c r="S19" s="2"/>
      <c r="T19" s="2"/>
      <c r="U19" s="2"/>
      <c r="V19" s="2"/>
      <c r="W19" s="2"/>
    </row>
    <row r="20" spans="1:23" ht="21.75" customHeight="1">
      <c r="A20" s="58" t="s">
        <v>107</v>
      </c>
      <c r="B20" s="17" t="s">
        <v>21</v>
      </c>
      <c r="C20" s="43">
        <f>SUM(C21:C23)</f>
        <v>4800000</v>
      </c>
      <c r="D20" s="43"/>
      <c r="E20" s="43"/>
      <c r="F20" s="43"/>
      <c r="G20" s="43"/>
      <c r="H20" s="43">
        <f t="shared" si="3"/>
        <v>4800000</v>
      </c>
      <c r="I20" s="45">
        <f>+I21+I22+I23</f>
        <v>0</v>
      </c>
      <c r="J20" s="44"/>
      <c r="K20" s="44"/>
      <c r="L20" s="44"/>
      <c r="M20" s="39">
        <f t="shared" si="0"/>
        <v>4800000</v>
      </c>
      <c r="N20" s="39">
        <f>+N23+N22+N21</f>
        <v>698490</v>
      </c>
      <c r="O20" s="39">
        <f>+O23+O22+O21</f>
        <v>698490</v>
      </c>
      <c r="P20" s="39">
        <f t="shared" si="1"/>
        <v>4101510</v>
      </c>
      <c r="Q20" s="79">
        <f t="shared" si="2"/>
        <v>0</v>
      </c>
      <c r="R20" s="2"/>
      <c r="S20" s="2"/>
      <c r="T20" s="2"/>
      <c r="U20" s="2"/>
      <c r="V20" s="2"/>
      <c r="W20" s="2"/>
    </row>
    <row r="21" spans="1:23" ht="12.75">
      <c r="A21" s="59" t="s">
        <v>108</v>
      </c>
      <c r="B21" s="15" t="s">
        <v>22</v>
      </c>
      <c r="C21" s="46">
        <v>2500000</v>
      </c>
      <c r="D21" s="40"/>
      <c r="E21" s="40"/>
      <c r="F21" s="40"/>
      <c r="G21" s="40"/>
      <c r="H21" s="40">
        <f t="shared" si="3"/>
        <v>2500000</v>
      </c>
      <c r="I21" s="44"/>
      <c r="J21" s="44"/>
      <c r="K21" s="44"/>
      <c r="L21" s="44"/>
      <c r="M21" s="45">
        <f t="shared" si="0"/>
        <v>2500000</v>
      </c>
      <c r="N21" s="47">
        <f>236000+197200</f>
        <v>433200</v>
      </c>
      <c r="O21" s="47">
        <f>236000+197200</f>
        <v>433200</v>
      </c>
      <c r="P21" s="45">
        <f t="shared" si="1"/>
        <v>2066800</v>
      </c>
      <c r="Q21" s="79">
        <f t="shared" si="2"/>
        <v>0</v>
      </c>
      <c r="R21" s="2"/>
      <c r="S21" s="2"/>
      <c r="T21" s="2"/>
      <c r="U21" s="2"/>
      <c r="V21" s="2"/>
      <c r="W21" s="2"/>
    </row>
    <row r="22" spans="1:23" ht="12.75">
      <c r="A22" s="59" t="s">
        <v>109</v>
      </c>
      <c r="B22" s="15" t="s">
        <v>23</v>
      </c>
      <c r="C22" s="46">
        <v>1500000</v>
      </c>
      <c r="D22" s="40"/>
      <c r="E22" s="40"/>
      <c r="F22" s="40"/>
      <c r="G22" s="40"/>
      <c r="H22" s="40">
        <f t="shared" si="3"/>
        <v>1500000</v>
      </c>
      <c r="I22" s="41"/>
      <c r="J22" s="41"/>
      <c r="K22" s="41"/>
      <c r="L22" s="41"/>
      <c r="M22" s="45">
        <f t="shared" si="0"/>
        <v>1500000</v>
      </c>
      <c r="N22" s="48">
        <f>56640+87240</f>
        <v>143880</v>
      </c>
      <c r="O22" s="48">
        <f>56640+87240</f>
        <v>143880</v>
      </c>
      <c r="P22" s="45">
        <f t="shared" si="1"/>
        <v>1356120</v>
      </c>
      <c r="Q22" s="79">
        <f t="shared" si="2"/>
        <v>0</v>
      </c>
      <c r="R22" s="2"/>
      <c r="S22" s="2"/>
      <c r="T22" s="2"/>
      <c r="U22" s="2"/>
      <c r="V22" s="2"/>
      <c r="W22" s="2"/>
    </row>
    <row r="23" spans="1:23" ht="12.75">
      <c r="A23" s="59" t="s">
        <v>110</v>
      </c>
      <c r="B23" s="15" t="s">
        <v>24</v>
      </c>
      <c r="C23" s="46">
        <v>800000</v>
      </c>
      <c r="D23" s="40"/>
      <c r="E23" s="40"/>
      <c r="F23" s="40"/>
      <c r="G23" s="40"/>
      <c r="H23" s="40">
        <f t="shared" si="3"/>
        <v>800000</v>
      </c>
      <c r="I23" s="41"/>
      <c r="J23" s="41"/>
      <c r="K23" s="41"/>
      <c r="L23" s="41"/>
      <c r="M23" s="45">
        <f t="shared" si="0"/>
        <v>800000</v>
      </c>
      <c r="N23" s="48">
        <v>121410</v>
      </c>
      <c r="O23" s="48">
        <v>121410</v>
      </c>
      <c r="P23" s="45">
        <f t="shared" si="1"/>
        <v>678590</v>
      </c>
      <c r="Q23" s="79">
        <f t="shared" si="2"/>
        <v>0</v>
      </c>
      <c r="R23" s="2"/>
      <c r="S23" s="2"/>
      <c r="T23" s="2"/>
      <c r="U23" s="2"/>
      <c r="V23" s="2"/>
      <c r="W23" s="2"/>
    </row>
    <row r="24" spans="1:23" ht="12.75">
      <c r="A24" s="55" t="s">
        <v>111</v>
      </c>
      <c r="B24" s="27" t="s">
        <v>25</v>
      </c>
      <c r="C24" s="43">
        <f>SUM(C25)</f>
        <v>2071495</v>
      </c>
      <c r="D24" s="43">
        <f>SUM(D25:D26)</f>
        <v>34000000</v>
      </c>
      <c r="E24" s="40"/>
      <c r="F24" s="40"/>
      <c r="G24" s="40"/>
      <c r="H24" s="43">
        <f t="shared" si="3"/>
        <v>36071495</v>
      </c>
      <c r="I24" s="39">
        <f>+I25+I26</f>
        <v>233020</v>
      </c>
      <c r="J24" s="44"/>
      <c r="K24" s="44"/>
      <c r="L24" s="44"/>
      <c r="M24" s="39">
        <f t="shared" si="0"/>
        <v>36304515</v>
      </c>
      <c r="N24" s="45">
        <f>+N25+N26</f>
        <v>0</v>
      </c>
      <c r="O24" s="45">
        <f>+O25+O26</f>
        <v>0</v>
      </c>
      <c r="P24" s="39">
        <f t="shared" si="1"/>
        <v>36304515</v>
      </c>
      <c r="Q24" s="79">
        <f t="shared" si="2"/>
        <v>0</v>
      </c>
      <c r="R24" s="2"/>
      <c r="S24" s="2"/>
      <c r="T24" s="2"/>
      <c r="U24" s="2"/>
      <c r="V24" s="2"/>
      <c r="W24" s="2"/>
    </row>
    <row r="25" spans="1:23" ht="12.75">
      <c r="A25" s="57" t="s">
        <v>112</v>
      </c>
      <c r="B25" s="13" t="s">
        <v>95</v>
      </c>
      <c r="C25" s="46">
        <v>2071495</v>
      </c>
      <c r="D25" s="46">
        <v>32000000</v>
      </c>
      <c r="E25" s="40"/>
      <c r="F25" s="40"/>
      <c r="G25" s="40"/>
      <c r="H25" s="40">
        <f t="shared" si="3"/>
        <v>34071495</v>
      </c>
      <c r="I25" s="47">
        <v>233020</v>
      </c>
      <c r="J25" s="44"/>
      <c r="K25" s="44"/>
      <c r="L25" s="44"/>
      <c r="M25" s="45">
        <f t="shared" si="0"/>
        <v>34304515</v>
      </c>
      <c r="N25" s="44"/>
      <c r="O25" s="44"/>
      <c r="P25" s="45">
        <f t="shared" si="1"/>
        <v>34304515</v>
      </c>
      <c r="Q25" s="79">
        <f t="shared" si="2"/>
        <v>0</v>
      </c>
      <c r="R25" s="10" t="s">
        <v>266</v>
      </c>
      <c r="S25" s="10">
        <v>1085</v>
      </c>
      <c r="T25" s="10">
        <v>1085</v>
      </c>
      <c r="U25" s="2"/>
      <c r="V25" s="2"/>
      <c r="W25" s="2"/>
    </row>
    <row r="26" spans="1:23" ht="12.75">
      <c r="A26" s="57" t="s">
        <v>113</v>
      </c>
      <c r="B26" s="13" t="s">
        <v>92</v>
      </c>
      <c r="C26" s="46"/>
      <c r="D26" s="46">
        <v>2000000</v>
      </c>
      <c r="E26" s="40"/>
      <c r="F26" s="40"/>
      <c r="G26" s="40"/>
      <c r="H26" s="40">
        <f t="shared" si="3"/>
        <v>2000000</v>
      </c>
      <c r="I26" s="41"/>
      <c r="J26" s="41"/>
      <c r="K26" s="41"/>
      <c r="L26" s="41"/>
      <c r="M26" s="45">
        <f t="shared" si="0"/>
        <v>2000000</v>
      </c>
      <c r="N26" s="41"/>
      <c r="O26" s="41"/>
      <c r="P26" s="45">
        <f t="shared" si="1"/>
        <v>2000000</v>
      </c>
      <c r="Q26" s="79">
        <f t="shared" si="2"/>
        <v>0</v>
      </c>
      <c r="R26" s="10" t="s">
        <v>267</v>
      </c>
      <c r="S26" s="10">
        <v>7</v>
      </c>
      <c r="T26" s="10">
        <v>7</v>
      </c>
      <c r="U26" s="2"/>
      <c r="V26" s="2"/>
      <c r="W26" s="2"/>
    </row>
    <row r="27" spans="1:23" ht="12.75">
      <c r="A27" s="60" t="s">
        <v>189</v>
      </c>
      <c r="B27" s="11" t="s">
        <v>26</v>
      </c>
      <c r="C27" s="43">
        <f>SUM(C28+C32)</f>
        <v>98754667</v>
      </c>
      <c r="D27" s="43">
        <f>SUM(D28+D32)</f>
        <v>66303952</v>
      </c>
      <c r="E27" s="43">
        <f>SUM(E28)</f>
        <v>43000000</v>
      </c>
      <c r="F27" s="40"/>
      <c r="G27" s="43">
        <f>SUM(G28)</f>
        <v>1000000</v>
      </c>
      <c r="H27" s="43">
        <f t="shared" si="3"/>
        <v>209058619</v>
      </c>
      <c r="I27" s="41"/>
      <c r="J27" s="41"/>
      <c r="K27" s="41"/>
      <c r="L27" s="41"/>
      <c r="M27" s="39">
        <f t="shared" si="0"/>
        <v>209058619</v>
      </c>
      <c r="N27" s="41"/>
      <c r="O27" s="41"/>
      <c r="P27" s="39">
        <f t="shared" si="1"/>
        <v>209058619</v>
      </c>
      <c r="Q27" s="79">
        <f t="shared" si="2"/>
        <v>0</v>
      </c>
      <c r="R27" s="2"/>
      <c r="S27" s="2"/>
      <c r="T27" s="2"/>
      <c r="U27" s="2"/>
      <c r="V27" s="2"/>
      <c r="W27" s="2"/>
    </row>
    <row r="28" spans="1:23" ht="12.75">
      <c r="A28" s="55" t="s">
        <v>114</v>
      </c>
      <c r="B28" s="9" t="s">
        <v>27</v>
      </c>
      <c r="C28" s="43">
        <f>SUM(C29:C31)</f>
        <v>93845911</v>
      </c>
      <c r="D28" s="43">
        <f>SUM(D29:D31)</f>
        <v>6303952</v>
      </c>
      <c r="E28" s="43">
        <f>SUM(E29)</f>
        <v>43000000</v>
      </c>
      <c r="F28" s="40"/>
      <c r="G28" s="43">
        <f>SUM(G29)</f>
        <v>1000000</v>
      </c>
      <c r="H28" s="43">
        <f t="shared" si="3"/>
        <v>144149863</v>
      </c>
      <c r="I28" s="39">
        <f>+I29+I30+I31</f>
        <v>9286349</v>
      </c>
      <c r="J28" s="44"/>
      <c r="K28" s="44"/>
      <c r="L28" s="44"/>
      <c r="M28" s="39">
        <f t="shared" si="0"/>
        <v>153436212</v>
      </c>
      <c r="N28" s="39">
        <f>+N29+N30+N31</f>
        <v>40794568</v>
      </c>
      <c r="O28" s="39">
        <f>+O29+O30+O31</f>
        <v>40794568</v>
      </c>
      <c r="P28" s="39">
        <f t="shared" si="1"/>
        <v>112641644</v>
      </c>
      <c r="Q28" s="79">
        <f t="shared" si="2"/>
        <v>0</v>
      </c>
      <c r="R28" s="2"/>
      <c r="S28" s="2"/>
      <c r="T28" s="2"/>
      <c r="U28" s="2"/>
      <c r="V28" s="2"/>
      <c r="W28" s="2"/>
    </row>
    <row r="29" spans="1:23" ht="12" customHeight="1">
      <c r="A29" s="59" t="s">
        <v>115</v>
      </c>
      <c r="B29" s="16" t="s">
        <v>28</v>
      </c>
      <c r="C29" s="40">
        <v>93845911</v>
      </c>
      <c r="D29" s="40"/>
      <c r="E29" s="40">
        <v>43000000</v>
      </c>
      <c r="F29" s="40"/>
      <c r="G29" s="40">
        <v>1000000</v>
      </c>
      <c r="H29" s="40">
        <f t="shared" si="3"/>
        <v>137845911</v>
      </c>
      <c r="I29" s="47">
        <v>9286349</v>
      </c>
      <c r="J29" s="44"/>
      <c r="K29" s="44"/>
      <c r="L29" s="44"/>
      <c r="M29" s="45">
        <f t="shared" si="0"/>
        <v>147132260</v>
      </c>
      <c r="N29" s="47">
        <f>7004241+6491191+13870623+13428513</f>
        <v>40794568</v>
      </c>
      <c r="O29" s="47">
        <f>7004241+6491191+13870623+13428513</f>
        <v>40794568</v>
      </c>
      <c r="P29" s="45">
        <f t="shared" si="1"/>
        <v>106337692</v>
      </c>
      <c r="Q29" s="79">
        <f t="shared" si="2"/>
        <v>0</v>
      </c>
      <c r="R29" s="66" t="s">
        <v>268</v>
      </c>
      <c r="S29" s="10">
        <v>100</v>
      </c>
      <c r="T29" s="10">
        <v>100</v>
      </c>
      <c r="U29" s="10" t="s">
        <v>269</v>
      </c>
      <c r="V29" s="10">
        <v>0</v>
      </c>
      <c r="W29" s="10">
        <v>0</v>
      </c>
    </row>
    <row r="30" spans="1:23" ht="12.75" customHeight="1">
      <c r="A30" s="59" t="s">
        <v>116</v>
      </c>
      <c r="B30" s="16" t="s">
        <v>157</v>
      </c>
      <c r="C30" s="40"/>
      <c r="D30" s="40">
        <v>292000</v>
      </c>
      <c r="E30" s="40"/>
      <c r="F30" s="40"/>
      <c r="G30" s="40"/>
      <c r="H30" s="40">
        <f t="shared" si="3"/>
        <v>292000</v>
      </c>
      <c r="I30" s="44"/>
      <c r="J30" s="44"/>
      <c r="K30" s="44"/>
      <c r="L30" s="44"/>
      <c r="M30" s="45">
        <f t="shared" si="0"/>
        <v>292000</v>
      </c>
      <c r="N30" s="44"/>
      <c r="O30" s="44"/>
      <c r="P30" s="45">
        <f t="shared" si="1"/>
        <v>292000</v>
      </c>
      <c r="Q30" s="79">
        <f t="shared" si="2"/>
        <v>0</v>
      </c>
      <c r="R30" s="66" t="s">
        <v>270</v>
      </c>
      <c r="S30" s="10">
        <v>3430</v>
      </c>
      <c r="T30" s="10">
        <v>3400</v>
      </c>
      <c r="U30" s="10" t="s">
        <v>271</v>
      </c>
      <c r="V30" s="10"/>
      <c r="W30" s="10"/>
    </row>
    <row r="31" spans="1:23" ht="12.75">
      <c r="A31" s="59" t="s">
        <v>117</v>
      </c>
      <c r="B31" s="16" t="s">
        <v>31</v>
      </c>
      <c r="C31" s="40"/>
      <c r="D31" s="40">
        <v>6011952</v>
      </c>
      <c r="E31" s="40"/>
      <c r="F31" s="40"/>
      <c r="G31" s="40"/>
      <c r="H31" s="40">
        <f t="shared" si="3"/>
        <v>6011952</v>
      </c>
      <c r="I31" s="44"/>
      <c r="J31" s="44"/>
      <c r="K31" s="44"/>
      <c r="L31" s="44"/>
      <c r="M31" s="45">
        <f t="shared" si="0"/>
        <v>6011952</v>
      </c>
      <c r="N31" s="44"/>
      <c r="O31" s="44"/>
      <c r="P31" s="45">
        <f t="shared" si="1"/>
        <v>6011952</v>
      </c>
      <c r="Q31" s="79">
        <f t="shared" si="2"/>
        <v>0</v>
      </c>
      <c r="R31" s="2"/>
      <c r="S31" s="2"/>
      <c r="T31" s="2"/>
      <c r="U31" s="2"/>
      <c r="V31" s="2"/>
      <c r="W31" s="2"/>
    </row>
    <row r="32" spans="1:23" ht="12.75">
      <c r="A32" s="55" t="s">
        <v>118</v>
      </c>
      <c r="B32" s="17" t="s">
        <v>29</v>
      </c>
      <c r="C32" s="43">
        <f>SUM(C33)</f>
        <v>4908756</v>
      </c>
      <c r="D32" s="43">
        <f>SUM(D33:D34)</f>
        <v>60000000</v>
      </c>
      <c r="E32" s="40"/>
      <c r="F32" s="40"/>
      <c r="G32" s="40"/>
      <c r="H32" s="43">
        <f t="shared" si="3"/>
        <v>64908756</v>
      </c>
      <c r="I32" s="41">
        <f>+I33+I34</f>
        <v>20480059</v>
      </c>
      <c r="J32" s="41"/>
      <c r="K32" s="41"/>
      <c r="L32" s="41"/>
      <c r="M32" s="39">
        <f t="shared" si="0"/>
        <v>85388815</v>
      </c>
      <c r="N32" s="41">
        <f>+N33+N34</f>
        <v>0</v>
      </c>
      <c r="O32" s="41">
        <f>+O33+O34</f>
        <v>0</v>
      </c>
      <c r="P32" s="39">
        <f t="shared" si="1"/>
        <v>85388815</v>
      </c>
      <c r="Q32" s="79">
        <f t="shared" si="2"/>
        <v>0</v>
      </c>
      <c r="R32" s="6"/>
      <c r="S32" s="6"/>
      <c r="T32" s="6"/>
      <c r="U32" s="10" t="s">
        <v>272</v>
      </c>
      <c r="V32" s="2"/>
      <c r="W32" s="2"/>
    </row>
    <row r="33" spans="1:23" ht="12.75">
      <c r="A33" s="57" t="s">
        <v>174</v>
      </c>
      <c r="B33" s="18" t="s">
        <v>30</v>
      </c>
      <c r="C33" s="40">
        <v>4908756</v>
      </c>
      <c r="D33" s="40"/>
      <c r="E33" s="40"/>
      <c r="F33" s="40"/>
      <c r="G33" s="40"/>
      <c r="H33" s="40">
        <f t="shared" si="3"/>
        <v>4908756</v>
      </c>
      <c r="I33" s="48">
        <v>480059</v>
      </c>
      <c r="J33" s="41"/>
      <c r="K33" s="41"/>
      <c r="L33" s="41"/>
      <c r="M33" s="45">
        <f t="shared" si="0"/>
        <v>5388815</v>
      </c>
      <c r="N33" s="41"/>
      <c r="O33" s="41"/>
      <c r="P33" s="45">
        <f t="shared" si="1"/>
        <v>5388815</v>
      </c>
      <c r="Q33" s="79">
        <f t="shared" si="2"/>
        <v>0</v>
      </c>
      <c r="R33" s="2"/>
      <c r="S33" s="2"/>
      <c r="T33" s="2"/>
      <c r="U33" s="2"/>
      <c r="V33" s="2"/>
      <c r="W33" s="2"/>
    </row>
    <row r="34" spans="1:23" ht="12.75">
      <c r="A34" s="57" t="s">
        <v>173</v>
      </c>
      <c r="B34" s="10" t="s">
        <v>172</v>
      </c>
      <c r="C34" s="49"/>
      <c r="D34" s="40">
        <v>60000000</v>
      </c>
      <c r="E34" s="40"/>
      <c r="F34" s="40"/>
      <c r="G34" s="40"/>
      <c r="H34" s="40">
        <f t="shared" si="3"/>
        <v>60000000</v>
      </c>
      <c r="I34" s="45">
        <v>20000000</v>
      </c>
      <c r="J34" s="44"/>
      <c r="K34" s="44"/>
      <c r="L34" s="44"/>
      <c r="M34" s="45">
        <f t="shared" si="0"/>
        <v>80000000</v>
      </c>
      <c r="N34" s="44"/>
      <c r="O34" s="44"/>
      <c r="P34" s="45">
        <f t="shared" si="1"/>
        <v>80000000</v>
      </c>
      <c r="Q34" s="79">
        <f t="shared" si="2"/>
        <v>0</v>
      </c>
      <c r="R34" s="2"/>
      <c r="S34" s="2"/>
      <c r="T34" s="2"/>
      <c r="U34" s="2"/>
      <c r="V34" s="2"/>
      <c r="W34" s="2"/>
    </row>
    <row r="35" spans="1:23" ht="12.75">
      <c r="A35" s="55" t="s">
        <v>119</v>
      </c>
      <c r="B35" s="11" t="s">
        <v>32</v>
      </c>
      <c r="C35" s="43">
        <f>SUM(C36+C44)</f>
        <v>266439683</v>
      </c>
      <c r="D35" s="43">
        <f>SUM(D36+D44)</f>
        <v>10910000</v>
      </c>
      <c r="E35" s="43">
        <f>SUM(E36+E44)</f>
        <v>16500000</v>
      </c>
      <c r="F35" s="40"/>
      <c r="G35" s="40"/>
      <c r="H35" s="43">
        <f t="shared" si="3"/>
        <v>293849683</v>
      </c>
      <c r="I35" s="41">
        <f>++I36+I37+I38+I39+I40+I41+I42+I43</f>
        <v>19730129</v>
      </c>
      <c r="J35" s="41"/>
      <c r="K35" s="41"/>
      <c r="L35" s="41"/>
      <c r="M35" s="39">
        <f t="shared" si="0"/>
        <v>313579812</v>
      </c>
      <c r="N35" s="41">
        <f>+N36+N44</f>
        <v>5467860</v>
      </c>
      <c r="O35" s="41">
        <f>+O36+O44</f>
        <v>4467860</v>
      </c>
      <c r="P35" s="39">
        <f t="shared" si="1"/>
        <v>309111952</v>
      </c>
      <c r="Q35" s="79">
        <f t="shared" si="2"/>
        <v>1000000</v>
      </c>
      <c r="R35" s="2"/>
      <c r="S35" s="2"/>
      <c r="T35" s="2"/>
      <c r="U35" s="2"/>
      <c r="V35" s="2"/>
      <c r="W35" s="2"/>
    </row>
    <row r="36" spans="1:23" ht="12.75">
      <c r="A36" s="55" t="s">
        <v>120</v>
      </c>
      <c r="B36" s="19" t="s">
        <v>33</v>
      </c>
      <c r="C36" s="43">
        <f>SUM(C37:C42)</f>
        <v>185689683</v>
      </c>
      <c r="D36" s="40"/>
      <c r="E36" s="43">
        <f>SUM(E37:E43)</f>
        <v>1500000</v>
      </c>
      <c r="F36" s="40"/>
      <c r="G36" s="40"/>
      <c r="H36" s="43">
        <f t="shared" si="3"/>
        <v>187189683</v>
      </c>
      <c r="I36" s="41"/>
      <c r="J36" s="41"/>
      <c r="K36" s="41"/>
      <c r="L36" s="41"/>
      <c r="M36" s="39">
        <f t="shared" si="0"/>
        <v>187189683</v>
      </c>
      <c r="N36" s="41">
        <f>+N37+N38+N39+N40+N41+N42+N43</f>
        <v>5467860</v>
      </c>
      <c r="O36" s="41">
        <f>+O37+O38+O39+O40+O41+O42+O43</f>
        <v>4467860</v>
      </c>
      <c r="P36" s="39">
        <f t="shared" si="1"/>
        <v>182721823</v>
      </c>
      <c r="Q36" s="79">
        <f t="shared" si="2"/>
        <v>1000000</v>
      </c>
      <c r="R36" s="2"/>
      <c r="S36" s="2"/>
      <c r="T36" s="2"/>
      <c r="U36" s="2"/>
      <c r="V36" s="2"/>
      <c r="W36" s="2"/>
    </row>
    <row r="37" spans="1:23" ht="12.75">
      <c r="A37" s="57" t="s">
        <v>122</v>
      </c>
      <c r="B37" s="20" t="s">
        <v>184</v>
      </c>
      <c r="C37" s="46">
        <v>39750000</v>
      </c>
      <c r="D37" s="40"/>
      <c r="E37" s="40"/>
      <c r="F37" s="40"/>
      <c r="G37" s="40"/>
      <c r="H37" s="40">
        <f t="shared" si="3"/>
        <v>39750000</v>
      </c>
      <c r="I37" s="45"/>
      <c r="J37" s="44"/>
      <c r="K37" s="44"/>
      <c r="L37" s="44"/>
      <c r="M37" s="45">
        <f t="shared" si="0"/>
        <v>39750000</v>
      </c>
      <c r="N37" s="45"/>
      <c r="O37" s="45"/>
      <c r="P37" s="45">
        <f t="shared" si="1"/>
        <v>39750000</v>
      </c>
      <c r="Q37" s="79">
        <f t="shared" si="2"/>
        <v>0</v>
      </c>
      <c r="R37" s="10" t="s">
        <v>273</v>
      </c>
      <c r="S37" s="10">
        <v>65</v>
      </c>
      <c r="T37" s="10">
        <v>85</v>
      </c>
      <c r="U37" s="10"/>
      <c r="V37" s="10"/>
      <c r="W37" s="10"/>
    </row>
    <row r="38" spans="1:23" ht="12.75">
      <c r="A38" s="57" t="s">
        <v>123</v>
      </c>
      <c r="B38" s="14" t="s">
        <v>185</v>
      </c>
      <c r="C38" s="46">
        <v>9568095</v>
      </c>
      <c r="D38" s="40"/>
      <c r="E38" s="40"/>
      <c r="F38" s="40"/>
      <c r="G38" s="40"/>
      <c r="H38" s="40">
        <f t="shared" si="3"/>
        <v>9568095</v>
      </c>
      <c r="I38" s="44"/>
      <c r="J38" s="44"/>
      <c r="K38" s="44"/>
      <c r="L38" s="44"/>
      <c r="M38" s="45">
        <f t="shared" si="0"/>
        <v>9568095</v>
      </c>
      <c r="N38" s="45"/>
      <c r="O38" s="45"/>
      <c r="P38" s="45">
        <f t="shared" si="1"/>
        <v>9568095</v>
      </c>
      <c r="Q38" s="79">
        <f t="shared" si="2"/>
        <v>0</v>
      </c>
      <c r="R38" s="10"/>
      <c r="S38" s="10"/>
      <c r="T38" s="10"/>
      <c r="U38" s="10"/>
      <c r="V38" s="10"/>
      <c r="W38" s="10"/>
    </row>
    <row r="39" spans="1:23" ht="12.75">
      <c r="A39" s="57" t="s">
        <v>124</v>
      </c>
      <c r="B39" s="13" t="s">
        <v>158</v>
      </c>
      <c r="C39" s="46">
        <v>21439683</v>
      </c>
      <c r="D39" s="40"/>
      <c r="E39" s="40"/>
      <c r="F39" s="40"/>
      <c r="G39" s="40"/>
      <c r="H39" s="40">
        <f t="shared" si="3"/>
        <v>21439683</v>
      </c>
      <c r="I39" s="47">
        <v>19730129</v>
      </c>
      <c r="J39" s="44"/>
      <c r="K39" s="44"/>
      <c r="L39" s="44"/>
      <c r="M39" s="45">
        <f t="shared" si="0"/>
        <v>41169812</v>
      </c>
      <c r="N39" s="44"/>
      <c r="O39" s="44"/>
      <c r="P39" s="45">
        <f t="shared" si="1"/>
        <v>41169812</v>
      </c>
      <c r="Q39" s="79">
        <f t="shared" si="2"/>
        <v>0</v>
      </c>
      <c r="R39" s="10"/>
      <c r="S39" s="10"/>
      <c r="T39" s="10"/>
      <c r="U39" s="10"/>
      <c r="V39" s="10"/>
      <c r="W39" s="10"/>
    </row>
    <row r="40" spans="1:23" ht="12.75">
      <c r="A40" s="57" t="s">
        <v>125</v>
      </c>
      <c r="B40" s="14" t="s">
        <v>34</v>
      </c>
      <c r="C40" s="46">
        <v>15000000</v>
      </c>
      <c r="D40" s="40"/>
      <c r="E40" s="40"/>
      <c r="F40" s="40"/>
      <c r="G40" s="40"/>
      <c r="H40" s="40">
        <f t="shared" si="3"/>
        <v>15000000</v>
      </c>
      <c r="I40" s="44"/>
      <c r="J40" s="44"/>
      <c r="K40" s="44"/>
      <c r="L40" s="44"/>
      <c r="M40" s="45">
        <f t="shared" si="0"/>
        <v>15000000</v>
      </c>
      <c r="N40" s="47">
        <v>2000000</v>
      </c>
      <c r="O40" s="47">
        <v>1000000</v>
      </c>
      <c r="P40" s="45">
        <f t="shared" si="1"/>
        <v>14000000</v>
      </c>
      <c r="Q40" s="80">
        <f t="shared" si="2"/>
        <v>1000000</v>
      </c>
      <c r="R40" s="10"/>
      <c r="S40" s="10"/>
      <c r="T40" s="10"/>
      <c r="U40" s="10"/>
      <c r="V40" s="10"/>
      <c r="W40" s="10"/>
    </row>
    <row r="41" spans="1:23" ht="12.75">
      <c r="A41" s="57" t="s">
        <v>126</v>
      </c>
      <c r="B41" s="13" t="s">
        <v>35</v>
      </c>
      <c r="C41" s="46">
        <v>79931905</v>
      </c>
      <c r="D41" s="40"/>
      <c r="E41" s="40"/>
      <c r="F41" s="40"/>
      <c r="G41" s="40"/>
      <c r="H41" s="40">
        <f t="shared" si="3"/>
        <v>79931905</v>
      </c>
      <c r="I41" s="41"/>
      <c r="J41" s="41"/>
      <c r="K41" s="41"/>
      <c r="L41" s="41"/>
      <c r="M41" s="45">
        <f t="shared" si="0"/>
        <v>79931905</v>
      </c>
      <c r="N41" s="41"/>
      <c r="O41" s="41"/>
      <c r="P41" s="45">
        <f t="shared" si="1"/>
        <v>79931905</v>
      </c>
      <c r="Q41" s="79">
        <f t="shared" si="2"/>
        <v>0</v>
      </c>
      <c r="R41" s="10"/>
      <c r="S41" s="10"/>
      <c r="T41" s="10"/>
      <c r="U41" s="10"/>
      <c r="V41" s="10"/>
      <c r="W41" s="10"/>
    </row>
    <row r="42" spans="1:23" ht="12.75">
      <c r="A42" s="57" t="s">
        <v>127</v>
      </c>
      <c r="B42" s="13" t="s">
        <v>36</v>
      </c>
      <c r="C42" s="46">
        <v>20000000</v>
      </c>
      <c r="D42" s="40"/>
      <c r="E42" s="40"/>
      <c r="F42" s="40"/>
      <c r="G42" s="40"/>
      <c r="H42" s="40">
        <f t="shared" si="3"/>
        <v>20000000</v>
      </c>
      <c r="I42" s="44"/>
      <c r="J42" s="44"/>
      <c r="K42" s="44"/>
      <c r="L42" s="44"/>
      <c r="M42" s="45">
        <f t="shared" si="0"/>
        <v>20000000</v>
      </c>
      <c r="N42" s="47">
        <f>624320+1032610+702680+1108250</f>
        <v>3467860</v>
      </c>
      <c r="O42" s="47">
        <f>624320+1032610+702680+1108250</f>
        <v>3467860</v>
      </c>
      <c r="P42" s="45">
        <f t="shared" si="1"/>
        <v>16532140</v>
      </c>
      <c r="Q42" s="79">
        <f t="shared" si="2"/>
        <v>0</v>
      </c>
      <c r="R42" s="10"/>
      <c r="S42" s="10"/>
      <c r="T42" s="10"/>
      <c r="U42" s="10"/>
      <c r="V42" s="10"/>
      <c r="W42" s="10"/>
    </row>
    <row r="43" spans="1:23" ht="12.75">
      <c r="A43" s="57" t="s">
        <v>159</v>
      </c>
      <c r="B43" s="13" t="s">
        <v>160</v>
      </c>
      <c r="C43" s="37"/>
      <c r="D43" s="43"/>
      <c r="E43" s="40">
        <v>1500000</v>
      </c>
      <c r="F43" s="40"/>
      <c r="G43" s="40"/>
      <c r="H43" s="40">
        <f>SUM(C43:G43)</f>
        <v>1500000</v>
      </c>
      <c r="I43" s="45"/>
      <c r="J43" s="44"/>
      <c r="K43" s="44"/>
      <c r="L43" s="44"/>
      <c r="M43" s="45">
        <f t="shared" si="0"/>
        <v>1500000</v>
      </c>
      <c r="N43" s="45"/>
      <c r="O43" s="45"/>
      <c r="P43" s="45">
        <f t="shared" si="1"/>
        <v>1500000</v>
      </c>
      <c r="Q43" s="79">
        <f t="shared" si="2"/>
        <v>0</v>
      </c>
      <c r="R43" s="10"/>
      <c r="S43" s="10"/>
      <c r="T43" s="10"/>
      <c r="U43" s="10"/>
      <c r="V43" s="10"/>
      <c r="W43" s="10"/>
    </row>
    <row r="44" spans="1:23" ht="12.75">
      <c r="A44" s="55" t="s">
        <v>128</v>
      </c>
      <c r="B44" s="12" t="s">
        <v>121</v>
      </c>
      <c r="C44" s="43">
        <f>SUM(C45:C51)</f>
        <v>80750000</v>
      </c>
      <c r="D44" s="43">
        <f>SUM(D45:D52)</f>
        <v>10910000</v>
      </c>
      <c r="E44" s="43">
        <f>SUM(E46)</f>
        <v>15000000</v>
      </c>
      <c r="F44" s="40"/>
      <c r="G44" s="40"/>
      <c r="H44" s="43">
        <f>SUM(C44:G44)</f>
        <v>106660000</v>
      </c>
      <c r="I44" s="39">
        <f>+I45+I46+I47+I48+I50+I51+I52</f>
        <v>10000000</v>
      </c>
      <c r="J44" s="44"/>
      <c r="K44" s="44"/>
      <c r="L44" s="44"/>
      <c r="M44" s="39">
        <f t="shared" si="0"/>
        <v>116660000</v>
      </c>
      <c r="N44" s="45">
        <f>+N45+N46+N47+N48+N49+N50+N51+N52</f>
        <v>0</v>
      </c>
      <c r="O44" s="45">
        <f>+O45+O46+O47+O48+O49+O50+O51+O52</f>
        <v>0</v>
      </c>
      <c r="P44" s="39">
        <f t="shared" si="1"/>
        <v>116660000</v>
      </c>
      <c r="Q44" s="79">
        <f t="shared" si="2"/>
        <v>0</v>
      </c>
      <c r="R44" s="10"/>
      <c r="S44" s="10"/>
      <c r="T44" s="10"/>
      <c r="U44" s="10" t="s">
        <v>274</v>
      </c>
      <c r="V44" s="10">
        <v>5</v>
      </c>
      <c r="W44" s="10">
        <v>5</v>
      </c>
    </row>
    <row r="45" spans="1:23" ht="12.75">
      <c r="A45" s="57" t="s">
        <v>129</v>
      </c>
      <c r="B45" s="13" t="s">
        <v>201</v>
      </c>
      <c r="C45" s="46">
        <v>10000000</v>
      </c>
      <c r="D45" s="40"/>
      <c r="E45" s="40"/>
      <c r="F45" s="40"/>
      <c r="G45" s="40"/>
      <c r="H45" s="40">
        <f aca="true" t="shared" si="4" ref="H45:H51">SUM(C45:G45)</f>
        <v>10000000</v>
      </c>
      <c r="I45" s="44"/>
      <c r="J45" s="44"/>
      <c r="K45" s="44"/>
      <c r="L45" s="44"/>
      <c r="M45" s="45">
        <f t="shared" si="0"/>
        <v>10000000</v>
      </c>
      <c r="N45" s="45"/>
      <c r="O45" s="45"/>
      <c r="P45" s="45">
        <f t="shared" si="1"/>
        <v>10000000</v>
      </c>
      <c r="Q45" s="79">
        <f t="shared" si="2"/>
        <v>0</v>
      </c>
      <c r="R45" s="10"/>
      <c r="S45" s="10"/>
      <c r="T45" s="10"/>
      <c r="U45" s="10"/>
      <c r="V45" s="10"/>
      <c r="W45" s="10"/>
    </row>
    <row r="46" spans="1:23" ht="14.25" customHeight="1">
      <c r="A46" s="57" t="s">
        <v>130</v>
      </c>
      <c r="B46" s="14" t="s">
        <v>177</v>
      </c>
      <c r="C46" s="46">
        <v>10000000</v>
      </c>
      <c r="D46" s="40"/>
      <c r="E46" s="46">
        <v>15000000</v>
      </c>
      <c r="F46" s="40"/>
      <c r="G46" s="40"/>
      <c r="H46" s="40">
        <f t="shared" si="4"/>
        <v>25000000</v>
      </c>
      <c r="I46" s="41"/>
      <c r="J46" s="41"/>
      <c r="K46" s="41"/>
      <c r="L46" s="41"/>
      <c r="M46" s="45">
        <f t="shared" si="0"/>
        <v>25000000</v>
      </c>
      <c r="N46" s="41"/>
      <c r="O46" s="41"/>
      <c r="P46" s="45">
        <f t="shared" si="1"/>
        <v>25000000</v>
      </c>
      <c r="Q46" s="79">
        <f t="shared" si="2"/>
        <v>0</v>
      </c>
      <c r="R46" s="68"/>
      <c r="S46" s="68"/>
      <c r="T46" s="68"/>
      <c r="U46" s="68"/>
      <c r="V46" s="68"/>
      <c r="W46" s="68"/>
    </row>
    <row r="47" spans="1:23" ht="14.25" customHeight="1">
      <c r="A47" s="57" t="s">
        <v>131</v>
      </c>
      <c r="B47" s="13" t="s">
        <v>37</v>
      </c>
      <c r="C47" s="46">
        <v>10000000</v>
      </c>
      <c r="D47" s="40"/>
      <c r="E47" s="40"/>
      <c r="F47" s="40"/>
      <c r="G47" s="40"/>
      <c r="H47" s="40">
        <f t="shared" si="4"/>
        <v>10000000</v>
      </c>
      <c r="I47" s="44"/>
      <c r="J47" s="44"/>
      <c r="K47" s="44"/>
      <c r="L47" s="44"/>
      <c r="M47" s="45">
        <f t="shared" si="0"/>
        <v>10000000</v>
      </c>
      <c r="N47" s="44"/>
      <c r="O47" s="44"/>
      <c r="P47" s="45">
        <f t="shared" si="1"/>
        <v>10000000</v>
      </c>
      <c r="Q47" s="79">
        <f t="shared" si="2"/>
        <v>0</v>
      </c>
      <c r="R47" s="10" t="s">
        <v>275</v>
      </c>
      <c r="S47" s="10">
        <v>94</v>
      </c>
      <c r="T47" s="10">
        <v>98</v>
      </c>
      <c r="U47" s="10"/>
      <c r="V47" s="10"/>
      <c r="W47" s="10"/>
    </row>
    <row r="48" spans="1:23" ht="12.75">
      <c r="A48" s="57" t="s">
        <v>132</v>
      </c>
      <c r="B48" s="14" t="s">
        <v>186</v>
      </c>
      <c r="C48" s="46">
        <v>10000000</v>
      </c>
      <c r="D48" s="40"/>
      <c r="E48" s="40"/>
      <c r="F48" s="40"/>
      <c r="G48" s="40"/>
      <c r="H48" s="40">
        <f t="shared" si="4"/>
        <v>10000000</v>
      </c>
      <c r="I48" s="44"/>
      <c r="J48" s="44"/>
      <c r="K48" s="44"/>
      <c r="L48" s="44"/>
      <c r="M48" s="45">
        <f t="shared" si="0"/>
        <v>10000000</v>
      </c>
      <c r="N48" s="45"/>
      <c r="O48" s="45"/>
      <c r="P48" s="45">
        <f t="shared" si="1"/>
        <v>10000000</v>
      </c>
      <c r="Q48" s="79">
        <f t="shared" si="2"/>
        <v>0</v>
      </c>
      <c r="R48" s="10"/>
      <c r="S48" s="10"/>
      <c r="T48" s="10"/>
      <c r="U48" s="10"/>
      <c r="V48" s="10"/>
      <c r="W48" s="10"/>
    </row>
    <row r="49" spans="1:23" ht="12.75">
      <c r="A49" s="57" t="s">
        <v>133</v>
      </c>
      <c r="B49" s="21" t="s">
        <v>187</v>
      </c>
      <c r="C49" s="46">
        <v>15000000</v>
      </c>
      <c r="D49" s="40">
        <v>5910000</v>
      </c>
      <c r="E49" s="40"/>
      <c r="F49" s="40"/>
      <c r="G49" s="40"/>
      <c r="H49" s="40">
        <f t="shared" si="4"/>
        <v>20910000</v>
      </c>
      <c r="I49" s="44"/>
      <c r="J49" s="44"/>
      <c r="K49" s="44"/>
      <c r="L49" s="44"/>
      <c r="M49" s="45">
        <f t="shared" si="0"/>
        <v>20910000</v>
      </c>
      <c r="N49" s="44"/>
      <c r="O49" s="44"/>
      <c r="P49" s="45">
        <f t="shared" si="1"/>
        <v>20910000</v>
      </c>
      <c r="Q49" s="79">
        <f t="shared" si="2"/>
        <v>0</v>
      </c>
      <c r="R49" s="10"/>
      <c r="S49" s="10"/>
      <c r="T49" s="10"/>
      <c r="U49" s="10"/>
      <c r="V49" s="10"/>
      <c r="W49" s="10"/>
    </row>
    <row r="50" spans="1:23" ht="12.75">
      <c r="A50" s="57" t="s">
        <v>134</v>
      </c>
      <c r="B50" s="13" t="s">
        <v>38</v>
      </c>
      <c r="C50" s="46">
        <v>1000000</v>
      </c>
      <c r="D50" s="40"/>
      <c r="E50" s="40"/>
      <c r="F50" s="40"/>
      <c r="G50" s="40"/>
      <c r="H50" s="40">
        <f t="shared" si="4"/>
        <v>1000000</v>
      </c>
      <c r="I50" s="45"/>
      <c r="J50" s="44"/>
      <c r="K50" s="44"/>
      <c r="L50" s="44"/>
      <c r="M50" s="45">
        <f t="shared" si="0"/>
        <v>1000000</v>
      </c>
      <c r="N50" s="45"/>
      <c r="O50" s="45"/>
      <c r="P50" s="45">
        <f t="shared" si="1"/>
        <v>1000000</v>
      </c>
      <c r="Q50" s="79">
        <f t="shared" si="2"/>
        <v>0</v>
      </c>
      <c r="R50" s="10"/>
      <c r="S50" s="10"/>
      <c r="T50" s="10"/>
      <c r="U50" s="10"/>
      <c r="V50" s="10"/>
      <c r="W50" s="10"/>
    </row>
    <row r="51" spans="1:23" ht="12.75">
      <c r="A51" s="57" t="s">
        <v>135</v>
      </c>
      <c r="B51" s="13" t="s">
        <v>39</v>
      </c>
      <c r="C51" s="46">
        <v>24750000</v>
      </c>
      <c r="D51" s="40">
        <v>5000000</v>
      </c>
      <c r="E51" s="40"/>
      <c r="F51" s="40"/>
      <c r="G51" s="40"/>
      <c r="H51" s="40">
        <f t="shared" si="4"/>
        <v>29750000</v>
      </c>
      <c r="I51" s="45"/>
      <c r="J51" s="44"/>
      <c r="K51" s="44"/>
      <c r="L51" s="44"/>
      <c r="M51" s="45">
        <f t="shared" si="0"/>
        <v>29750000</v>
      </c>
      <c r="N51" s="45"/>
      <c r="O51" s="45"/>
      <c r="P51" s="45">
        <f t="shared" si="1"/>
        <v>29750000</v>
      </c>
      <c r="Q51" s="79">
        <f t="shared" si="2"/>
        <v>0</v>
      </c>
      <c r="R51" s="10"/>
      <c r="S51" s="10"/>
      <c r="T51" s="10"/>
      <c r="U51" s="10" t="s">
        <v>276</v>
      </c>
      <c r="V51" s="10">
        <v>55</v>
      </c>
      <c r="W51" s="10">
        <v>35</v>
      </c>
    </row>
    <row r="52" spans="1:23" ht="12.75">
      <c r="A52" s="57" t="s">
        <v>167</v>
      </c>
      <c r="B52" s="10" t="s">
        <v>168</v>
      </c>
      <c r="C52" s="40"/>
      <c r="D52" s="40"/>
      <c r="E52" s="40"/>
      <c r="F52" s="40"/>
      <c r="G52" s="40"/>
      <c r="H52" s="40">
        <f>SUM(C52:G52)</f>
        <v>0</v>
      </c>
      <c r="I52" s="45">
        <v>10000000</v>
      </c>
      <c r="J52" s="44"/>
      <c r="K52" s="44"/>
      <c r="L52" s="44"/>
      <c r="M52" s="45">
        <f t="shared" si="0"/>
        <v>10000000</v>
      </c>
      <c r="N52" s="45"/>
      <c r="O52" s="45"/>
      <c r="P52" s="45">
        <f t="shared" si="1"/>
        <v>10000000</v>
      </c>
      <c r="Q52" s="79">
        <f t="shared" si="2"/>
        <v>0</v>
      </c>
      <c r="R52" s="6"/>
      <c r="S52" s="6"/>
      <c r="T52" s="6"/>
      <c r="U52" s="6"/>
      <c r="V52" s="6"/>
      <c r="W52" s="6"/>
    </row>
    <row r="53" spans="1:23" ht="12.75">
      <c r="A53" s="55" t="s">
        <v>136</v>
      </c>
      <c r="B53" s="11" t="s">
        <v>40</v>
      </c>
      <c r="C53" s="43">
        <f>SUM(C54:C57)</f>
        <v>37985965</v>
      </c>
      <c r="D53" s="43">
        <f>SUM(D54:D58)</f>
        <v>82000000</v>
      </c>
      <c r="E53" s="43">
        <f>SUM(E58)</f>
        <v>1700000</v>
      </c>
      <c r="F53" s="40"/>
      <c r="G53" s="40"/>
      <c r="H53" s="43">
        <f>SUM(C53:G53)</f>
        <v>121685965</v>
      </c>
      <c r="I53" s="39">
        <f>I54+I55+I56+I57+I58</f>
        <v>45077419</v>
      </c>
      <c r="J53" s="44"/>
      <c r="K53" s="44"/>
      <c r="L53" s="44"/>
      <c r="M53" s="39">
        <f t="shared" si="0"/>
        <v>166763384</v>
      </c>
      <c r="N53" s="39">
        <f>+N54+N55+N56+N57+N58</f>
        <v>10000000</v>
      </c>
      <c r="O53" s="39">
        <f>+O54+O55+O56+O57+O58</f>
        <v>10000000</v>
      </c>
      <c r="P53" s="39">
        <f t="shared" si="1"/>
        <v>156763384</v>
      </c>
      <c r="Q53" s="79">
        <f t="shared" si="2"/>
        <v>0</v>
      </c>
      <c r="R53" s="2"/>
      <c r="S53" s="2"/>
      <c r="T53" s="2"/>
      <c r="U53" s="2"/>
      <c r="V53" s="2"/>
      <c r="W53" s="2"/>
    </row>
    <row r="54" spans="1:23" ht="22.5" customHeight="1">
      <c r="A54" s="57" t="s">
        <v>137</v>
      </c>
      <c r="B54" s="61" t="s">
        <v>164</v>
      </c>
      <c r="C54" s="40">
        <v>19985965</v>
      </c>
      <c r="D54" s="40"/>
      <c r="E54" s="40"/>
      <c r="F54" s="40"/>
      <c r="G54" s="40"/>
      <c r="H54" s="40">
        <f aca="true" t="shared" si="5" ref="H54:H69">SUM(C54:G54)</f>
        <v>19985965</v>
      </c>
      <c r="I54" s="47">
        <v>10000000</v>
      </c>
      <c r="J54" s="44"/>
      <c r="K54" s="44"/>
      <c r="L54" s="44"/>
      <c r="M54" s="45">
        <f t="shared" si="0"/>
        <v>29985965</v>
      </c>
      <c r="N54" s="47">
        <f>5000000+5000000</f>
        <v>10000000</v>
      </c>
      <c r="O54" s="47">
        <f>5000000+5000000</f>
        <v>10000000</v>
      </c>
      <c r="P54" s="45">
        <f t="shared" si="1"/>
        <v>19985965</v>
      </c>
      <c r="Q54" s="79">
        <f t="shared" si="2"/>
        <v>0</v>
      </c>
      <c r="R54" s="66" t="s">
        <v>277</v>
      </c>
      <c r="S54" s="67">
        <f>2/7*100</f>
        <v>28.57142857142857</v>
      </c>
      <c r="T54" s="67">
        <v>29</v>
      </c>
      <c r="U54" s="10"/>
      <c r="V54" s="10"/>
      <c r="W54" s="10"/>
    </row>
    <row r="55" spans="1:23" ht="22.5" customHeight="1">
      <c r="A55" s="57" t="s">
        <v>138</v>
      </c>
      <c r="B55" s="13" t="s">
        <v>41</v>
      </c>
      <c r="C55" s="40">
        <v>2000000</v>
      </c>
      <c r="D55" s="40">
        <v>80000000</v>
      </c>
      <c r="E55" s="40"/>
      <c r="F55" s="40"/>
      <c r="G55" s="40"/>
      <c r="H55" s="40">
        <f t="shared" si="5"/>
        <v>82000000</v>
      </c>
      <c r="I55" s="45">
        <v>31691861</v>
      </c>
      <c r="J55" s="44"/>
      <c r="K55" s="44"/>
      <c r="L55" s="44"/>
      <c r="M55" s="45">
        <f t="shared" si="0"/>
        <v>113691861</v>
      </c>
      <c r="N55" s="45"/>
      <c r="O55" s="45"/>
      <c r="P55" s="45">
        <f t="shared" si="1"/>
        <v>113691861</v>
      </c>
      <c r="Q55" s="79">
        <f t="shared" si="2"/>
        <v>0</v>
      </c>
      <c r="R55" s="66"/>
      <c r="S55" s="10"/>
      <c r="T55" s="10"/>
      <c r="U55" s="10"/>
      <c r="V55" s="10"/>
      <c r="W55" s="10"/>
    </row>
    <row r="56" spans="1:23" ht="21.75">
      <c r="A56" s="57" t="s">
        <v>139</v>
      </c>
      <c r="B56" s="14" t="s">
        <v>42</v>
      </c>
      <c r="C56" s="40">
        <v>12000000</v>
      </c>
      <c r="D56" s="40"/>
      <c r="E56" s="40"/>
      <c r="F56" s="40"/>
      <c r="G56" s="40"/>
      <c r="H56" s="40">
        <f t="shared" si="5"/>
        <v>12000000</v>
      </c>
      <c r="I56" s="45"/>
      <c r="J56" s="44"/>
      <c r="K56" s="44"/>
      <c r="L56" s="44"/>
      <c r="M56" s="45">
        <f t="shared" si="0"/>
        <v>12000000</v>
      </c>
      <c r="N56" s="45"/>
      <c r="O56" s="45"/>
      <c r="P56" s="45">
        <f t="shared" si="1"/>
        <v>12000000</v>
      </c>
      <c r="Q56" s="79">
        <f t="shared" si="2"/>
        <v>0</v>
      </c>
      <c r="R56" s="10"/>
      <c r="S56" s="10"/>
      <c r="T56" s="10"/>
      <c r="U56" s="10"/>
      <c r="V56" s="10"/>
      <c r="W56" s="10"/>
    </row>
    <row r="57" spans="1:23" ht="12.75" customHeight="1">
      <c r="A57" s="57" t="s">
        <v>140</v>
      </c>
      <c r="B57" s="13" t="s">
        <v>44</v>
      </c>
      <c r="C57" s="40">
        <v>4000000</v>
      </c>
      <c r="D57" s="40"/>
      <c r="E57" s="40"/>
      <c r="F57" s="40"/>
      <c r="G57" s="40"/>
      <c r="H57" s="40">
        <f t="shared" si="5"/>
        <v>4000000</v>
      </c>
      <c r="I57" s="45"/>
      <c r="J57" s="44"/>
      <c r="K57" s="44"/>
      <c r="L57" s="44"/>
      <c r="M57" s="45">
        <f t="shared" si="0"/>
        <v>4000000</v>
      </c>
      <c r="N57" s="45"/>
      <c r="O57" s="45"/>
      <c r="P57" s="45">
        <f t="shared" si="1"/>
        <v>4000000</v>
      </c>
      <c r="Q57" s="79">
        <f t="shared" si="2"/>
        <v>0</v>
      </c>
      <c r="R57" s="66"/>
      <c r="S57" s="10"/>
      <c r="T57" s="10"/>
      <c r="U57" s="10"/>
      <c r="V57" s="10"/>
      <c r="W57" s="10"/>
    </row>
    <row r="58" spans="1:23" ht="21.75">
      <c r="A58" s="57" t="s">
        <v>141</v>
      </c>
      <c r="B58" s="13" t="s">
        <v>45</v>
      </c>
      <c r="C58" s="40"/>
      <c r="D58" s="40">
        <v>2000000</v>
      </c>
      <c r="E58" s="46">
        <v>1700000</v>
      </c>
      <c r="F58" s="40"/>
      <c r="G58" s="40"/>
      <c r="H58" s="40">
        <f t="shared" si="5"/>
        <v>3700000</v>
      </c>
      <c r="I58" s="45">
        <v>3385558</v>
      </c>
      <c r="J58" s="44"/>
      <c r="K58" s="44"/>
      <c r="L58" s="44"/>
      <c r="M58" s="45">
        <f t="shared" si="0"/>
        <v>7085558</v>
      </c>
      <c r="N58" s="45"/>
      <c r="O58" s="45"/>
      <c r="P58" s="45">
        <f t="shared" si="1"/>
        <v>7085558</v>
      </c>
      <c r="Q58" s="79">
        <f t="shared" si="2"/>
        <v>0</v>
      </c>
      <c r="R58" s="10" t="s">
        <v>278</v>
      </c>
      <c r="S58" s="10">
        <v>5</v>
      </c>
      <c r="T58" s="10">
        <v>10</v>
      </c>
      <c r="U58" s="66" t="s">
        <v>279</v>
      </c>
      <c r="V58" s="10">
        <v>2</v>
      </c>
      <c r="W58" s="10">
        <v>5</v>
      </c>
    </row>
    <row r="59" spans="1:23" ht="12.75">
      <c r="A59" s="57"/>
      <c r="B59" s="13"/>
      <c r="C59" s="40"/>
      <c r="D59" s="40"/>
      <c r="E59" s="46"/>
      <c r="F59" s="40"/>
      <c r="G59" s="40"/>
      <c r="H59" s="40"/>
      <c r="I59" s="45"/>
      <c r="J59" s="44"/>
      <c r="K59" s="44"/>
      <c r="L59" s="44"/>
      <c r="M59" s="45"/>
      <c r="N59" s="45"/>
      <c r="O59" s="45"/>
      <c r="P59" s="45"/>
      <c r="Q59" s="79"/>
      <c r="R59" s="2"/>
      <c r="S59" s="2"/>
      <c r="T59" s="2"/>
      <c r="U59" s="2"/>
      <c r="V59" s="2"/>
      <c r="W59" s="2"/>
    </row>
    <row r="60" spans="1:23" ht="12.75">
      <c r="A60" s="57"/>
      <c r="B60" s="13"/>
      <c r="C60" s="40"/>
      <c r="D60" s="40"/>
      <c r="E60" s="46"/>
      <c r="F60" s="40"/>
      <c r="G60" s="40"/>
      <c r="H60" s="40"/>
      <c r="I60" s="45"/>
      <c r="J60" s="44"/>
      <c r="K60" s="44"/>
      <c r="L60" s="44"/>
      <c r="M60" s="45"/>
      <c r="N60" s="45"/>
      <c r="O60" s="45"/>
      <c r="P60" s="45"/>
      <c r="Q60" s="79"/>
      <c r="R60" s="2"/>
      <c r="S60" s="2"/>
      <c r="T60" s="2"/>
      <c r="U60" s="2"/>
      <c r="V60" s="2"/>
      <c r="W60" s="2"/>
    </row>
    <row r="61" spans="1:23" ht="12.75">
      <c r="A61" s="57"/>
      <c r="B61" s="13"/>
      <c r="C61" s="40"/>
      <c r="D61" s="40"/>
      <c r="E61" s="46"/>
      <c r="F61" s="40"/>
      <c r="G61" s="40"/>
      <c r="H61" s="40"/>
      <c r="I61" s="45"/>
      <c r="J61" s="44"/>
      <c r="K61" s="44"/>
      <c r="L61" s="44"/>
      <c r="M61" s="45"/>
      <c r="N61" s="45"/>
      <c r="O61" s="45"/>
      <c r="P61" s="45"/>
      <c r="Q61" s="79"/>
      <c r="R61" s="2"/>
      <c r="S61" s="2"/>
      <c r="T61" s="2"/>
      <c r="U61" s="2"/>
      <c r="V61" s="2"/>
      <c r="W61" s="2"/>
    </row>
    <row r="62" spans="1:23" ht="12.75">
      <c r="A62" s="57"/>
      <c r="B62" s="13"/>
      <c r="C62" s="40"/>
      <c r="D62" s="40"/>
      <c r="E62" s="46"/>
      <c r="F62" s="40"/>
      <c r="G62" s="40"/>
      <c r="H62" s="40"/>
      <c r="I62" s="45"/>
      <c r="J62" s="44"/>
      <c r="K62" s="44"/>
      <c r="L62" s="44"/>
      <c r="M62" s="45"/>
      <c r="N62" s="45"/>
      <c r="O62" s="45"/>
      <c r="P62" s="45"/>
      <c r="Q62" s="79"/>
      <c r="R62" s="2"/>
      <c r="S62" s="2"/>
      <c r="T62" s="2"/>
      <c r="U62" s="2"/>
      <c r="V62" s="2"/>
      <c r="W62" s="2"/>
    </row>
    <row r="63" spans="1:23" ht="12.75">
      <c r="A63" s="55" t="s">
        <v>142</v>
      </c>
      <c r="B63" s="11" t="s">
        <v>46</v>
      </c>
      <c r="C63" s="43">
        <f>SUM(C64:C68)</f>
        <v>28489473</v>
      </c>
      <c r="D63" s="43">
        <f>SUM(D64:D70)</f>
        <v>143800000</v>
      </c>
      <c r="E63" s="43">
        <f>SUM(E68)</f>
        <v>12000000</v>
      </c>
      <c r="F63" s="40"/>
      <c r="G63" s="40"/>
      <c r="H63" s="43">
        <f t="shared" si="5"/>
        <v>184289473</v>
      </c>
      <c r="I63" s="39">
        <f>+I64+I65+I66+I67+I68+I69+I70</f>
        <v>17539168</v>
      </c>
      <c r="J63" s="44"/>
      <c r="K63" s="44"/>
      <c r="L63" s="45"/>
      <c r="M63" s="39">
        <f t="shared" si="0"/>
        <v>201828641</v>
      </c>
      <c r="N63" s="39">
        <f>+N64+N65+N66+N67+N68+N69+N70</f>
        <v>108390762</v>
      </c>
      <c r="O63" s="39">
        <f>+O64+O65+O66+O67+O68+O69+O70</f>
        <v>108390762</v>
      </c>
      <c r="P63" s="39">
        <f t="shared" si="1"/>
        <v>93437879</v>
      </c>
      <c r="Q63" s="79">
        <f t="shared" si="2"/>
        <v>0</v>
      </c>
      <c r="R63" s="2"/>
      <c r="S63" s="2"/>
      <c r="T63" s="2"/>
      <c r="U63" s="2"/>
      <c r="V63" s="2"/>
      <c r="W63" s="2"/>
    </row>
    <row r="64" spans="1:23" ht="21.75" customHeight="1">
      <c r="A64" s="57" t="s">
        <v>143</v>
      </c>
      <c r="B64" s="22" t="s">
        <v>47</v>
      </c>
      <c r="C64" s="40">
        <v>15489473</v>
      </c>
      <c r="D64" s="40">
        <v>40000000</v>
      </c>
      <c r="E64" s="40"/>
      <c r="F64" s="40"/>
      <c r="G64" s="40"/>
      <c r="H64" s="40">
        <f t="shared" si="5"/>
        <v>55489473</v>
      </c>
      <c r="I64" s="48">
        <f>5000000</f>
        <v>5000000</v>
      </c>
      <c r="J64" s="41"/>
      <c r="K64" s="41"/>
      <c r="L64" s="41"/>
      <c r="M64" s="45">
        <f t="shared" si="0"/>
        <v>60489473</v>
      </c>
      <c r="N64" s="48">
        <f>20000000+2806744+267190+22665400</f>
        <v>45739334</v>
      </c>
      <c r="O64" s="48">
        <f>20000000+2806744+267190+22665400</f>
        <v>45739334</v>
      </c>
      <c r="P64" s="45">
        <f t="shared" si="1"/>
        <v>14750139</v>
      </c>
      <c r="Q64" s="79">
        <f t="shared" si="2"/>
        <v>0</v>
      </c>
      <c r="R64" s="66"/>
      <c r="S64" s="10"/>
      <c r="T64" s="10"/>
      <c r="U64" s="66" t="s">
        <v>280</v>
      </c>
      <c r="V64" s="10">
        <v>3</v>
      </c>
      <c r="W64" s="10">
        <v>3</v>
      </c>
    </row>
    <row r="65" spans="1:23" ht="12.75">
      <c r="A65" s="57" t="s">
        <v>144</v>
      </c>
      <c r="B65" s="13" t="s">
        <v>48</v>
      </c>
      <c r="C65" s="40">
        <v>2000000</v>
      </c>
      <c r="D65" s="40"/>
      <c r="E65" s="40"/>
      <c r="F65" s="40"/>
      <c r="G65" s="40"/>
      <c r="H65" s="40">
        <f t="shared" si="5"/>
        <v>2000000</v>
      </c>
      <c r="I65" s="44"/>
      <c r="J65" s="44"/>
      <c r="K65" s="44"/>
      <c r="L65" s="44"/>
      <c r="M65" s="45">
        <f t="shared" si="0"/>
        <v>2000000</v>
      </c>
      <c r="N65" s="47">
        <f>751428</f>
        <v>751428</v>
      </c>
      <c r="O65" s="47">
        <f>751428</f>
        <v>751428</v>
      </c>
      <c r="P65" s="45">
        <f t="shared" si="1"/>
        <v>1248572</v>
      </c>
      <c r="Q65" s="79">
        <f t="shared" si="2"/>
        <v>0</v>
      </c>
      <c r="R65" s="10" t="s">
        <v>281</v>
      </c>
      <c r="S65" s="10">
        <v>4</v>
      </c>
      <c r="T65" s="10">
        <v>8</v>
      </c>
      <c r="U65" s="10" t="s">
        <v>282</v>
      </c>
      <c r="V65" s="10">
        <v>15</v>
      </c>
      <c r="W65" s="10">
        <v>16</v>
      </c>
    </row>
    <row r="66" spans="1:23" ht="21" customHeight="1">
      <c r="A66" s="57" t="s">
        <v>145</v>
      </c>
      <c r="B66" s="22" t="s">
        <v>49</v>
      </c>
      <c r="C66" s="40">
        <v>1000000</v>
      </c>
      <c r="D66" s="40"/>
      <c r="E66" s="40"/>
      <c r="F66" s="40"/>
      <c r="G66" s="40"/>
      <c r="H66" s="40">
        <f t="shared" si="5"/>
        <v>1000000</v>
      </c>
      <c r="I66" s="44"/>
      <c r="J66" s="44"/>
      <c r="K66" s="44"/>
      <c r="L66" s="45"/>
      <c r="M66" s="45">
        <f t="shared" si="0"/>
        <v>1000000</v>
      </c>
      <c r="N66" s="45"/>
      <c r="O66" s="45"/>
      <c r="P66" s="45">
        <f t="shared" si="1"/>
        <v>1000000</v>
      </c>
      <c r="Q66" s="79">
        <f t="shared" si="2"/>
        <v>0</v>
      </c>
      <c r="R66" s="10" t="s">
        <v>283</v>
      </c>
      <c r="S66" s="10">
        <v>2</v>
      </c>
      <c r="T66" s="10">
        <v>2</v>
      </c>
      <c r="U66" s="10"/>
      <c r="V66" s="10"/>
      <c r="W66" s="10"/>
    </row>
    <row r="67" spans="1:23" ht="12.75">
      <c r="A67" s="57" t="s">
        <v>146</v>
      </c>
      <c r="B67" s="13" t="s">
        <v>50</v>
      </c>
      <c r="C67" s="40">
        <v>100000</v>
      </c>
      <c r="D67" s="40">
        <v>5000000</v>
      </c>
      <c r="E67" s="40"/>
      <c r="F67" s="40"/>
      <c r="G67" s="40"/>
      <c r="H67" s="40">
        <f t="shared" si="5"/>
        <v>5100000</v>
      </c>
      <c r="I67" s="47">
        <v>2539168</v>
      </c>
      <c r="J67" s="44"/>
      <c r="K67" s="44"/>
      <c r="L67" s="44"/>
      <c r="M67" s="45">
        <f t="shared" si="0"/>
        <v>7639168</v>
      </c>
      <c r="N67" s="45"/>
      <c r="O67" s="45"/>
      <c r="P67" s="45">
        <f t="shared" si="1"/>
        <v>7639168</v>
      </c>
      <c r="Q67" s="79">
        <f t="shared" si="2"/>
        <v>0</v>
      </c>
      <c r="R67" s="10"/>
      <c r="S67" s="10"/>
      <c r="T67" s="10"/>
      <c r="U67" s="10"/>
      <c r="V67" s="10"/>
      <c r="W67" s="10"/>
    </row>
    <row r="68" spans="1:23" ht="21.75">
      <c r="A68" s="57" t="s">
        <v>147</v>
      </c>
      <c r="B68" s="15" t="s">
        <v>51</v>
      </c>
      <c r="C68" s="40">
        <v>9900000</v>
      </c>
      <c r="D68" s="40">
        <v>40000000</v>
      </c>
      <c r="E68" s="46">
        <v>12000000</v>
      </c>
      <c r="F68" s="40"/>
      <c r="G68" s="40"/>
      <c r="H68" s="40">
        <f t="shared" si="5"/>
        <v>61900000</v>
      </c>
      <c r="I68" s="44"/>
      <c r="J68" s="44"/>
      <c r="K68" s="44"/>
      <c r="L68" s="44"/>
      <c r="M68" s="45">
        <f t="shared" si="0"/>
        <v>61900000</v>
      </c>
      <c r="N68" s="47">
        <f>1062482+29958190+1062482+29816846</f>
        <v>61900000</v>
      </c>
      <c r="O68" s="47">
        <f>1062482+29958190+1062482+29816846</f>
        <v>61900000</v>
      </c>
      <c r="P68" s="45">
        <f t="shared" si="1"/>
        <v>0</v>
      </c>
      <c r="Q68" s="79">
        <f t="shared" si="2"/>
        <v>0</v>
      </c>
      <c r="R68" s="66" t="s">
        <v>284</v>
      </c>
      <c r="S68" s="10">
        <v>50</v>
      </c>
      <c r="T68" s="10">
        <v>60</v>
      </c>
      <c r="U68" s="10"/>
      <c r="V68" s="10"/>
      <c r="W68" s="10"/>
    </row>
    <row r="69" spans="1:23" ht="12.75">
      <c r="A69" s="57" t="s">
        <v>148</v>
      </c>
      <c r="B69" s="23" t="s">
        <v>52</v>
      </c>
      <c r="C69" s="40"/>
      <c r="D69" s="40">
        <v>18000000</v>
      </c>
      <c r="E69" s="40"/>
      <c r="F69" s="40"/>
      <c r="G69" s="40"/>
      <c r="H69" s="40">
        <f t="shared" si="5"/>
        <v>18000000</v>
      </c>
      <c r="I69" s="41"/>
      <c r="J69" s="41"/>
      <c r="K69" s="41"/>
      <c r="L69" s="41"/>
      <c r="M69" s="45">
        <f t="shared" si="0"/>
        <v>18000000</v>
      </c>
      <c r="N69" s="41"/>
      <c r="O69" s="41"/>
      <c r="P69" s="45">
        <f t="shared" si="1"/>
        <v>18000000</v>
      </c>
      <c r="Q69" s="79">
        <f t="shared" si="2"/>
        <v>0</v>
      </c>
      <c r="R69" s="2"/>
      <c r="S69" s="2"/>
      <c r="T69" s="2"/>
      <c r="U69" s="2"/>
      <c r="V69" s="2"/>
      <c r="W69" s="2"/>
    </row>
    <row r="70" spans="1:23" ht="12.75">
      <c r="A70" s="57" t="s">
        <v>161</v>
      </c>
      <c r="B70" s="24" t="s">
        <v>162</v>
      </c>
      <c r="C70" s="43"/>
      <c r="D70" s="40">
        <v>40800000</v>
      </c>
      <c r="E70" s="40"/>
      <c r="F70" s="40"/>
      <c r="G70" s="40"/>
      <c r="H70" s="40">
        <f>SUM(C70:G70)</f>
        <v>40800000</v>
      </c>
      <c r="I70" s="47">
        <v>10000000</v>
      </c>
      <c r="J70" s="44"/>
      <c r="K70" s="44"/>
      <c r="L70" s="44"/>
      <c r="M70" s="45">
        <f t="shared" si="0"/>
        <v>50800000</v>
      </c>
      <c r="N70" s="44"/>
      <c r="O70" s="44"/>
      <c r="P70" s="45">
        <f t="shared" si="1"/>
        <v>50800000</v>
      </c>
      <c r="Q70" s="79">
        <f t="shared" si="2"/>
        <v>0</v>
      </c>
      <c r="R70" s="2"/>
      <c r="S70" s="2"/>
      <c r="T70" s="2"/>
      <c r="U70" s="2"/>
      <c r="V70" s="2"/>
      <c r="W70" s="2"/>
    </row>
    <row r="71" spans="1:23" ht="12.75">
      <c r="A71" s="56" t="s">
        <v>149</v>
      </c>
      <c r="B71" s="11" t="s">
        <v>53</v>
      </c>
      <c r="C71" s="43">
        <f>SUM(C73+C79+C82+C91+C97+C101+C105+C115+C120+C122+C126)</f>
        <v>1060295746</v>
      </c>
      <c r="D71" s="43">
        <f>+D73+D79+D82+D91+D97+D101+D105+D115+D120+D122+D126</f>
        <v>23000000</v>
      </c>
      <c r="E71" s="43">
        <f>SUM(E105+E126)</f>
        <v>25000000</v>
      </c>
      <c r="F71" s="43"/>
      <c r="G71" s="43"/>
      <c r="H71" s="43">
        <f>SUM(C71:G71)</f>
        <v>1108295746</v>
      </c>
      <c r="I71" s="45"/>
      <c r="J71" s="44"/>
      <c r="K71" s="44"/>
      <c r="L71" s="44"/>
      <c r="M71" s="39">
        <f t="shared" si="0"/>
        <v>1108295746</v>
      </c>
      <c r="N71" s="39">
        <f>+N79+N82+N91+N97+N101+N105+N115+N120+N122+N126</f>
        <v>129463000</v>
      </c>
      <c r="O71" s="39">
        <f>+O79+O82+O91+O97+O101+O105+O115+O120+O122+O126</f>
        <v>80003000</v>
      </c>
      <c r="P71" s="39">
        <f t="shared" si="1"/>
        <v>1028292746</v>
      </c>
      <c r="Q71" s="79">
        <f t="shared" si="2"/>
        <v>49460000</v>
      </c>
      <c r="R71" s="2"/>
      <c r="S71" s="2"/>
      <c r="T71" s="2"/>
      <c r="U71" s="2"/>
      <c r="V71" s="2"/>
      <c r="W71" s="2"/>
    </row>
    <row r="72" spans="1:23" ht="12.75">
      <c r="A72" s="56"/>
      <c r="B72" s="25"/>
      <c r="C72" s="49"/>
      <c r="D72" s="40"/>
      <c r="E72" s="40"/>
      <c r="F72" s="40"/>
      <c r="G72" s="40"/>
      <c r="H72" s="40"/>
      <c r="I72" s="44"/>
      <c r="J72" s="44"/>
      <c r="K72" s="44"/>
      <c r="L72" s="45"/>
      <c r="M72" s="39">
        <f aca="true" t="shared" si="6" ref="M72:M128">+H72+I72+J72-K72-L72</f>
        <v>0</v>
      </c>
      <c r="N72" s="44"/>
      <c r="O72" s="44"/>
      <c r="P72" s="39">
        <f aca="true" t="shared" si="7" ref="P72:P128">+M72-O72</f>
        <v>0</v>
      </c>
      <c r="Q72" s="79">
        <f t="shared" si="2"/>
        <v>0</v>
      </c>
      <c r="R72" s="2"/>
      <c r="S72" s="2"/>
      <c r="T72" s="2"/>
      <c r="U72" s="2"/>
      <c r="V72" s="2"/>
      <c r="W72" s="2"/>
    </row>
    <row r="73" spans="1:23" ht="23.25" customHeight="1">
      <c r="A73" s="55" t="s">
        <v>150</v>
      </c>
      <c r="B73" s="26" t="s">
        <v>54</v>
      </c>
      <c r="C73" s="43">
        <f>SUM(C75:C77)</f>
        <v>68252622</v>
      </c>
      <c r="D73" s="43">
        <f>SUM(D75:D77)</f>
        <v>0</v>
      </c>
      <c r="E73" s="40"/>
      <c r="F73" s="40"/>
      <c r="G73" s="40"/>
      <c r="H73" s="43">
        <f>SUM(C73:G73)</f>
        <v>68252622</v>
      </c>
      <c r="I73" s="41">
        <f>+I75+I76+I77</f>
        <v>0</v>
      </c>
      <c r="J73" s="41"/>
      <c r="K73" s="41"/>
      <c r="L73" s="41"/>
      <c r="M73" s="39">
        <f t="shared" si="6"/>
        <v>68252622</v>
      </c>
      <c r="N73" s="41">
        <f>+N74+N75+N76+N77</f>
        <v>1167850</v>
      </c>
      <c r="O73" s="41">
        <f>+O74+O75+O76+O77+O78</f>
        <v>1167850</v>
      </c>
      <c r="P73" s="39">
        <f>+P74+P75+P76+P77+P78</f>
        <v>67084772</v>
      </c>
      <c r="Q73" s="79">
        <f aca="true" t="shared" si="8" ref="Q73:Q128">+N73-O73</f>
        <v>0</v>
      </c>
      <c r="R73" s="2"/>
      <c r="S73" s="2"/>
      <c r="T73" s="2"/>
      <c r="U73" s="2"/>
      <c r="V73" s="2"/>
      <c r="W73" s="2"/>
    </row>
    <row r="74" spans="1:23" ht="12.75">
      <c r="A74" s="56"/>
      <c r="B74" s="26"/>
      <c r="C74" s="40"/>
      <c r="D74" s="40"/>
      <c r="E74" s="40"/>
      <c r="F74" s="40"/>
      <c r="G74" s="40"/>
      <c r="H74" s="40"/>
      <c r="I74" s="44"/>
      <c r="J74" s="44"/>
      <c r="K74" s="44"/>
      <c r="L74" s="44"/>
      <c r="M74" s="39">
        <f t="shared" si="6"/>
        <v>0</v>
      </c>
      <c r="N74" s="44"/>
      <c r="O74" s="44"/>
      <c r="P74" s="39">
        <f t="shared" si="7"/>
        <v>0</v>
      </c>
      <c r="Q74" s="79">
        <f t="shared" si="8"/>
        <v>0</v>
      </c>
      <c r="R74" s="2"/>
      <c r="S74" s="2"/>
      <c r="T74" s="2"/>
      <c r="U74" s="2"/>
      <c r="V74" s="2"/>
      <c r="W74" s="2"/>
    </row>
    <row r="75" spans="1:23" ht="12.75">
      <c r="A75" s="57" t="s">
        <v>150</v>
      </c>
      <c r="B75" s="13" t="s">
        <v>55</v>
      </c>
      <c r="C75" s="46">
        <v>5000000</v>
      </c>
      <c r="D75" s="40"/>
      <c r="E75" s="40"/>
      <c r="F75" s="40"/>
      <c r="G75" s="40"/>
      <c r="H75" s="40">
        <f>SUM(C75:G75)</f>
        <v>5000000</v>
      </c>
      <c r="I75" s="44"/>
      <c r="J75" s="44"/>
      <c r="K75" s="44"/>
      <c r="L75" s="45"/>
      <c r="M75" s="45">
        <f t="shared" si="6"/>
        <v>5000000</v>
      </c>
      <c r="N75" s="45"/>
      <c r="O75" s="45"/>
      <c r="P75" s="45">
        <f t="shared" si="7"/>
        <v>5000000</v>
      </c>
      <c r="Q75" s="79">
        <f t="shared" si="8"/>
        <v>0</v>
      </c>
      <c r="R75" s="2"/>
      <c r="S75" s="2"/>
      <c r="T75" s="2"/>
      <c r="U75" s="2"/>
      <c r="V75" s="2"/>
      <c r="W75" s="2"/>
    </row>
    <row r="76" spans="1:23" ht="12.75">
      <c r="A76" s="57" t="s">
        <v>151</v>
      </c>
      <c r="B76" s="13" t="s">
        <v>56</v>
      </c>
      <c r="C76" s="46">
        <v>38252622</v>
      </c>
      <c r="D76" s="40"/>
      <c r="E76" s="40"/>
      <c r="F76" s="40"/>
      <c r="G76" s="40"/>
      <c r="H76" s="40">
        <f>SUM(C76:G76)</f>
        <v>38252622</v>
      </c>
      <c r="I76" s="44"/>
      <c r="J76" s="44"/>
      <c r="K76" s="44"/>
      <c r="L76" s="44"/>
      <c r="M76" s="45">
        <f t="shared" si="6"/>
        <v>38252622</v>
      </c>
      <c r="N76" s="45"/>
      <c r="O76" s="45"/>
      <c r="P76" s="45">
        <f t="shared" si="7"/>
        <v>38252622</v>
      </c>
      <c r="Q76" s="79">
        <f t="shared" si="8"/>
        <v>0</v>
      </c>
      <c r="R76" s="2"/>
      <c r="S76" s="2"/>
      <c r="T76" s="2"/>
      <c r="U76" s="2"/>
      <c r="V76" s="2"/>
      <c r="W76" s="2"/>
    </row>
    <row r="77" spans="1:23" ht="12.75">
      <c r="A77" s="57" t="s">
        <v>152</v>
      </c>
      <c r="B77" s="13" t="s">
        <v>57</v>
      </c>
      <c r="C77" s="46">
        <v>25000000</v>
      </c>
      <c r="D77" s="40"/>
      <c r="E77" s="40"/>
      <c r="F77" s="40"/>
      <c r="G77" s="40"/>
      <c r="H77" s="40">
        <f>SUM(C77:G77)</f>
        <v>25000000</v>
      </c>
      <c r="I77" s="44"/>
      <c r="J77" s="44"/>
      <c r="K77" s="44"/>
      <c r="L77" s="44"/>
      <c r="M77" s="45">
        <f t="shared" si="6"/>
        <v>25000000</v>
      </c>
      <c r="N77" s="45">
        <v>1167850</v>
      </c>
      <c r="O77" s="45">
        <v>1167850</v>
      </c>
      <c r="P77" s="45">
        <f t="shared" si="7"/>
        <v>23832150</v>
      </c>
      <c r="Q77" s="79">
        <f t="shared" si="8"/>
        <v>0</v>
      </c>
      <c r="R77" s="2"/>
      <c r="S77" s="2"/>
      <c r="T77" s="2"/>
      <c r="U77" s="2"/>
      <c r="V77" s="2"/>
      <c r="W77" s="2"/>
    </row>
    <row r="78" spans="1:23" ht="12" customHeight="1">
      <c r="A78" s="56"/>
      <c r="B78" s="27"/>
      <c r="C78" s="40"/>
      <c r="D78" s="40"/>
      <c r="E78" s="40"/>
      <c r="F78" s="40"/>
      <c r="G78" s="40"/>
      <c r="H78" s="40"/>
      <c r="I78" s="44"/>
      <c r="J78" s="44"/>
      <c r="K78" s="44"/>
      <c r="L78" s="44"/>
      <c r="M78" s="39">
        <f t="shared" si="6"/>
        <v>0</v>
      </c>
      <c r="N78" s="45"/>
      <c r="O78" s="45"/>
      <c r="P78" s="45">
        <f t="shared" si="7"/>
        <v>0</v>
      </c>
      <c r="Q78" s="79">
        <f t="shared" si="8"/>
        <v>0</v>
      </c>
      <c r="R78" s="2"/>
      <c r="S78" s="2"/>
      <c r="T78" s="2"/>
      <c r="U78" s="2"/>
      <c r="V78" s="2"/>
      <c r="W78" s="2"/>
    </row>
    <row r="79" spans="1:23" ht="12.75">
      <c r="A79" s="55" t="s">
        <v>151</v>
      </c>
      <c r="B79" s="27" t="s">
        <v>58</v>
      </c>
      <c r="C79" s="43">
        <f>SUM(C80:C81)</f>
        <v>144000000</v>
      </c>
      <c r="D79" s="43">
        <f>SUM(D80:D81)</f>
        <v>0</v>
      </c>
      <c r="E79" s="40"/>
      <c r="F79" s="40"/>
      <c r="G79" s="40"/>
      <c r="H79" s="43">
        <f>SUM(C79:G79)</f>
        <v>144000000</v>
      </c>
      <c r="I79" s="45">
        <f>+I80+I81</f>
        <v>0</v>
      </c>
      <c r="J79" s="44"/>
      <c r="K79" s="44"/>
      <c r="L79" s="44"/>
      <c r="M79" s="39">
        <f t="shared" si="6"/>
        <v>144000000</v>
      </c>
      <c r="N79" s="45">
        <f>+N80+N81</f>
        <v>0</v>
      </c>
      <c r="O79" s="45">
        <f>+O80+O81</f>
        <v>0</v>
      </c>
      <c r="P79" s="39">
        <f t="shared" si="7"/>
        <v>144000000</v>
      </c>
      <c r="Q79" s="79">
        <f t="shared" si="8"/>
        <v>0</v>
      </c>
      <c r="R79" s="2"/>
      <c r="S79" s="2"/>
      <c r="T79" s="2"/>
      <c r="U79" s="2"/>
      <c r="V79" s="2"/>
      <c r="W79" s="2"/>
    </row>
    <row r="80" spans="1:23" ht="12.75">
      <c r="A80" s="57" t="s">
        <v>208</v>
      </c>
      <c r="B80" s="14" t="s">
        <v>59</v>
      </c>
      <c r="C80" s="46">
        <v>80000000</v>
      </c>
      <c r="D80" s="46"/>
      <c r="E80" s="40"/>
      <c r="F80" s="40"/>
      <c r="G80" s="40"/>
      <c r="H80" s="40">
        <f>SUM(C80:G80)</f>
        <v>80000000</v>
      </c>
      <c r="I80" s="41"/>
      <c r="J80" s="41"/>
      <c r="K80" s="41"/>
      <c r="L80" s="41"/>
      <c r="M80" s="45">
        <f t="shared" si="6"/>
        <v>80000000</v>
      </c>
      <c r="N80" s="41"/>
      <c r="O80" s="41"/>
      <c r="P80" s="45">
        <f t="shared" si="7"/>
        <v>80000000</v>
      </c>
      <c r="Q80" s="79">
        <f t="shared" si="8"/>
        <v>0</v>
      </c>
      <c r="R80" s="10" t="s">
        <v>285</v>
      </c>
      <c r="S80" s="10"/>
      <c r="T80" s="10"/>
      <c r="U80" s="10" t="s">
        <v>286</v>
      </c>
      <c r="V80" s="10">
        <v>950</v>
      </c>
      <c r="W80" s="10">
        <v>982</v>
      </c>
    </row>
    <row r="81" spans="1:23" ht="14.25" customHeight="1">
      <c r="A81" s="57" t="s">
        <v>209</v>
      </c>
      <c r="B81" s="14" t="s">
        <v>60</v>
      </c>
      <c r="C81" s="46">
        <v>64000000</v>
      </c>
      <c r="D81" s="46"/>
      <c r="E81" s="40"/>
      <c r="F81" s="40"/>
      <c r="G81" s="40"/>
      <c r="H81" s="40">
        <f>SUM(C81:G81)</f>
        <v>64000000</v>
      </c>
      <c r="I81" s="44"/>
      <c r="J81" s="44"/>
      <c r="K81" s="44"/>
      <c r="L81" s="44"/>
      <c r="M81" s="45">
        <f t="shared" si="6"/>
        <v>64000000</v>
      </c>
      <c r="N81" s="45"/>
      <c r="O81" s="45"/>
      <c r="P81" s="45">
        <f t="shared" si="7"/>
        <v>64000000</v>
      </c>
      <c r="Q81" s="79">
        <f t="shared" si="8"/>
        <v>0</v>
      </c>
      <c r="R81" s="66" t="s">
        <v>287</v>
      </c>
      <c r="S81" s="10"/>
      <c r="T81" s="10"/>
      <c r="U81" s="10" t="s">
        <v>288</v>
      </c>
      <c r="V81" s="67">
        <f>950/1300*100</f>
        <v>73.07692307692307</v>
      </c>
      <c r="W81" s="67">
        <f>0.756153846153846*100</f>
        <v>75.6153846153846</v>
      </c>
    </row>
    <row r="82" spans="1:23" ht="12.75">
      <c r="A82" s="55" t="s">
        <v>152</v>
      </c>
      <c r="B82" s="27" t="s">
        <v>153</v>
      </c>
      <c r="C82" s="43">
        <f>SUM(C83:C90)</f>
        <v>214043124</v>
      </c>
      <c r="D82" s="43">
        <f>SUM(D83:D90)</f>
        <v>0</v>
      </c>
      <c r="E82" s="40"/>
      <c r="F82" s="40"/>
      <c r="G82" s="40"/>
      <c r="H82" s="43">
        <f>SUM(C82:G82)</f>
        <v>214043124</v>
      </c>
      <c r="I82" s="39">
        <f>+I83+I84+I85+I86+I87+I88+I89+I90</f>
        <v>10000000</v>
      </c>
      <c r="J82" s="44"/>
      <c r="K82" s="44"/>
      <c r="L82" s="44"/>
      <c r="M82" s="39">
        <f t="shared" si="6"/>
        <v>224043124</v>
      </c>
      <c r="N82" s="39">
        <f>+N83+N84+N85+N86+N87+N88+N89+N90</f>
        <v>55138810</v>
      </c>
      <c r="O82" s="39">
        <f>+O83+O84+O85+O86+O87+O88+O89+O90</f>
        <v>32678810</v>
      </c>
      <c r="P82" s="39">
        <f t="shared" si="7"/>
        <v>191364314</v>
      </c>
      <c r="Q82" s="79">
        <f t="shared" si="8"/>
        <v>22460000</v>
      </c>
      <c r="R82" s="6"/>
      <c r="S82" s="6"/>
      <c r="T82" s="6"/>
      <c r="U82" s="6"/>
      <c r="V82" s="6"/>
      <c r="W82" s="6"/>
    </row>
    <row r="83" spans="1:23" ht="24" customHeight="1">
      <c r="A83" s="57" t="s">
        <v>210</v>
      </c>
      <c r="B83" s="14" t="s">
        <v>61</v>
      </c>
      <c r="C83" s="46">
        <v>30000000</v>
      </c>
      <c r="D83" s="40"/>
      <c r="E83" s="40"/>
      <c r="F83" s="40"/>
      <c r="G83" s="40"/>
      <c r="H83" s="40">
        <f aca="true" t="shared" si="9" ref="H83:H90">SUM(C83:G83)</f>
        <v>30000000</v>
      </c>
      <c r="I83" s="45"/>
      <c r="J83" s="44"/>
      <c r="K83" s="44"/>
      <c r="L83" s="44"/>
      <c r="M83" s="45">
        <f t="shared" si="6"/>
        <v>30000000</v>
      </c>
      <c r="N83" s="45"/>
      <c r="O83" s="45"/>
      <c r="P83" s="45">
        <f t="shared" si="7"/>
        <v>30000000</v>
      </c>
      <c r="Q83" s="79">
        <f t="shared" si="8"/>
        <v>0</v>
      </c>
      <c r="R83" s="66" t="s">
        <v>299</v>
      </c>
      <c r="S83" s="10">
        <v>180</v>
      </c>
      <c r="T83" s="10">
        <v>240</v>
      </c>
      <c r="U83" s="2"/>
      <c r="V83" s="2"/>
      <c r="W83" s="2"/>
    </row>
    <row r="84" spans="1:23" ht="21.75">
      <c r="A84" s="57" t="s">
        <v>211</v>
      </c>
      <c r="B84" s="14" t="s">
        <v>62</v>
      </c>
      <c r="C84" s="46">
        <v>60000000</v>
      </c>
      <c r="D84" s="40"/>
      <c r="E84" s="40"/>
      <c r="F84" s="40"/>
      <c r="G84" s="40"/>
      <c r="H84" s="40">
        <f t="shared" si="9"/>
        <v>60000000</v>
      </c>
      <c r="I84" s="48">
        <v>10000000</v>
      </c>
      <c r="J84" s="41"/>
      <c r="K84" s="41"/>
      <c r="L84" s="41"/>
      <c r="M84" s="45">
        <f t="shared" si="6"/>
        <v>70000000</v>
      </c>
      <c r="N84" s="41"/>
      <c r="O84" s="41"/>
      <c r="P84" s="45">
        <f t="shared" si="7"/>
        <v>70000000</v>
      </c>
      <c r="Q84" s="79">
        <f t="shared" si="8"/>
        <v>0</v>
      </c>
      <c r="R84" s="66" t="s">
        <v>289</v>
      </c>
      <c r="S84" s="10"/>
      <c r="T84" s="10"/>
      <c r="U84" s="10" t="s">
        <v>290</v>
      </c>
      <c r="V84" s="67">
        <f>900/1300*100</f>
        <v>69.23076923076923</v>
      </c>
      <c r="W84" s="67">
        <f>900/1300*100</f>
        <v>69.23076923076923</v>
      </c>
    </row>
    <row r="85" spans="1:23" ht="21.75">
      <c r="A85" s="57" t="s">
        <v>212</v>
      </c>
      <c r="B85" s="13" t="s">
        <v>63</v>
      </c>
      <c r="C85" s="46">
        <v>10000000</v>
      </c>
      <c r="D85" s="40"/>
      <c r="E85" s="40"/>
      <c r="F85" s="40"/>
      <c r="G85" s="40"/>
      <c r="H85" s="40">
        <f t="shared" si="9"/>
        <v>10000000</v>
      </c>
      <c r="I85" s="44"/>
      <c r="J85" s="44"/>
      <c r="K85" s="44"/>
      <c r="L85" s="44"/>
      <c r="M85" s="45">
        <f t="shared" si="6"/>
        <v>10000000</v>
      </c>
      <c r="N85" s="45"/>
      <c r="O85" s="45"/>
      <c r="P85" s="45">
        <f t="shared" si="7"/>
        <v>10000000</v>
      </c>
      <c r="Q85" s="79">
        <f t="shared" si="8"/>
        <v>0</v>
      </c>
      <c r="R85" s="66" t="s">
        <v>291</v>
      </c>
      <c r="S85" s="10"/>
      <c r="T85" s="10"/>
      <c r="U85" s="10" t="s">
        <v>292</v>
      </c>
      <c r="V85" s="10">
        <v>900</v>
      </c>
      <c r="W85" s="10">
        <v>900</v>
      </c>
    </row>
    <row r="86" spans="1:23" ht="12.75">
      <c r="A86" s="57" t="s">
        <v>213</v>
      </c>
      <c r="B86" s="13" t="s">
        <v>64</v>
      </c>
      <c r="C86" s="46">
        <v>6043124</v>
      </c>
      <c r="D86" s="40"/>
      <c r="E86" s="40"/>
      <c r="F86" s="40"/>
      <c r="G86" s="40"/>
      <c r="H86" s="40">
        <f t="shared" si="9"/>
        <v>6043124</v>
      </c>
      <c r="I86" s="44"/>
      <c r="J86" s="44"/>
      <c r="K86" s="44"/>
      <c r="L86" s="44"/>
      <c r="M86" s="45">
        <f t="shared" si="6"/>
        <v>6043124</v>
      </c>
      <c r="N86" s="45"/>
      <c r="O86" s="45"/>
      <c r="P86" s="45">
        <f t="shared" si="7"/>
        <v>6043124</v>
      </c>
      <c r="Q86" s="79">
        <f t="shared" si="8"/>
        <v>0</v>
      </c>
      <c r="R86" s="2"/>
      <c r="S86" s="2"/>
      <c r="T86" s="2"/>
      <c r="U86" s="2"/>
      <c r="V86" s="2"/>
      <c r="W86" s="2"/>
    </row>
    <row r="87" spans="1:23" ht="12.75">
      <c r="A87" s="57" t="s">
        <v>214</v>
      </c>
      <c r="B87" s="13" t="s">
        <v>65</v>
      </c>
      <c r="C87" s="46">
        <v>50000000</v>
      </c>
      <c r="D87" s="40"/>
      <c r="E87" s="40"/>
      <c r="F87" s="40"/>
      <c r="G87" s="40"/>
      <c r="H87" s="40">
        <f t="shared" si="9"/>
        <v>50000000</v>
      </c>
      <c r="I87" s="44"/>
      <c r="J87" s="44"/>
      <c r="K87" s="44"/>
      <c r="L87" s="44"/>
      <c r="M87" s="45">
        <f t="shared" si="6"/>
        <v>50000000</v>
      </c>
      <c r="N87" s="45">
        <f>5000000+5000000+22000000+8000000</f>
        <v>40000000</v>
      </c>
      <c r="O87" s="45">
        <f>5000000+5000000+11000000+4000000</f>
        <v>25000000</v>
      </c>
      <c r="P87" s="45">
        <f t="shared" si="7"/>
        <v>25000000</v>
      </c>
      <c r="Q87" s="80">
        <f t="shared" si="8"/>
        <v>15000000</v>
      </c>
      <c r="R87" s="2"/>
      <c r="S87" s="2"/>
      <c r="T87" s="2"/>
      <c r="U87" s="2"/>
      <c r="V87" s="2"/>
      <c r="W87" s="2"/>
    </row>
    <row r="88" spans="1:23" ht="12.75">
      <c r="A88" s="57" t="s">
        <v>215</v>
      </c>
      <c r="B88" s="13" t="s">
        <v>154</v>
      </c>
      <c r="C88" s="46">
        <v>30000000</v>
      </c>
      <c r="D88" s="40"/>
      <c r="E88" s="40"/>
      <c r="F88" s="40"/>
      <c r="G88" s="40"/>
      <c r="H88" s="40">
        <f t="shared" si="9"/>
        <v>30000000</v>
      </c>
      <c r="I88" s="41"/>
      <c r="J88" s="41"/>
      <c r="K88" s="41"/>
      <c r="L88" s="41"/>
      <c r="M88" s="45">
        <f t="shared" si="6"/>
        <v>30000000</v>
      </c>
      <c r="N88" s="48">
        <v>14920000</v>
      </c>
      <c r="O88" s="48">
        <v>7460000</v>
      </c>
      <c r="P88" s="45">
        <f t="shared" si="7"/>
        <v>22540000</v>
      </c>
      <c r="Q88" s="80">
        <f t="shared" si="8"/>
        <v>7460000</v>
      </c>
      <c r="R88" s="2"/>
      <c r="S88" s="2"/>
      <c r="T88" s="2"/>
      <c r="U88" s="2"/>
      <c r="V88" s="2"/>
      <c r="W88" s="2"/>
    </row>
    <row r="89" spans="1:23" ht="12.75">
      <c r="A89" s="57" t="s">
        <v>216</v>
      </c>
      <c r="B89" s="13" t="s">
        <v>66</v>
      </c>
      <c r="C89" s="46">
        <v>1000000</v>
      </c>
      <c r="D89" s="40"/>
      <c r="E89" s="40"/>
      <c r="F89" s="40"/>
      <c r="G89" s="40"/>
      <c r="H89" s="40">
        <f t="shared" si="9"/>
        <v>1000000</v>
      </c>
      <c r="I89" s="44"/>
      <c r="J89" s="44"/>
      <c r="K89" s="44"/>
      <c r="L89" s="44"/>
      <c r="M89" s="45">
        <f t="shared" si="6"/>
        <v>1000000</v>
      </c>
      <c r="N89" s="50">
        <f>54750+55440+43370+65250</f>
        <v>218810</v>
      </c>
      <c r="O89" s="50">
        <f>54750+55440+43370+65250</f>
        <v>218810</v>
      </c>
      <c r="P89" s="45">
        <f t="shared" si="7"/>
        <v>781190</v>
      </c>
      <c r="Q89" s="79">
        <f t="shared" si="8"/>
        <v>0</v>
      </c>
      <c r="R89" s="2"/>
      <c r="S89" s="2"/>
      <c r="T89" s="2"/>
      <c r="U89" s="2"/>
      <c r="V89" s="2"/>
      <c r="W89" s="2"/>
    </row>
    <row r="90" spans="1:23" ht="12.75">
      <c r="A90" s="57" t="s">
        <v>217</v>
      </c>
      <c r="B90" s="13" t="s">
        <v>163</v>
      </c>
      <c r="C90" s="46">
        <v>27000000</v>
      </c>
      <c r="D90" s="40"/>
      <c r="E90" s="40"/>
      <c r="F90" s="40"/>
      <c r="G90" s="40"/>
      <c r="H90" s="40">
        <f t="shared" si="9"/>
        <v>27000000</v>
      </c>
      <c r="I90" s="44"/>
      <c r="J90" s="44"/>
      <c r="K90" s="44"/>
      <c r="L90" s="44"/>
      <c r="M90" s="45">
        <f t="shared" si="6"/>
        <v>27000000</v>
      </c>
      <c r="N90" s="44"/>
      <c r="O90" s="44"/>
      <c r="P90" s="45">
        <f t="shared" si="7"/>
        <v>27000000</v>
      </c>
      <c r="Q90" s="79">
        <f t="shared" si="8"/>
        <v>0</v>
      </c>
      <c r="R90" s="2"/>
      <c r="S90" s="2"/>
      <c r="T90" s="2"/>
      <c r="U90" s="2"/>
      <c r="V90" s="2"/>
      <c r="W90" s="2"/>
    </row>
    <row r="91" spans="1:23" ht="12.75">
      <c r="A91" s="55" t="s">
        <v>218</v>
      </c>
      <c r="B91" s="17" t="s">
        <v>67</v>
      </c>
      <c r="C91" s="37">
        <f>SUM(C92:C96)</f>
        <v>255000000</v>
      </c>
      <c r="D91" s="37">
        <f>SUM(D92:D96)</f>
        <v>5000000</v>
      </c>
      <c r="E91" s="40"/>
      <c r="F91" s="40"/>
      <c r="G91" s="40"/>
      <c r="H91" s="43">
        <f>SUM(C91:G91)</f>
        <v>260000000</v>
      </c>
      <c r="I91" s="45">
        <f>+I92+I93+I94+I95+I96</f>
        <v>0</v>
      </c>
      <c r="J91" s="44"/>
      <c r="K91" s="44"/>
      <c r="L91" s="44"/>
      <c r="M91" s="39">
        <f t="shared" si="6"/>
        <v>260000000</v>
      </c>
      <c r="N91" s="45">
        <f>+N92+N93+N94+N95+N96</f>
        <v>14200000</v>
      </c>
      <c r="O91" s="45">
        <f>+O92+O93+O94+O95+O96</f>
        <v>14200000</v>
      </c>
      <c r="P91" s="39">
        <f t="shared" si="7"/>
        <v>245800000</v>
      </c>
      <c r="Q91" s="79">
        <f t="shared" si="8"/>
        <v>0</v>
      </c>
      <c r="R91" s="2"/>
      <c r="S91" s="2"/>
      <c r="T91" s="2"/>
      <c r="U91" s="2"/>
      <c r="V91" s="2"/>
      <c r="W91" s="2"/>
    </row>
    <row r="92" spans="1:23" ht="21.75">
      <c r="A92" s="57" t="s">
        <v>219</v>
      </c>
      <c r="B92" s="13" t="s">
        <v>68</v>
      </c>
      <c r="C92" s="46">
        <v>40000000</v>
      </c>
      <c r="D92" s="46"/>
      <c r="E92" s="40"/>
      <c r="F92" s="40"/>
      <c r="G92" s="40"/>
      <c r="H92" s="40">
        <f aca="true" t="shared" si="10" ref="H92:H105">SUM(C92:G92)</f>
        <v>40000000</v>
      </c>
      <c r="I92" s="44"/>
      <c r="J92" s="44"/>
      <c r="K92" s="44"/>
      <c r="L92" s="44"/>
      <c r="M92" s="45">
        <f t="shared" si="6"/>
        <v>40000000</v>
      </c>
      <c r="N92" s="44"/>
      <c r="O92" s="44"/>
      <c r="P92" s="45">
        <f t="shared" si="7"/>
        <v>40000000</v>
      </c>
      <c r="Q92" s="79">
        <f t="shared" si="8"/>
        <v>0</v>
      </c>
      <c r="R92" s="66" t="s">
        <v>293</v>
      </c>
      <c r="S92" s="10">
        <v>60</v>
      </c>
      <c r="T92" s="10">
        <v>70</v>
      </c>
      <c r="U92" s="66" t="s">
        <v>294</v>
      </c>
      <c r="V92" s="10"/>
      <c r="W92" s="10"/>
    </row>
    <row r="93" spans="1:23" ht="12.75">
      <c r="A93" s="57" t="s">
        <v>220</v>
      </c>
      <c r="B93" s="13" t="s">
        <v>69</v>
      </c>
      <c r="C93" s="46">
        <v>50000000</v>
      </c>
      <c r="D93" s="46"/>
      <c r="E93" s="40"/>
      <c r="F93" s="40"/>
      <c r="G93" s="40"/>
      <c r="H93" s="40">
        <f t="shared" si="10"/>
        <v>50000000</v>
      </c>
      <c r="I93" s="44"/>
      <c r="J93" s="44"/>
      <c r="K93" s="44"/>
      <c r="L93" s="44"/>
      <c r="M93" s="45">
        <f t="shared" si="6"/>
        <v>50000000</v>
      </c>
      <c r="N93" s="44"/>
      <c r="O93" s="44"/>
      <c r="P93" s="45">
        <f t="shared" si="7"/>
        <v>50000000</v>
      </c>
      <c r="Q93" s="79">
        <f t="shared" si="8"/>
        <v>0</v>
      </c>
      <c r="R93" s="10"/>
      <c r="S93" s="10"/>
      <c r="T93" s="10"/>
      <c r="U93" s="10" t="s">
        <v>295</v>
      </c>
      <c r="V93" s="10">
        <v>0.5</v>
      </c>
      <c r="W93" s="10">
        <v>0.4</v>
      </c>
    </row>
    <row r="94" spans="1:23" ht="12.75">
      <c r="A94" s="57" t="s">
        <v>221</v>
      </c>
      <c r="B94" s="13" t="s">
        <v>70</v>
      </c>
      <c r="C94" s="46">
        <v>40000000</v>
      </c>
      <c r="D94" s="46"/>
      <c r="E94" s="40"/>
      <c r="F94" s="40"/>
      <c r="G94" s="40"/>
      <c r="H94" s="40">
        <f t="shared" si="10"/>
        <v>40000000</v>
      </c>
      <c r="I94" s="44"/>
      <c r="J94" s="44"/>
      <c r="K94" s="44"/>
      <c r="L94" s="44"/>
      <c r="M94" s="45">
        <f t="shared" si="6"/>
        <v>40000000</v>
      </c>
      <c r="N94" s="47">
        <v>14200000</v>
      </c>
      <c r="O94" s="47">
        <v>14200000</v>
      </c>
      <c r="P94" s="45">
        <f t="shared" si="7"/>
        <v>25800000</v>
      </c>
      <c r="Q94" s="79">
        <f t="shared" si="8"/>
        <v>0</v>
      </c>
      <c r="R94" s="2"/>
      <c r="S94" s="2"/>
      <c r="T94" s="2"/>
      <c r="U94" s="2"/>
      <c r="V94" s="2"/>
      <c r="W94" s="2"/>
    </row>
    <row r="95" spans="1:23" ht="12.75">
      <c r="A95" s="57" t="s">
        <v>222</v>
      </c>
      <c r="B95" s="13" t="s">
        <v>171</v>
      </c>
      <c r="C95" s="46">
        <v>5000000</v>
      </c>
      <c r="D95" s="46">
        <v>5000000</v>
      </c>
      <c r="E95" s="40"/>
      <c r="F95" s="40"/>
      <c r="G95" s="40"/>
      <c r="H95" s="40">
        <f t="shared" si="10"/>
        <v>10000000</v>
      </c>
      <c r="I95" s="41"/>
      <c r="J95" s="41"/>
      <c r="K95" s="41"/>
      <c r="L95" s="41"/>
      <c r="M95" s="45">
        <f t="shared" si="6"/>
        <v>10000000</v>
      </c>
      <c r="N95" s="41"/>
      <c r="O95" s="41"/>
      <c r="P95" s="45">
        <f t="shared" si="7"/>
        <v>10000000</v>
      </c>
      <c r="Q95" s="79">
        <f t="shared" si="8"/>
        <v>0</v>
      </c>
      <c r="R95" s="2"/>
      <c r="S95" s="2"/>
      <c r="T95" s="2"/>
      <c r="U95" s="2"/>
      <c r="V95" s="2"/>
      <c r="W95" s="2"/>
    </row>
    <row r="96" spans="1:23" ht="12.75">
      <c r="A96" s="57" t="s">
        <v>223</v>
      </c>
      <c r="B96" s="13" t="s">
        <v>176</v>
      </c>
      <c r="C96" s="46">
        <v>120000000</v>
      </c>
      <c r="D96" s="40"/>
      <c r="E96" s="40"/>
      <c r="F96" s="40"/>
      <c r="G96" s="40"/>
      <c r="H96" s="40">
        <f t="shared" si="10"/>
        <v>120000000</v>
      </c>
      <c r="I96" s="44"/>
      <c r="J96" s="44"/>
      <c r="K96" s="44"/>
      <c r="L96" s="44"/>
      <c r="M96" s="45">
        <f t="shared" si="6"/>
        <v>120000000</v>
      </c>
      <c r="N96" s="44"/>
      <c r="O96" s="44"/>
      <c r="P96" s="45">
        <f t="shared" si="7"/>
        <v>120000000</v>
      </c>
      <c r="Q96" s="79">
        <f t="shared" si="8"/>
        <v>0</v>
      </c>
      <c r="R96" s="2"/>
      <c r="S96" s="2"/>
      <c r="T96" s="2"/>
      <c r="U96" s="2"/>
      <c r="V96" s="2"/>
      <c r="W96" s="2"/>
    </row>
    <row r="97" spans="1:23" ht="12.75">
      <c r="A97" s="55" t="s">
        <v>224</v>
      </c>
      <c r="B97" s="17" t="s">
        <v>90</v>
      </c>
      <c r="C97" s="37">
        <f>SUM(C98:C100)</f>
        <v>63000000</v>
      </c>
      <c r="D97" s="37">
        <f>SUM(D98:D100)</f>
        <v>0</v>
      </c>
      <c r="E97" s="37"/>
      <c r="F97" s="43"/>
      <c r="G97" s="43"/>
      <c r="H97" s="43">
        <f t="shared" si="10"/>
        <v>63000000</v>
      </c>
      <c r="I97" s="39">
        <f>+I98+I99+I100</f>
        <v>7000000</v>
      </c>
      <c r="J97" s="44"/>
      <c r="K97" s="44"/>
      <c r="L97" s="44"/>
      <c r="M97" s="39">
        <f t="shared" si="6"/>
        <v>70000000</v>
      </c>
      <c r="N97" s="44">
        <f>+N98+N99+N100</f>
        <v>0</v>
      </c>
      <c r="O97" s="44">
        <f>+O98+O99+O100</f>
        <v>0</v>
      </c>
      <c r="P97" s="39">
        <f t="shared" si="7"/>
        <v>70000000</v>
      </c>
      <c r="Q97" s="79">
        <f t="shared" si="8"/>
        <v>0</v>
      </c>
      <c r="R97" s="2"/>
      <c r="S97" s="2"/>
      <c r="T97" s="2"/>
      <c r="U97" s="2"/>
      <c r="V97" s="2"/>
      <c r="W97" s="2"/>
    </row>
    <row r="98" spans="1:23" ht="16.5" customHeight="1">
      <c r="A98" s="59" t="s">
        <v>225</v>
      </c>
      <c r="B98" s="13" t="s">
        <v>169</v>
      </c>
      <c r="C98" s="46">
        <v>30000000</v>
      </c>
      <c r="D98" s="46"/>
      <c r="E98" s="46"/>
      <c r="F98" s="40"/>
      <c r="G98" s="40"/>
      <c r="H98" s="40">
        <f t="shared" si="10"/>
        <v>30000000</v>
      </c>
      <c r="I98" s="44"/>
      <c r="J98" s="44"/>
      <c r="K98" s="44"/>
      <c r="L98" s="44"/>
      <c r="M98" s="45">
        <f t="shared" si="6"/>
        <v>30000000</v>
      </c>
      <c r="N98" s="44"/>
      <c r="O98" s="44"/>
      <c r="P98" s="45">
        <f t="shared" si="7"/>
        <v>30000000</v>
      </c>
      <c r="Q98" s="79">
        <f t="shared" si="8"/>
        <v>0</v>
      </c>
      <c r="R98" s="2"/>
      <c r="S98" s="2"/>
      <c r="T98" s="2"/>
      <c r="U98" s="2"/>
      <c r="V98" s="2"/>
      <c r="W98" s="2"/>
    </row>
    <row r="99" spans="1:23" ht="21.75">
      <c r="A99" s="59" t="s">
        <v>226</v>
      </c>
      <c r="B99" s="14" t="s">
        <v>91</v>
      </c>
      <c r="C99" s="46">
        <v>30000000</v>
      </c>
      <c r="D99" s="46"/>
      <c r="E99" s="46"/>
      <c r="F99" s="40"/>
      <c r="G99" s="40"/>
      <c r="H99" s="40">
        <f t="shared" si="10"/>
        <v>30000000</v>
      </c>
      <c r="I99" s="44"/>
      <c r="J99" s="44"/>
      <c r="K99" s="44"/>
      <c r="L99" s="44"/>
      <c r="M99" s="45">
        <f t="shared" si="6"/>
        <v>30000000</v>
      </c>
      <c r="N99" s="44"/>
      <c r="O99" s="44"/>
      <c r="P99" s="45">
        <f t="shared" si="7"/>
        <v>30000000</v>
      </c>
      <c r="Q99" s="79">
        <f t="shared" si="8"/>
        <v>0</v>
      </c>
      <c r="R99" s="2"/>
      <c r="S99" s="2"/>
      <c r="T99" s="2"/>
      <c r="U99" s="2"/>
      <c r="V99" s="2"/>
      <c r="W99" s="2"/>
    </row>
    <row r="100" spans="1:23" ht="12.75">
      <c r="A100" s="59" t="s">
        <v>227</v>
      </c>
      <c r="B100" s="13" t="s">
        <v>88</v>
      </c>
      <c r="C100" s="46">
        <v>3000000</v>
      </c>
      <c r="D100" s="46"/>
      <c r="E100" s="46"/>
      <c r="F100" s="40"/>
      <c r="G100" s="40"/>
      <c r="H100" s="40">
        <f t="shared" si="10"/>
        <v>3000000</v>
      </c>
      <c r="I100" s="45">
        <v>7000000</v>
      </c>
      <c r="J100" s="44"/>
      <c r="K100" s="44"/>
      <c r="L100" s="44"/>
      <c r="M100" s="45">
        <f t="shared" si="6"/>
        <v>10000000</v>
      </c>
      <c r="N100" s="44"/>
      <c r="O100" s="44"/>
      <c r="P100" s="45">
        <f t="shared" si="7"/>
        <v>10000000</v>
      </c>
      <c r="Q100" s="79">
        <f t="shared" si="8"/>
        <v>0</v>
      </c>
      <c r="R100" s="2"/>
      <c r="S100" s="2"/>
      <c r="T100" s="2"/>
      <c r="U100" s="2"/>
      <c r="V100" s="2"/>
      <c r="W100" s="2"/>
    </row>
    <row r="101" spans="1:23" ht="17.25" customHeight="1">
      <c r="A101" s="55" t="s">
        <v>228</v>
      </c>
      <c r="B101" s="17" t="s">
        <v>78</v>
      </c>
      <c r="C101" s="37">
        <f>SUM(C102:C104)</f>
        <v>20000000</v>
      </c>
      <c r="D101" s="51">
        <f>SUM(D102:D104)</f>
        <v>0</v>
      </c>
      <c r="E101" s="40"/>
      <c r="F101" s="40"/>
      <c r="G101" s="40"/>
      <c r="H101" s="43">
        <f t="shared" si="10"/>
        <v>20000000</v>
      </c>
      <c r="I101" s="45">
        <f>+I102+I103+I104</f>
        <v>0</v>
      </c>
      <c r="J101" s="44"/>
      <c r="K101" s="44"/>
      <c r="L101" s="44"/>
      <c r="M101" s="39">
        <f t="shared" si="6"/>
        <v>20000000</v>
      </c>
      <c r="N101" s="45">
        <f>+N102+N103+N104</f>
        <v>0</v>
      </c>
      <c r="O101" s="45">
        <f>+O102+O103+O104</f>
        <v>0</v>
      </c>
      <c r="P101" s="39">
        <f t="shared" si="7"/>
        <v>20000000</v>
      </c>
      <c r="Q101" s="79">
        <f t="shared" si="8"/>
        <v>0</v>
      </c>
      <c r="R101" s="2"/>
      <c r="S101" s="2"/>
      <c r="T101" s="2"/>
      <c r="U101" s="2"/>
      <c r="V101" s="2"/>
      <c r="W101" s="2"/>
    </row>
    <row r="102" spans="1:23" ht="23.25" customHeight="1">
      <c r="A102" s="57" t="s">
        <v>229</v>
      </c>
      <c r="B102" s="14" t="s">
        <v>76</v>
      </c>
      <c r="C102" s="46">
        <v>5000000</v>
      </c>
      <c r="D102" s="46"/>
      <c r="E102" s="40"/>
      <c r="F102" s="40"/>
      <c r="G102" s="40"/>
      <c r="H102" s="40">
        <f t="shared" si="10"/>
        <v>5000000</v>
      </c>
      <c r="I102" s="44"/>
      <c r="J102" s="44"/>
      <c r="K102" s="44"/>
      <c r="L102" s="44"/>
      <c r="M102" s="45">
        <f t="shared" si="6"/>
        <v>5000000</v>
      </c>
      <c r="N102" s="44"/>
      <c r="O102" s="44"/>
      <c r="P102" s="45">
        <f t="shared" si="7"/>
        <v>5000000</v>
      </c>
      <c r="Q102" s="79">
        <f t="shared" si="8"/>
        <v>0</v>
      </c>
      <c r="R102" s="10" t="s">
        <v>296</v>
      </c>
      <c r="S102" s="10">
        <v>0</v>
      </c>
      <c r="T102" s="10">
        <v>8</v>
      </c>
      <c r="U102" s="2"/>
      <c r="V102" s="2"/>
      <c r="W102" s="2"/>
    </row>
    <row r="103" spans="1:23" ht="12.75">
      <c r="A103" s="57" t="s">
        <v>230</v>
      </c>
      <c r="B103" s="13" t="s">
        <v>155</v>
      </c>
      <c r="C103" s="46">
        <v>10000000</v>
      </c>
      <c r="D103" s="46"/>
      <c r="E103" s="40"/>
      <c r="F103" s="40"/>
      <c r="G103" s="40"/>
      <c r="H103" s="40">
        <f t="shared" si="10"/>
        <v>10000000</v>
      </c>
      <c r="I103" s="41"/>
      <c r="J103" s="41"/>
      <c r="K103" s="41"/>
      <c r="L103" s="41"/>
      <c r="M103" s="45">
        <f t="shared" si="6"/>
        <v>10000000</v>
      </c>
      <c r="N103" s="41"/>
      <c r="O103" s="41"/>
      <c r="P103" s="45">
        <f t="shared" si="7"/>
        <v>10000000</v>
      </c>
      <c r="Q103" s="79">
        <f t="shared" si="8"/>
        <v>0</v>
      </c>
      <c r="R103" s="10" t="s">
        <v>297</v>
      </c>
      <c r="S103" s="6">
        <v>0</v>
      </c>
      <c r="T103" s="6">
        <v>0</v>
      </c>
      <c r="U103" s="2"/>
      <c r="V103" s="2"/>
      <c r="W103" s="2"/>
    </row>
    <row r="104" spans="1:23" ht="12.75">
      <c r="A104" s="57" t="s">
        <v>231</v>
      </c>
      <c r="B104" s="28" t="s">
        <v>77</v>
      </c>
      <c r="C104" s="46">
        <v>5000000</v>
      </c>
      <c r="D104" s="46"/>
      <c r="E104" s="40"/>
      <c r="F104" s="40"/>
      <c r="G104" s="40"/>
      <c r="H104" s="40">
        <f t="shared" si="10"/>
        <v>5000000</v>
      </c>
      <c r="I104" s="44"/>
      <c r="J104" s="44"/>
      <c r="K104" s="44"/>
      <c r="L104" s="44"/>
      <c r="M104" s="45">
        <f t="shared" si="6"/>
        <v>5000000</v>
      </c>
      <c r="N104" s="44"/>
      <c r="O104" s="44"/>
      <c r="P104" s="45">
        <f t="shared" si="7"/>
        <v>5000000</v>
      </c>
      <c r="Q104" s="79">
        <f t="shared" si="8"/>
        <v>0</v>
      </c>
      <c r="R104" s="10" t="s">
        <v>298</v>
      </c>
      <c r="S104" s="10">
        <v>0</v>
      </c>
      <c r="T104" s="10">
        <v>1</v>
      </c>
      <c r="U104" s="2"/>
      <c r="V104" s="2"/>
      <c r="W104" s="2"/>
    </row>
    <row r="105" spans="1:23" ht="12.75">
      <c r="A105" s="55" t="s">
        <v>232</v>
      </c>
      <c r="B105" s="27" t="s">
        <v>84</v>
      </c>
      <c r="C105" s="37">
        <f>SUM(C106:C114)</f>
        <v>139000000</v>
      </c>
      <c r="D105" s="37">
        <f>SUM(D106:D114)</f>
        <v>3000000</v>
      </c>
      <c r="E105" s="43">
        <f>SUM(E113)</f>
        <v>10000000</v>
      </c>
      <c r="F105" s="40"/>
      <c r="G105" s="40"/>
      <c r="H105" s="43">
        <f t="shared" si="10"/>
        <v>152000000</v>
      </c>
      <c r="I105" s="41">
        <f>+I106+I107+I108+I109+I110+I111+I112+I113+I114</f>
        <v>20000000</v>
      </c>
      <c r="J105" s="41"/>
      <c r="K105" s="41"/>
      <c r="L105" s="41"/>
      <c r="M105" s="39">
        <f t="shared" si="6"/>
        <v>172000000</v>
      </c>
      <c r="N105" s="41">
        <f>+N106+N107+N108+N109+N110+N112+N113+N114</f>
        <v>721360</v>
      </c>
      <c r="O105" s="41">
        <f>+O106+O107+O108+O109+O110+O112+O113+O114</f>
        <v>721360</v>
      </c>
      <c r="P105" s="39">
        <f t="shared" si="7"/>
        <v>171278640</v>
      </c>
      <c r="Q105" s="79">
        <f t="shared" si="8"/>
        <v>0</v>
      </c>
      <c r="R105" s="2"/>
      <c r="S105" s="2"/>
      <c r="T105" s="2"/>
      <c r="U105" s="2"/>
      <c r="V105" s="2"/>
      <c r="W105" s="2"/>
    </row>
    <row r="106" spans="1:23" ht="12.75">
      <c r="A106" s="57" t="s">
        <v>233</v>
      </c>
      <c r="B106" s="13" t="s">
        <v>80</v>
      </c>
      <c r="C106" s="46">
        <v>35000000</v>
      </c>
      <c r="D106" s="46"/>
      <c r="E106" s="46"/>
      <c r="F106" s="40"/>
      <c r="G106" s="40"/>
      <c r="H106" s="40">
        <f aca="true" t="shared" si="11" ref="H106:H114">SUM(C106:G106)</f>
        <v>35000000</v>
      </c>
      <c r="I106" s="44"/>
      <c r="J106" s="44"/>
      <c r="K106" s="44"/>
      <c r="L106" s="44"/>
      <c r="M106" s="45">
        <f t="shared" si="6"/>
        <v>35000000</v>
      </c>
      <c r="N106" s="45"/>
      <c r="O106" s="45"/>
      <c r="P106" s="45">
        <f t="shared" si="7"/>
        <v>35000000</v>
      </c>
      <c r="Q106" s="79">
        <f t="shared" si="8"/>
        <v>0</v>
      </c>
      <c r="R106" s="2"/>
      <c r="S106" s="2"/>
      <c r="T106" s="2"/>
      <c r="U106" s="2"/>
      <c r="V106" s="2"/>
      <c r="W106" s="2"/>
    </row>
    <row r="107" spans="1:23" ht="13.5" customHeight="1">
      <c r="A107" s="57" t="s">
        <v>234</v>
      </c>
      <c r="B107" s="13" t="s">
        <v>85</v>
      </c>
      <c r="C107" s="46"/>
      <c r="D107" s="46">
        <v>1000000</v>
      </c>
      <c r="E107" s="46"/>
      <c r="F107" s="40"/>
      <c r="G107" s="40"/>
      <c r="H107" s="40">
        <f t="shared" si="11"/>
        <v>1000000</v>
      </c>
      <c r="I107" s="44"/>
      <c r="J107" s="44"/>
      <c r="K107" s="44"/>
      <c r="L107" s="44"/>
      <c r="M107" s="45">
        <f t="shared" si="6"/>
        <v>1000000</v>
      </c>
      <c r="N107" s="44"/>
      <c r="O107" s="44"/>
      <c r="P107" s="45">
        <f t="shared" si="7"/>
        <v>1000000</v>
      </c>
      <c r="Q107" s="79">
        <f t="shared" si="8"/>
        <v>0</v>
      </c>
      <c r="R107" s="2"/>
      <c r="S107" s="2"/>
      <c r="T107" s="2"/>
      <c r="U107" s="2"/>
      <c r="V107" s="2"/>
      <c r="W107" s="2"/>
    </row>
    <row r="108" spans="1:23" ht="12.75">
      <c r="A108" s="57" t="s">
        <v>235</v>
      </c>
      <c r="B108" s="14" t="s">
        <v>178</v>
      </c>
      <c r="C108" s="46">
        <v>2000000</v>
      </c>
      <c r="D108" s="37"/>
      <c r="E108" s="37"/>
      <c r="F108" s="40"/>
      <c r="G108" s="40"/>
      <c r="H108" s="40">
        <f t="shared" si="11"/>
        <v>2000000</v>
      </c>
      <c r="I108" s="41"/>
      <c r="J108" s="41"/>
      <c r="K108" s="41"/>
      <c r="L108" s="41"/>
      <c r="M108" s="45">
        <f t="shared" si="6"/>
        <v>2000000</v>
      </c>
      <c r="N108" s="41"/>
      <c r="O108" s="41"/>
      <c r="P108" s="45">
        <f t="shared" si="7"/>
        <v>2000000</v>
      </c>
      <c r="Q108" s="79">
        <f t="shared" si="8"/>
        <v>0</v>
      </c>
      <c r="R108" s="2"/>
      <c r="S108" s="2"/>
      <c r="T108" s="2"/>
      <c r="U108" s="2"/>
      <c r="V108" s="2"/>
      <c r="W108" s="2"/>
    </row>
    <row r="109" spans="1:23" ht="12.75">
      <c r="A109" s="57" t="s">
        <v>236</v>
      </c>
      <c r="B109" s="13" t="s">
        <v>81</v>
      </c>
      <c r="C109" s="46">
        <v>1000000</v>
      </c>
      <c r="D109" s="46"/>
      <c r="E109" s="46"/>
      <c r="F109" s="40"/>
      <c r="G109" s="40"/>
      <c r="H109" s="40">
        <f t="shared" si="11"/>
        <v>1000000</v>
      </c>
      <c r="I109" s="44"/>
      <c r="J109" s="44"/>
      <c r="K109" s="44"/>
      <c r="L109" s="44"/>
      <c r="M109" s="45">
        <f t="shared" si="6"/>
        <v>1000000</v>
      </c>
      <c r="N109" s="45"/>
      <c r="O109" s="45"/>
      <c r="P109" s="45">
        <f t="shared" si="7"/>
        <v>1000000</v>
      </c>
      <c r="Q109" s="79">
        <f t="shared" si="8"/>
        <v>0</v>
      </c>
      <c r="R109" s="2"/>
      <c r="S109" s="2"/>
      <c r="T109" s="2"/>
      <c r="U109" s="2"/>
      <c r="V109" s="2"/>
      <c r="W109" s="2"/>
    </row>
    <row r="110" spans="1:23" ht="15" customHeight="1">
      <c r="A110" s="57" t="s">
        <v>237</v>
      </c>
      <c r="B110" s="14" t="s">
        <v>179</v>
      </c>
      <c r="C110" s="46">
        <v>6000000</v>
      </c>
      <c r="D110" s="46"/>
      <c r="E110" s="46"/>
      <c r="F110" s="40"/>
      <c r="G110" s="40"/>
      <c r="H110" s="40">
        <f t="shared" si="11"/>
        <v>6000000</v>
      </c>
      <c r="I110" s="44"/>
      <c r="J110" s="44"/>
      <c r="K110" s="44"/>
      <c r="L110" s="44"/>
      <c r="M110" s="45">
        <f t="shared" si="6"/>
        <v>6000000</v>
      </c>
      <c r="N110" s="44"/>
      <c r="O110" s="44"/>
      <c r="P110" s="45">
        <f t="shared" si="7"/>
        <v>6000000</v>
      </c>
      <c r="Q110" s="79">
        <f t="shared" si="8"/>
        <v>0</v>
      </c>
      <c r="R110" s="2"/>
      <c r="S110" s="2"/>
      <c r="T110" s="2"/>
      <c r="U110" s="2"/>
      <c r="V110" s="2"/>
      <c r="W110" s="2"/>
    </row>
    <row r="111" spans="1:23" ht="12.75" customHeight="1">
      <c r="A111" s="57" t="s">
        <v>238</v>
      </c>
      <c r="B111" s="13" t="s">
        <v>89</v>
      </c>
      <c r="C111" s="46"/>
      <c r="D111" s="46">
        <v>2000000</v>
      </c>
      <c r="E111" s="46"/>
      <c r="F111" s="40"/>
      <c r="G111" s="40"/>
      <c r="H111" s="40">
        <f t="shared" si="11"/>
        <v>2000000</v>
      </c>
      <c r="I111" s="44"/>
      <c r="J111" s="44"/>
      <c r="K111" s="44"/>
      <c r="L111" s="45"/>
      <c r="M111" s="45">
        <f t="shared" si="6"/>
        <v>2000000</v>
      </c>
      <c r="N111" s="44"/>
      <c r="O111" s="44"/>
      <c r="P111" s="45">
        <f t="shared" si="7"/>
        <v>2000000</v>
      </c>
      <c r="Q111" s="79">
        <f t="shared" si="8"/>
        <v>0</v>
      </c>
      <c r="R111" s="2"/>
      <c r="S111" s="2"/>
      <c r="T111" s="2"/>
      <c r="U111" s="2"/>
      <c r="V111" s="2"/>
      <c r="W111" s="2"/>
    </row>
    <row r="112" spans="1:23" ht="21.75">
      <c r="A112" s="57" t="s">
        <v>239</v>
      </c>
      <c r="B112" s="14" t="s">
        <v>82</v>
      </c>
      <c r="C112" s="46">
        <v>15000000</v>
      </c>
      <c r="D112" s="46"/>
      <c r="E112" s="46"/>
      <c r="F112" s="40"/>
      <c r="G112" s="40"/>
      <c r="H112" s="40">
        <f t="shared" si="11"/>
        <v>15000000</v>
      </c>
      <c r="I112" s="44"/>
      <c r="J112" s="44"/>
      <c r="K112" s="44"/>
      <c r="L112" s="44"/>
      <c r="M112" s="45">
        <f t="shared" si="6"/>
        <v>15000000</v>
      </c>
      <c r="N112" s="47">
        <v>528000</v>
      </c>
      <c r="O112" s="47">
        <v>528000</v>
      </c>
      <c r="P112" s="45">
        <f t="shared" si="7"/>
        <v>14472000</v>
      </c>
      <c r="Q112" s="79">
        <f t="shared" si="8"/>
        <v>0</v>
      </c>
      <c r="R112" s="2"/>
      <c r="S112" s="2"/>
      <c r="T112" s="2"/>
      <c r="U112" s="2"/>
      <c r="V112" s="2"/>
      <c r="W112" s="2"/>
    </row>
    <row r="113" spans="1:23" ht="12.75">
      <c r="A113" s="57" t="s">
        <v>240</v>
      </c>
      <c r="B113" s="13" t="s">
        <v>180</v>
      </c>
      <c r="C113" s="46">
        <v>40000000</v>
      </c>
      <c r="D113" s="46"/>
      <c r="E113" s="46">
        <v>10000000</v>
      </c>
      <c r="F113" s="40"/>
      <c r="G113" s="40"/>
      <c r="H113" s="40">
        <f t="shared" si="11"/>
        <v>50000000</v>
      </c>
      <c r="I113" s="47">
        <v>20000000</v>
      </c>
      <c r="J113" s="44"/>
      <c r="K113" s="44"/>
      <c r="L113" s="44"/>
      <c r="M113" s="45">
        <f t="shared" si="6"/>
        <v>70000000</v>
      </c>
      <c r="N113" s="44"/>
      <c r="O113" s="44"/>
      <c r="P113" s="45">
        <f t="shared" si="7"/>
        <v>70000000</v>
      </c>
      <c r="Q113" s="79">
        <f t="shared" si="8"/>
        <v>0</v>
      </c>
      <c r="R113" s="2"/>
      <c r="S113" s="2"/>
      <c r="T113" s="2"/>
      <c r="U113" s="2"/>
      <c r="V113" s="2"/>
      <c r="W113" s="2"/>
    </row>
    <row r="114" spans="1:23" ht="12.75">
      <c r="A114" s="57" t="s">
        <v>241</v>
      </c>
      <c r="B114" s="13" t="s">
        <v>83</v>
      </c>
      <c r="C114" s="46">
        <v>40000000</v>
      </c>
      <c r="D114" s="46"/>
      <c r="E114" s="46"/>
      <c r="F114" s="40"/>
      <c r="G114" s="40"/>
      <c r="H114" s="40">
        <f t="shared" si="11"/>
        <v>40000000</v>
      </c>
      <c r="I114" s="41"/>
      <c r="J114" s="41"/>
      <c r="K114" s="41"/>
      <c r="L114" s="41"/>
      <c r="M114" s="45">
        <f t="shared" si="6"/>
        <v>40000000</v>
      </c>
      <c r="N114" s="48">
        <f>59330+76810+57220</f>
        <v>193360</v>
      </c>
      <c r="O114" s="48">
        <f>59330+76810+57220</f>
        <v>193360</v>
      </c>
      <c r="P114" s="45">
        <f t="shared" si="7"/>
        <v>39806640</v>
      </c>
      <c r="Q114" s="79">
        <f t="shared" si="8"/>
        <v>0</v>
      </c>
      <c r="R114" s="2"/>
      <c r="S114" s="2"/>
      <c r="T114" s="2"/>
      <c r="U114" s="2"/>
      <c r="V114" s="2"/>
      <c r="W114" s="2"/>
    </row>
    <row r="115" spans="1:23" ht="12.75">
      <c r="A115" s="55" t="s">
        <v>242</v>
      </c>
      <c r="B115" s="17" t="s">
        <v>71</v>
      </c>
      <c r="C115" s="37">
        <f>SUM(C116:C117)</f>
        <v>57000000</v>
      </c>
      <c r="D115" s="37">
        <f>SUM(D116:D117)</f>
        <v>0</v>
      </c>
      <c r="E115" s="40"/>
      <c r="F115" s="40"/>
      <c r="G115" s="40"/>
      <c r="H115" s="43">
        <f aca="true" t="shared" si="12" ref="H115:H128">SUM(C115:G115)</f>
        <v>57000000</v>
      </c>
      <c r="I115" s="52">
        <f>+I116+I117</f>
        <v>24402629</v>
      </c>
      <c r="J115" s="44"/>
      <c r="K115" s="44"/>
      <c r="L115" s="44"/>
      <c r="M115" s="39">
        <f t="shared" si="6"/>
        <v>81402629</v>
      </c>
      <c r="N115" s="42">
        <f>+N116+N117</f>
        <v>0</v>
      </c>
      <c r="O115" s="42">
        <f>+O116+O117</f>
        <v>0</v>
      </c>
      <c r="P115" s="39">
        <f t="shared" si="7"/>
        <v>81402629</v>
      </c>
      <c r="Q115" s="79">
        <f t="shared" si="8"/>
        <v>0</v>
      </c>
      <c r="R115" s="2"/>
      <c r="S115" s="2"/>
      <c r="T115" s="2"/>
      <c r="U115" s="2"/>
      <c r="V115" s="2"/>
      <c r="W115" s="2"/>
    </row>
    <row r="116" spans="1:23" ht="14.25" customHeight="1">
      <c r="A116" s="57" t="s">
        <v>243</v>
      </c>
      <c r="B116" s="14" t="s">
        <v>205</v>
      </c>
      <c r="C116" s="46">
        <v>30000000</v>
      </c>
      <c r="D116" s="46"/>
      <c r="E116" s="40"/>
      <c r="F116" s="40"/>
      <c r="G116" s="40"/>
      <c r="H116" s="40">
        <f t="shared" si="12"/>
        <v>30000000</v>
      </c>
      <c r="I116" s="53">
        <v>7402629</v>
      </c>
      <c r="J116" s="10"/>
      <c r="K116" s="10"/>
      <c r="L116" s="10"/>
      <c r="M116" s="45">
        <f t="shared" si="6"/>
        <v>37402629</v>
      </c>
      <c r="N116" s="10"/>
      <c r="O116" s="10"/>
      <c r="P116" s="45">
        <f t="shared" si="7"/>
        <v>37402629</v>
      </c>
      <c r="Q116" s="79">
        <f t="shared" si="8"/>
        <v>0</v>
      </c>
      <c r="R116" s="2"/>
      <c r="S116" s="2"/>
      <c r="T116" s="2"/>
      <c r="U116" s="2"/>
      <c r="V116" s="2"/>
      <c r="W116" s="2"/>
    </row>
    <row r="117" spans="1:23" ht="12.75">
      <c r="A117" s="57" t="s">
        <v>244</v>
      </c>
      <c r="B117" s="13" t="s">
        <v>43</v>
      </c>
      <c r="C117" s="46">
        <v>27000000</v>
      </c>
      <c r="D117" s="46"/>
      <c r="E117" s="40"/>
      <c r="F117" s="40"/>
      <c r="G117" s="40"/>
      <c r="H117" s="40">
        <f t="shared" si="12"/>
        <v>27000000</v>
      </c>
      <c r="I117" s="53">
        <v>17000000</v>
      </c>
      <c r="J117" s="10"/>
      <c r="K117" s="10"/>
      <c r="L117" s="10"/>
      <c r="M117" s="45">
        <f t="shared" si="6"/>
        <v>44000000</v>
      </c>
      <c r="N117" s="10"/>
      <c r="O117" s="10"/>
      <c r="P117" s="45">
        <f t="shared" si="7"/>
        <v>44000000</v>
      </c>
      <c r="Q117" s="79">
        <f t="shared" si="8"/>
        <v>0</v>
      </c>
      <c r="R117" s="2"/>
      <c r="S117" s="2"/>
      <c r="T117" s="2"/>
      <c r="U117" s="2"/>
      <c r="V117" s="2"/>
      <c r="W117" s="2"/>
    </row>
    <row r="118" spans="1:23" ht="12.75">
      <c r="A118" s="57"/>
      <c r="B118" s="13"/>
      <c r="C118" s="46"/>
      <c r="D118" s="46"/>
      <c r="E118" s="40"/>
      <c r="F118" s="40"/>
      <c r="G118" s="40"/>
      <c r="H118" s="40"/>
      <c r="I118" s="53"/>
      <c r="J118" s="10"/>
      <c r="K118" s="10"/>
      <c r="L118" s="10"/>
      <c r="M118" s="45"/>
      <c r="N118" s="10"/>
      <c r="O118" s="10"/>
      <c r="P118" s="45"/>
      <c r="Q118" s="79"/>
      <c r="R118" s="2"/>
      <c r="S118" s="2"/>
      <c r="T118" s="2"/>
      <c r="U118" s="2"/>
      <c r="V118" s="2"/>
      <c r="W118" s="2"/>
    </row>
    <row r="119" spans="1:23" ht="12.75">
      <c r="A119" s="57"/>
      <c r="B119" s="13"/>
      <c r="C119" s="46"/>
      <c r="D119" s="46"/>
      <c r="E119" s="40"/>
      <c r="F119" s="40"/>
      <c r="G119" s="40"/>
      <c r="H119" s="40"/>
      <c r="I119" s="53"/>
      <c r="J119" s="10"/>
      <c r="K119" s="10"/>
      <c r="L119" s="10"/>
      <c r="M119" s="45"/>
      <c r="N119" s="10"/>
      <c r="O119" s="10"/>
      <c r="P119" s="45"/>
      <c r="Q119" s="79"/>
      <c r="R119" s="2"/>
      <c r="S119" s="2"/>
      <c r="T119" s="2"/>
      <c r="U119" s="2"/>
      <c r="V119" s="2"/>
      <c r="W119" s="2"/>
    </row>
    <row r="120" spans="1:23" ht="12.75">
      <c r="A120" s="55" t="s">
        <v>245</v>
      </c>
      <c r="B120" s="17" t="s">
        <v>86</v>
      </c>
      <c r="C120" s="37">
        <f>SUM(C121)</f>
        <v>35000000</v>
      </c>
      <c r="D120" s="37">
        <f>SUM(D121)</f>
        <v>0</v>
      </c>
      <c r="E120" s="37"/>
      <c r="F120" s="43"/>
      <c r="G120" s="43"/>
      <c r="H120" s="43">
        <f t="shared" si="12"/>
        <v>35000000</v>
      </c>
      <c r="I120" s="54"/>
      <c r="J120" s="54"/>
      <c r="K120" s="10"/>
      <c r="L120" s="10"/>
      <c r="M120" s="39">
        <f t="shared" si="6"/>
        <v>35000000</v>
      </c>
      <c r="N120" s="54">
        <f>N121</f>
        <v>17000000</v>
      </c>
      <c r="O120" s="54">
        <f>O121</f>
        <v>8500000</v>
      </c>
      <c r="P120" s="54">
        <f>P121</f>
        <v>26500000</v>
      </c>
      <c r="Q120" s="79">
        <f t="shared" si="8"/>
        <v>8500000</v>
      </c>
      <c r="R120" s="2"/>
      <c r="S120" s="2"/>
      <c r="T120" s="2"/>
      <c r="U120" s="2"/>
      <c r="V120" s="2"/>
      <c r="W120" s="2"/>
    </row>
    <row r="121" spans="1:23" ht="24" customHeight="1">
      <c r="A121" s="57" t="s">
        <v>246</v>
      </c>
      <c r="B121" s="14" t="s">
        <v>87</v>
      </c>
      <c r="C121" s="46">
        <v>35000000</v>
      </c>
      <c r="D121" s="46"/>
      <c r="E121" s="46"/>
      <c r="F121" s="40"/>
      <c r="G121" s="40"/>
      <c r="H121" s="40">
        <f t="shared" si="12"/>
        <v>35000000</v>
      </c>
      <c r="I121" s="53"/>
      <c r="J121" s="53"/>
      <c r="K121" s="10"/>
      <c r="L121" s="10"/>
      <c r="M121" s="45">
        <f t="shared" si="6"/>
        <v>35000000</v>
      </c>
      <c r="N121" s="53">
        <v>17000000</v>
      </c>
      <c r="O121" s="53">
        <v>8500000</v>
      </c>
      <c r="P121" s="45">
        <f t="shared" si="7"/>
        <v>26500000</v>
      </c>
      <c r="Q121" s="80">
        <f t="shared" si="8"/>
        <v>8500000</v>
      </c>
      <c r="R121" s="2"/>
      <c r="S121" s="2"/>
      <c r="T121" s="2"/>
      <c r="U121" s="2"/>
      <c r="V121" s="2"/>
      <c r="W121" s="2"/>
    </row>
    <row r="122" spans="1:23" ht="12.75">
      <c r="A122" s="55" t="s">
        <v>247</v>
      </c>
      <c r="B122" s="17" t="s">
        <v>74</v>
      </c>
      <c r="C122" s="37">
        <f>SUM(C123:C124)</f>
        <v>40000000</v>
      </c>
      <c r="D122" s="37">
        <f>SUM(D123:D125)</f>
        <v>15000000</v>
      </c>
      <c r="E122" s="40"/>
      <c r="F122" s="40"/>
      <c r="G122" s="40"/>
      <c r="H122" s="43">
        <f t="shared" si="12"/>
        <v>55000000</v>
      </c>
      <c r="I122" s="54"/>
      <c r="J122" s="54"/>
      <c r="K122" s="10"/>
      <c r="L122" s="10"/>
      <c r="M122" s="39">
        <f t="shared" si="6"/>
        <v>55000000</v>
      </c>
      <c r="N122" s="54">
        <f>+N123+N124+N125</f>
        <v>34000000</v>
      </c>
      <c r="O122" s="54">
        <f>+O123+O124+O125</f>
        <v>17000000</v>
      </c>
      <c r="P122" s="54">
        <f>+P123+P124+P125</f>
        <v>38000000</v>
      </c>
      <c r="Q122" s="79">
        <f t="shared" si="8"/>
        <v>17000000</v>
      </c>
      <c r="R122" s="2"/>
      <c r="S122" s="2"/>
      <c r="T122" s="2"/>
      <c r="U122" s="2"/>
      <c r="V122" s="2"/>
      <c r="W122" s="2"/>
    </row>
    <row r="123" spans="1:23" ht="21.75">
      <c r="A123" s="57" t="s">
        <v>248</v>
      </c>
      <c r="B123" s="14" t="s">
        <v>72</v>
      </c>
      <c r="C123" s="46">
        <v>20000000</v>
      </c>
      <c r="D123" s="46">
        <v>10000000</v>
      </c>
      <c r="E123" s="40"/>
      <c r="F123" s="40"/>
      <c r="G123" s="40"/>
      <c r="H123" s="40">
        <f t="shared" si="12"/>
        <v>30000000</v>
      </c>
      <c r="I123" s="53"/>
      <c r="J123" s="53"/>
      <c r="K123" s="10"/>
      <c r="L123" s="10"/>
      <c r="M123" s="45">
        <f t="shared" si="6"/>
        <v>30000000</v>
      </c>
      <c r="N123" s="53">
        <f>12000000+22000000</f>
        <v>34000000</v>
      </c>
      <c r="O123" s="53">
        <f>6000000+11000000</f>
        <v>17000000</v>
      </c>
      <c r="P123" s="45">
        <f t="shared" si="7"/>
        <v>13000000</v>
      </c>
      <c r="Q123" s="80">
        <f t="shared" si="8"/>
        <v>17000000</v>
      </c>
      <c r="R123" s="64"/>
      <c r="S123" s="64"/>
      <c r="T123" s="64"/>
      <c r="U123" s="64"/>
      <c r="V123" s="64"/>
      <c r="W123" s="64"/>
    </row>
    <row r="124" spans="1:23" ht="12.75">
      <c r="A124" s="57" t="s">
        <v>249</v>
      </c>
      <c r="B124" s="13" t="s">
        <v>73</v>
      </c>
      <c r="C124" s="46">
        <v>20000000</v>
      </c>
      <c r="D124" s="46"/>
      <c r="E124" s="40"/>
      <c r="F124" s="40"/>
      <c r="G124" s="40"/>
      <c r="H124" s="40">
        <f t="shared" si="12"/>
        <v>20000000</v>
      </c>
      <c r="I124" s="10"/>
      <c r="J124" s="10"/>
      <c r="K124" s="10"/>
      <c r="L124" s="10"/>
      <c r="M124" s="45">
        <f t="shared" si="6"/>
        <v>20000000</v>
      </c>
      <c r="N124" s="10"/>
      <c r="O124" s="10"/>
      <c r="P124" s="45">
        <f t="shared" si="7"/>
        <v>20000000</v>
      </c>
      <c r="Q124" s="79">
        <f t="shared" si="8"/>
        <v>0</v>
      </c>
      <c r="R124" s="10" t="s">
        <v>300</v>
      </c>
      <c r="S124" s="10">
        <v>1</v>
      </c>
      <c r="T124" s="10">
        <v>1</v>
      </c>
      <c r="U124" s="10" t="s">
        <v>301</v>
      </c>
      <c r="V124" s="10">
        <v>55.42</v>
      </c>
      <c r="W124" s="69">
        <v>58</v>
      </c>
    </row>
    <row r="125" spans="1:23" ht="12.75">
      <c r="A125" s="57" t="s">
        <v>250</v>
      </c>
      <c r="B125" s="13" t="s">
        <v>75</v>
      </c>
      <c r="C125" s="46"/>
      <c r="D125" s="46">
        <v>5000000</v>
      </c>
      <c r="E125" s="40"/>
      <c r="F125" s="40"/>
      <c r="G125" s="40"/>
      <c r="H125" s="40">
        <f t="shared" si="12"/>
        <v>5000000</v>
      </c>
      <c r="I125" s="10"/>
      <c r="J125" s="10"/>
      <c r="K125" s="10"/>
      <c r="L125" s="10"/>
      <c r="M125" s="45">
        <f t="shared" si="6"/>
        <v>5000000</v>
      </c>
      <c r="N125" s="10"/>
      <c r="O125" s="10"/>
      <c r="P125" s="45">
        <f t="shared" si="7"/>
        <v>5000000</v>
      </c>
      <c r="Q125" s="79">
        <f t="shared" si="8"/>
        <v>0</v>
      </c>
      <c r="R125" s="10" t="s">
        <v>302</v>
      </c>
      <c r="S125" s="10">
        <v>1</v>
      </c>
      <c r="T125" s="10">
        <v>1</v>
      </c>
      <c r="U125" s="10"/>
      <c r="V125" s="10"/>
      <c r="W125" s="10"/>
    </row>
    <row r="126" spans="1:23" ht="12.75">
      <c r="A126" s="55" t="s">
        <v>251</v>
      </c>
      <c r="B126" s="17" t="s">
        <v>79</v>
      </c>
      <c r="C126" s="37">
        <f>SUM(C127)</f>
        <v>25000000</v>
      </c>
      <c r="D126" s="37">
        <f>SUM(D127:D128)</f>
        <v>0</v>
      </c>
      <c r="E126" s="43">
        <f>SUM(E128)</f>
        <v>15000000</v>
      </c>
      <c r="F126" s="43"/>
      <c r="G126" s="43"/>
      <c r="H126" s="43">
        <f t="shared" si="12"/>
        <v>40000000</v>
      </c>
      <c r="I126" s="10">
        <f>+I127+I128</f>
        <v>0</v>
      </c>
      <c r="J126" s="10"/>
      <c r="K126" s="10"/>
      <c r="L126" s="10"/>
      <c r="M126" s="39">
        <f t="shared" si="6"/>
        <v>40000000</v>
      </c>
      <c r="N126" s="54">
        <f>N127+N128</f>
        <v>8402830</v>
      </c>
      <c r="O126" s="54">
        <f>O127+O128</f>
        <v>6902830</v>
      </c>
      <c r="P126" s="54">
        <f>P127+P128</f>
        <v>33097170</v>
      </c>
      <c r="Q126" s="79">
        <f t="shared" si="8"/>
        <v>1500000</v>
      </c>
      <c r="R126" s="2"/>
      <c r="S126" s="2"/>
      <c r="T126" s="2"/>
      <c r="U126" s="2"/>
      <c r="V126" s="2"/>
      <c r="W126" s="2"/>
    </row>
    <row r="127" spans="1:23" ht="12.75">
      <c r="A127" s="57" t="s">
        <v>252</v>
      </c>
      <c r="B127" s="13" t="s">
        <v>93</v>
      </c>
      <c r="C127" s="46">
        <v>25000000</v>
      </c>
      <c r="D127" s="46"/>
      <c r="E127" s="40"/>
      <c r="F127" s="40"/>
      <c r="G127" s="40"/>
      <c r="H127" s="40">
        <f t="shared" si="12"/>
        <v>25000000</v>
      </c>
      <c r="I127" s="10"/>
      <c r="J127" s="10"/>
      <c r="K127" s="10"/>
      <c r="L127" s="10"/>
      <c r="M127" s="45">
        <f t="shared" si="6"/>
        <v>25000000</v>
      </c>
      <c r="N127" s="53">
        <f>111520+1360000+6876+115807+116890+152097+7100+1360000+115600+115600+6800+151300+7100+1360000</f>
        <v>4986690</v>
      </c>
      <c r="O127" s="53">
        <f>111520+1360000+6876+115807+116890+152097+7100+1360000+115600+115600+6800+151300+7100+1360000</f>
        <v>4986690</v>
      </c>
      <c r="P127" s="45">
        <f t="shared" si="7"/>
        <v>20013310</v>
      </c>
      <c r="Q127" s="79">
        <f t="shared" si="8"/>
        <v>0</v>
      </c>
      <c r="R127" s="6"/>
      <c r="S127" s="2"/>
      <c r="T127" s="2"/>
      <c r="U127" s="2"/>
      <c r="V127" s="2"/>
      <c r="W127" s="2"/>
    </row>
    <row r="128" spans="1:23" ht="12.75">
      <c r="A128" s="70" t="s">
        <v>253</v>
      </c>
      <c r="B128" s="71" t="s">
        <v>94</v>
      </c>
      <c r="C128" s="72"/>
      <c r="D128" s="72"/>
      <c r="E128" s="72">
        <v>15000000</v>
      </c>
      <c r="F128" s="73"/>
      <c r="G128" s="73"/>
      <c r="H128" s="73">
        <f t="shared" si="12"/>
        <v>15000000</v>
      </c>
      <c r="I128" s="74"/>
      <c r="J128" s="74"/>
      <c r="K128" s="74"/>
      <c r="L128" s="74"/>
      <c r="M128" s="75">
        <f t="shared" si="6"/>
        <v>15000000</v>
      </c>
      <c r="N128" s="76">
        <f>40400+196890+98150+3000000+80700</f>
        <v>3416140</v>
      </c>
      <c r="O128" s="76">
        <f>40400+196890+98150+1500000+80700</f>
        <v>1916140</v>
      </c>
      <c r="P128" s="75">
        <f t="shared" si="7"/>
        <v>13083860</v>
      </c>
      <c r="Q128" s="81">
        <f t="shared" si="8"/>
        <v>1500000</v>
      </c>
      <c r="R128" s="66" t="s">
        <v>303</v>
      </c>
      <c r="S128" s="2"/>
      <c r="T128" s="2"/>
      <c r="U128" s="2"/>
      <c r="V128" s="2"/>
      <c r="W128" s="2"/>
    </row>
    <row r="129" spans="1:23" s="5" customFormat="1" ht="21.75">
      <c r="A129" s="2"/>
      <c r="B129" s="77"/>
      <c r="C129" s="78"/>
      <c r="D129" s="78"/>
      <c r="E129" s="7"/>
      <c r="F129" s="7"/>
      <c r="G129" s="7"/>
      <c r="H129" s="7"/>
      <c r="I129" s="2"/>
      <c r="J129" s="2"/>
      <c r="K129" s="2"/>
      <c r="L129" s="2"/>
      <c r="M129" s="2"/>
      <c r="N129" s="2" t="s">
        <v>203</v>
      </c>
      <c r="O129" s="2"/>
      <c r="P129" s="2"/>
      <c r="Q129" s="82"/>
      <c r="R129" s="66" t="s">
        <v>304</v>
      </c>
      <c r="S129" s="2"/>
      <c r="T129" s="2"/>
      <c r="U129" s="2"/>
      <c r="V129" s="2"/>
      <c r="W129" s="2"/>
    </row>
    <row r="130" spans="1:23" ht="21.75">
      <c r="A130" s="2"/>
      <c r="B130" s="2"/>
      <c r="C130" s="7"/>
      <c r="D130" s="7"/>
      <c r="E130" s="7"/>
      <c r="F130" s="7"/>
      <c r="G130" s="7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66" t="s">
        <v>305</v>
      </c>
      <c r="S130" s="2"/>
      <c r="T130" s="2"/>
      <c r="U130" s="2"/>
      <c r="V130" s="2"/>
      <c r="W130" s="2"/>
    </row>
    <row r="131" spans="1:23" ht="12.75">
      <c r="A131" s="2"/>
      <c r="B131" s="2"/>
      <c r="C131" s="7"/>
      <c r="D131" s="7"/>
      <c r="E131" s="7"/>
      <c r="F131" s="7"/>
      <c r="G131" s="7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2"/>
      <c r="T131" s="2"/>
      <c r="U131" s="2"/>
      <c r="V131" s="2"/>
      <c r="W131" s="2"/>
    </row>
    <row r="132" ht="12.75">
      <c r="B132" s="1"/>
    </row>
    <row r="133" spans="1:3" ht="12.75">
      <c r="A133" s="1" t="s">
        <v>206</v>
      </c>
      <c r="B133"/>
      <c r="C133"/>
    </row>
    <row r="134" spans="1:3" ht="12.75">
      <c r="A134" t="s">
        <v>207</v>
      </c>
      <c r="B134"/>
      <c r="C134"/>
    </row>
    <row r="137" ht="9" customHeight="1"/>
    <row r="139" ht="12.75">
      <c r="A139" s="1"/>
    </row>
  </sheetData>
  <sheetProtection/>
  <mergeCells count="15">
    <mergeCell ref="P4:P6"/>
    <mergeCell ref="Q4:Q6"/>
    <mergeCell ref="I5:J5"/>
    <mergeCell ref="K5:L5"/>
    <mergeCell ref="R6:T6"/>
    <mergeCell ref="U6:W6"/>
    <mergeCell ref="A1:Q1"/>
    <mergeCell ref="A2:Q2"/>
    <mergeCell ref="A3:Q3"/>
    <mergeCell ref="A4:A6"/>
    <mergeCell ref="B4:B6"/>
    <mergeCell ref="I4:L4"/>
    <mergeCell ref="M4:M6"/>
    <mergeCell ref="N4:N6"/>
    <mergeCell ref="O4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39"/>
  <sheetViews>
    <sheetView zoomScalePageLayoutView="0" workbookViewId="0" topLeftCell="A64">
      <selection activeCell="B12" sqref="B12:B14"/>
    </sheetView>
  </sheetViews>
  <sheetFormatPr defaultColWidth="11.421875" defaultRowHeight="12.75"/>
  <cols>
    <col min="1" max="1" width="12.140625" style="87" customWidth="1"/>
    <col min="2" max="2" width="42.8515625" style="85" customWidth="1"/>
    <col min="3" max="3" width="10.140625" style="85" customWidth="1"/>
    <col min="4" max="4" width="21.421875" style="85" hidden="1" customWidth="1"/>
    <col min="5" max="5" width="20.140625" style="85" hidden="1" customWidth="1"/>
    <col min="6" max="6" width="17.421875" style="85" hidden="1" customWidth="1"/>
    <col min="7" max="7" width="11.140625" style="85" hidden="1" customWidth="1"/>
    <col min="8" max="8" width="17.57421875" style="85" hidden="1" customWidth="1"/>
    <col min="9" max="9" width="18.57421875" style="85" customWidth="1"/>
    <col min="10" max="10" width="18.7109375" style="85" hidden="1" customWidth="1"/>
    <col min="11" max="11" width="18.140625" style="85" hidden="1" customWidth="1"/>
    <col min="12" max="12" width="16.8515625" style="85" hidden="1" customWidth="1"/>
    <col min="13" max="13" width="15.7109375" style="85" hidden="1" customWidth="1"/>
    <col min="14" max="14" width="32.140625" style="85" customWidth="1"/>
    <col min="15" max="16" width="13.140625" style="85" customWidth="1"/>
    <col min="17" max="17" width="29.28125" style="85" customWidth="1"/>
    <col min="18" max="16384" width="11.421875" style="85" customWidth="1"/>
  </cols>
  <sheetData>
    <row r="1" spans="1:13" ht="18">
      <c r="A1" s="213" t="s">
        <v>322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2:10" ht="12.75">
      <c r="B4" s="86"/>
      <c r="C4" s="86"/>
      <c r="E4" s="88"/>
      <c r="J4" s="88"/>
    </row>
    <row r="5" spans="1:19" ht="12.75" customHeight="1">
      <c r="A5" s="89"/>
      <c r="B5" s="216" t="s">
        <v>323</v>
      </c>
      <c r="C5" s="217"/>
      <c r="D5" s="222"/>
      <c r="E5" s="225" t="s">
        <v>190</v>
      </c>
      <c r="F5" s="226"/>
      <c r="G5" s="226"/>
      <c r="H5" s="227"/>
      <c r="I5" s="228" t="s">
        <v>191</v>
      </c>
      <c r="J5" s="228" t="s">
        <v>192</v>
      </c>
      <c r="K5" s="228" t="s">
        <v>193</v>
      </c>
      <c r="L5" s="228" t="s">
        <v>194</v>
      </c>
      <c r="M5" s="231" t="s">
        <v>195</v>
      </c>
      <c r="N5" s="6"/>
      <c r="O5" s="6"/>
      <c r="P5" s="6"/>
      <c r="Q5" s="6"/>
      <c r="R5" s="6"/>
      <c r="S5" s="6"/>
    </row>
    <row r="6" spans="1:19" ht="12.75">
      <c r="A6" s="90"/>
      <c r="B6" s="218"/>
      <c r="C6" s="219"/>
      <c r="D6" s="223"/>
      <c r="E6" s="225" t="s">
        <v>196</v>
      </c>
      <c r="F6" s="227"/>
      <c r="G6" s="225" t="s">
        <v>197</v>
      </c>
      <c r="H6" s="227"/>
      <c r="I6" s="229"/>
      <c r="J6" s="229"/>
      <c r="K6" s="229"/>
      <c r="L6" s="229"/>
      <c r="M6" s="232"/>
      <c r="N6" s="6"/>
      <c r="O6" s="6"/>
      <c r="P6" s="6"/>
      <c r="Q6" s="6"/>
      <c r="R6" s="6"/>
      <c r="S6" s="6"/>
    </row>
    <row r="7" spans="1:19" ht="15.75" customHeight="1">
      <c r="A7" s="92"/>
      <c r="B7" s="220"/>
      <c r="C7" s="221"/>
      <c r="D7" s="224"/>
      <c r="E7" s="94" t="s">
        <v>198</v>
      </c>
      <c r="F7" s="94" t="s">
        <v>199</v>
      </c>
      <c r="G7" s="94" t="s">
        <v>324</v>
      </c>
      <c r="H7" s="94" t="s">
        <v>199</v>
      </c>
      <c r="I7" s="230"/>
      <c r="J7" s="230"/>
      <c r="K7" s="230"/>
      <c r="L7" s="230"/>
      <c r="M7" s="233"/>
      <c r="N7" s="234" t="s">
        <v>254</v>
      </c>
      <c r="O7" s="235"/>
      <c r="P7" s="236"/>
      <c r="Q7" s="234" t="s">
        <v>255</v>
      </c>
      <c r="R7" s="235"/>
      <c r="S7" s="236"/>
    </row>
    <row r="8" spans="1:19" s="100" customFormat="1" ht="15">
      <c r="A8" s="95" t="s">
        <v>325</v>
      </c>
      <c r="B8" s="96" t="s">
        <v>4</v>
      </c>
      <c r="C8" s="96"/>
      <c r="D8" s="97">
        <f>+D10+D67+D97+D140+D162+D187+D195+D206+D228+D243+D253+D262+D266+D297+D302+D307+D323</f>
        <v>1189074592</v>
      </c>
      <c r="E8" s="97">
        <f>+E10+E67+E97+E140+E162+E187+E195+E206+E228+E243+E253+E262+E266+E297+E302+E307+E323</f>
        <v>1196697353.36</v>
      </c>
      <c r="F8" s="97">
        <f>+F10+F67+F97+F140+F162+F187+F195+F206+F228+F243+F253+F262+F266+F297+F302+F307+F323</f>
        <v>374849991</v>
      </c>
      <c r="G8" s="97">
        <f>+G10+G67+G97+G140+G162+G187+G195+G206+G228+G243+G253+G262+G266+G297+G302+G307+G323</f>
        <v>20192</v>
      </c>
      <c r="H8" s="97">
        <f>+H10+H67+H97+H140+H162+H187+H195+H206+H228+H243+H253+H262+H266+H297+H302+H307+H323</f>
        <v>374849991</v>
      </c>
      <c r="I8" s="98">
        <f aca="true" t="shared" si="0" ref="I8:I71">+D8+E8+F8-G8-H8</f>
        <v>2385751753.3599997</v>
      </c>
      <c r="J8" s="98">
        <f>+J10+J67+J97+J140+J162+J187+J195+J206+J228+J243+J253+J262+J266+J297+J302+J307+J323</f>
        <v>2357190218.02</v>
      </c>
      <c r="K8" s="98">
        <f>+K10+K67+K97+K140+K162+K187+K195+K206+K228+K243+K253+K262+K266+K297+K302+K307+K323</f>
        <v>1548201723.02</v>
      </c>
      <c r="L8" s="98">
        <f>+I8-K8</f>
        <v>837550030.3399997</v>
      </c>
      <c r="M8" s="98">
        <f>+J8-K8</f>
        <v>808988495</v>
      </c>
      <c r="N8" s="62" t="s">
        <v>256</v>
      </c>
      <c r="O8" s="63" t="s">
        <v>257</v>
      </c>
      <c r="P8" s="99" t="s">
        <v>258</v>
      </c>
      <c r="Q8" s="62" t="s">
        <v>256</v>
      </c>
      <c r="R8" s="63" t="s">
        <v>257</v>
      </c>
      <c r="S8" s="99" t="s">
        <v>258</v>
      </c>
    </row>
    <row r="9" spans="1:19" ht="12.75">
      <c r="A9" s="101" t="s">
        <v>326</v>
      </c>
      <c r="B9" s="98"/>
      <c r="C9" s="98"/>
      <c r="D9" s="98"/>
      <c r="E9" s="98"/>
      <c r="F9" s="98"/>
      <c r="G9" s="98"/>
      <c r="H9" s="98"/>
      <c r="I9" s="98">
        <f t="shared" si="0"/>
        <v>0</v>
      </c>
      <c r="J9" s="98"/>
      <c r="K9" s="98"/>
      <c r="L9" s="102">
        <f aca="true" t="shared" si="1" ref="L9:L76">+I9-K9</f>
        <v>0</v>
      </c>
      <c r="M9" s="102">
        <f aca="true" t="shared" si="2" ref="M9:M76">+J9-K9</f>
        <v>0</v>
      </c>
      <c r="N9" s="103"/>
      <c r="O9" s="103"/>
      <c r="P9" s="104"/>
      <c r="Q9" s="103"/>
      <c r="R9" s="103"/>
      <c r="S9" s="105"/>
    </row>
    <row r="10" spans="1:19" s="100" customFormat="1" ht="15">
      <c r="A10" s="95" t="s">
        <v>97</v>
      </c>
      <c r="B10" s="96" t="s">
        <v>17</v>
      </c>
      <c r="C10" s="96"/>
      <c r="D10" s="106">
        <f>SUM(D11+D41+D59)</f>
        <v>81901073</v>
      </c>
      <c r="E10" s="106">
        <f>SUM(E11+E41+E59)</f>
        <v>78404869.21000001</v>
      </c>
      <c r="F10" s="106">
        <f>SUM(F11+F41+F59)</f>
        <v>30416026</v>
      </c>
      <c r="G10" s="106">
        <f>SUM(G11+G41+G59)</f>
        <v>0</v>
      </c>
      <c r="H10" s="106">
        <f>SUM(H11+H41+H59)</f>
        <v>3342315</v>
      </c>
      <c r="I10" s="98">
        <f t="shared" si="0"/>
        <v>187379653.21</v>
      </c>
      <c r="J10" s="107">
        <f>SUM(J11+J41+J59)</f>
        <v>183887828</v>
      </c>
      <c r="K10" s="107">
        <f>SUM(K11+K41+K59)</f>
        <v>137171135</v>
      </c>
      <c r="L10" s="98">
        <f t="shared" si="1"/>
        <v>50208518.21000001</v>
      </c>
      <c r="M10" s="108">
        <f t="shared" si="2"/>
        <v>46716693</v>
      </c>
      <c r="N10" s="109"/>
      <c r="O10" s="109"/>
      <c r="P10" s="64"/>
      <c r="Q10" s="64"/>
      <c r="R10" s="64"/>
      <c r="S10" s="64"/>
    </row>
    <row r="11" spans="1:19" ht="15">
      <c r="A11" s="92" t="s">
        <v>98</v>
      </c>
      <c r="B11" s="98" t="s">
        <v>202</v>
      </c>
      <c r="C11" s="98"/>
      <c r="D11" s="107">
        <f>+D14+D17+D20+D23+D26+D29+D33+D36+D38+D40</f>
        <v>16331718</v>
      </c>
      <c r="E11" s="107">
        <f aca="true" t="shared" si="3" ref="E11:M11">+E14+E17+E20+E23+E26+E29+E33+E36+E38+E40</f>
        <v>66051878.21</v>
      </c>
      <c r="F11" s="107">
        <f t="shared" si="3"/>
        <v>13864000</v>
      </c>
      <c r="G11" s="107">
        <f t="shared" si="3"/>
        <v>0</v>
      </c>
      <c r="H11" s="107">
        <f t="shared" si="3"/>
        <v>283123</v>
      </c>
      <c r="I11" s="98">
        <f t="shared" si="0"/>
        <v>95964473.21000001</v>
      </c>
      <c r="J11" s="107">
        <f t="shared" si="3"/>
        <v>92795878</v>
      </c>
      <c r="K11" s="107">
        <f t="shared" si="3"/>
        <v>55524315</v>
      </c>
      <c r="L11" s="98">
        <f t="shared" si="1"/>
        <v>40440158.21000001</v>
      </c>
      <c r="M11" s="110">
        <f t="shared" si="3"/>
        <v>37271563</v>
      </c>
      <c r="N11" s="109"/>
      <c r="O11" s="6"/>
      <c r="P11" s="6"/>
      <c r="Q11" s="6"/>
      <c r="R11" s="6"/>
      <c r="S11" s="6"/>
    </row>
    <row r="12" spans="1:19" ht="15" customHeight="1">
      <c r="A12" s="237" t="s">
        <v>99</v>
      </c>
      <c r="B12" s="239" t="s">
        <v>327</v>
      </c>
      <c r="C12" s="111" t="s">
        <v>328</v>
      </c>
      <c r="D12" s="111"/>
      <c r="E12" s="6"/>
      <c r="F12" s="112">
        <v>10000000</v>
      </c>
      <c r="G12" s="6"/>
      <c r="H12" s="6"/>
      <c r="I12" s="102">
        <f t="shared" si="0"/>
        <v>10000000</v>
      </c>
      <c r="J12" s="112">
        <v>10000000</v>
      </c>
      <c r="K12" s="112">
        <v>5000000</v>
      </c>
      <c r="L12" s="102">
        <f t="shared" si="1"/>
        <v>5000000</v>
      </c>
      <c r="M12" s="113">
        <f t="shared" si="2"/>
        <v>5000000</v>
      </c>
      <c r="N12" s="109"/>
      <c r="O12" s="6"/>
      <c r="P12" s="6"/>
      <c r="Q12" s="6"/>
      <c r="R12" s="6"/>
      <c r="S12" s="6"/>
    </row>
    <row r="13" spans="1:19" ht="15" customHeight="1">
      <c r="A13" s="238"/>
      <c r="B13" s="240"/>
      <c r="C13" s="111" t="s">
        <v>329</v>
      </c>
      <c r="D13" s="111"/>
      <c r="E13" s="6"/>
      <c r="F13" s="6"/>
      <c r="G13" s="6"/>
      <c r="H13" s="6"/>
      <c r="I13" s="102">
        <f t="shared" si="0"/>
        <v>0</v>
      </c>
      <c r="J13" s="102">
        <f>+E13+F13+G13-H13-I13</f>
        <v>0</v>
      </c>
      <c r="K13" s="102">
        <f>+F13+G13+H13-I13-J13</f>
        <v>0</v>
      </c>
      <c r="L13" s="102">
        <f t="shared" si="1"/>
        <v>0</v>
      </c>
      <c r="M13" s="113">
        <f t="shared" si="2"/>
        <v>0</v>
      </c>
      <c r="N13" s="10"/>
      <c r="O13" s="10"/>
      <c r="P13" s="10"/>
      <c r="Q13" s="10" t="s">
        <v>259</v>
      </c>
      <c r="R13" s="65">
        <v>0.84</v>
      </c>
      <c r="S13" s="65">
        <v>0.84</v>
      </c>
    </row>
    <row r="14" spans="1:19" s="116" customFormat="1" ht="21.75">
      <c r="A14" s="224"/>
      <c r="B14" s="241"/>
      <c r="C14" s="115" t="s">
        <v>330</v>
      </c>
      <c r="D14" s="107">
        <f>SUM(D12:D13)</f>
        <v>0</v>
      </c>
      <c r="E14" s="107">
        <f aca="true" t="shared" si="4" ref="E14:K14">SUM(E12:E13)</f>
        <v>0</v>
      </c>
      <c r="F14" s="107">
        <f t="shared" si="4"/>
        <v>10000000</v>
      </c>
      <c r="G14" s="107">
        <f t="shared" si="4"/>
        <v>0</v>
      </c>
      <c r="H14" s="107">
        <f t="shared" si="4"/>
        <v>0</v>
      </c>
      <c r="I14" s="98">
        <f t="shared" si="0"/>
        <v>10000000</v>
      </c>
      <c r="J14" s="107">
        <f t="shared" si="4"/>
        <v>10000000</v>
      </c>
      <c r="K14" s="107">
        <f t="shared" si="4"/>
        <v>5000000</v>
      </c>
      <c r="L14" s="98">
        <f t="shared" si="1"/>
        <v>5000000</v>
      </c>
      <c r="M14" s="108">
        <f t="shared" si="2"/>
        <v>5000000</v>
      </c>
      <c r="N14" s="66" t="s">
        <v>260</v>
      </c>
      <c r="O14" s="10">
        <v>100</v>
      </c>
      <c r="P14" s="10">
        <v>100</v>
      </c>
      <c r="Q14" s="10" t="s">
        <v>261</v>
      </c>
      <c r="R14" s="10">
        <f>1085+95</f>
        <v>1180</v>
      </c>
      <c r="S14" s="10">
        <v>1180</v>
      </c>
    </row>
    <row r="15" spans="1:19" ht="21.75">
      <c r="A15" s="237" t="s">
        <v>101</v>
      </c>
      <c r="B15" s="242" t="s">
        <v>331</v>
      </c>
      <c r="C15" s="111" t="s">
        <v>328</v>
      </c>
      <c r="D15" s="111">
        <v>3449000</v>
      </c>
      <c r="E15" s="112">
        <v>1958338</v>
      </c>
      <c r="F15" s="6"/>
      <c r="G15" s="6"/>
      <c r="H15" s="6"/>
      <c r="I15" s="102">
        <f t="shared" si="0"/>
        <v>5407338</v>
      </c>
      <c r="J15" s="112">
        <f>750000+800000+3857338</f>
        <v>5407338</v>
      </c>
      <c r="K15" s="112">
        <f>750000+800000+3857338</f>
        <v>5407338</v>
      </c>
      <c r="L15" s="102">
        <f t="shared" si="1"/>
        <v>0</v>
      </c>
      <c r="M15" s="113">
        <f t="shared" si="2"/>
        <v>0</v>
      </c>
      <c r="N15" s="66" t="s">
        <v>262</v>
      </c>
      <c r="O15" s="10">
        <v>3</v>
      </c>
      <c r="P15" s="10">
        <v>3</v>
      </c>
      <c r="Q15" s="10" t="s">
        <v>263</v>
      </c>
      <c r="R15" s="10">
        <v>52</v>
      </c>
      <c r="S15" s="67">
        <v>50</v>
      </c>
    </row>
    <row r="16" spans="1:19" ht="21.75">
      <c r="A16" s="238"/>
      <c r="B16" s="243"/>
      <c r="C16" s="111" t="s">
        <v>329</v>
      </c>
      <c r="D16" s="111"/>
      <c r="E16" s="112">
        <v>5000000</v>
      </c>
      <c r="F16" s="6"/>
      <c r="G16" s="6"/>
      <c r="H16" s="6"/>
      <c r="I16" s="102">
        <f t="shared" si="0"/>
        <v>5000000</v>
      </c>
      <c r="J16" s="112">
        <v>5000000</v>
      </c>
      <c r="K16" s="112"/>
      <c r="L16" s="102">
        <f t="shared" si="1"/>
        <v>5000000</v>
      </c>
      <c r="M16" s="113">
        <f t="shared" si="2"/>
        <v>5000000</v>
      </c>
      <c r="N16" s="66" t="s">
        <v>264</v>
      </c>
      <c r="O16" s="10">
        <v>100</v>
      </c>
      <c r="P16" s="10">
        <v>100</v>
      </c>
      <c r="Q16" s="10"/>
      <c r="R16" s="10"/>
      <c r="S16" s="10"/>
    </row>
    <row r="17" spans="1:19" s="116" customFormat="1" ht="12.75">
      <c r="A17" s="224"/>
      <c r="B17" s="244"/>
      <c r="C17" s="115" t="s">
        <v>330</v>
      </c>
      <c r="D17" s="107">
        <f>SUM(D15:D16)</f>
        <v>3449000</v>
      </c>
      <c r="E17" s="107">
        <f aca="true" t="shared" si="5" ref="E17:K17">SUM(E15:E16)</f>
        <v>6958338</v>
      </c>
      <c r="F17" s="107">
        <f t="shared" si="5"/>
        <v>0</v>
      </c>
      <c r="G17" s="107">
        <f t="shared" si="5"/>
        <v>0</v>
      </c>
      <c r="H17" s="107">
        <f t="shared" si="5"/>
        <v>0</v>
      </c>
      <c r="I17" s="98">
        <f t="shared" si="0"/>
        <v>10407338</v>
      </c>
      <c r="J17" s="107">
        <f t="shared" si="5"/>
        <v>10407338</v>
      </c>
      <c r="K17" s="107">
        <f t="shared" si="5"/>
        <v>5407338</v>
      </c>
      <c r="L17" s="98">
        <f t="shared" si="1"/>
        <v>5000000</v>
      </c>
      <c r="M17" s="108">
        <f t="shared" si="2"/>
        <v>5000000</v>
      </c>
      <c r="N17" s="66" t="s">
        <v>265</v>
      </c>
      <c r="O17" s="10">
        <v>150</v>
      </c>
      <c r="P17" s="10">
        <v>200</v>
      </c>
      <c r="Q17" s="10"/>
      <c r="R17" s="10"/>
      <c r="S17" s="10"/>
    </row>
    <row r="18" spans="1:19" ht="12.75">
      <c r="A18" s="245" t="s">
        <v>100</v>
      </c>
      <c r="B18" s="248" t="s">
        <v>332</v>
      </c>
      <c r="C18" s="111" t="s">
        <v>328</v>
      </c>
      <c r="D18" s="111">
        <v>3206037</v>
      </c>
      <c r="E18" s="6"/>
      <c r="F18" s="112">
        <v>3864000</v>
      </c>
      <c r="G18" s="6"/>
      <c r="H18" s="6"/>
      <c r="I18" s="102">
        <f t="shared" si="0"/>
        <v>7070037</v>
      </c>
      <c r="J18" s="112">
        <f>3206037+3864000</f>
        <v>7070037</v>
      </c>
      <c r="K18" s="112">
        <f>3206037+3864000</f>
        <v>7070037</v>
      </c>
      <c r="L18" s="102">
        <f t="shared" si="1"/>
        <v>0</v>
      </c>
      <c r="M18" s="113">
        <f t="shared" si="2"/>
        <v>0</v>
      </c>
      <c r="N18" s="6"/>
      <c r="O18" s="6"/>
      <c r="P18" s="6"/>
      <c r="Q18" s="6"/>
      <c r="R18" s="6"/>
      <c r="S18" s="6"/>
    </row>
    <row r="19" spans="1:19" ht="12.75">
      <c r="A19" s="246"/>
      <c r="B19" s="249"/>
      <c r="C19" s="111" t="s">
        <v>329</v>
      </c>
      <c r="D19" s="111"/>
      <c r="E19" s="112">
        <v>2000000</v>
      </c>
      <c r="F19" s="6"/>
      <c r="G19" s="6"/>
      <c r="H19" s="112">
        <v>278000</v>
      </c>
      <c r="I19" s="102">
        <f t="shared" si="0"/>
        <v>1722000</v>
      </c>
      <c r="J19" s="112">
        <v>1722000</v>
      </c>
      <c r="K19" s="112">
        <v>1722000</v>
      </c>
      <c r="L19" s="102">
        <f t="shared" si="1"/>
        <v>0</v>
      </c>
      <c r="M19" s="113">
        <f t="shared" si="2"/>
        <v>0</v>
      </c>
      <c r="N19" s="118"/>
      <c r="O19" s="6"/>
      <c r="P19" s="6"/>
      <c r="Q19" s="6"/>
      <c r="R19" s="6"/>
      <c r="S19" s="6"/>
    </row>
    <row r="20" spans="1:19" s="116" customFormat="1" ht="26.25" customHeight="1">
      <c r="A20" s="247"/>
      <c r="B20" s="250"/>
      <c r="C20" s="115" t="s">
        <v>330</v>
      </c>
      <c r="D20" s="107">
        <f>SUM(D18:D19)</f>
        <v>3206037</v>
      </c>
      <c r="E20" s="107">
        <f aca="true" t="shared" si="6" ref="E20:K20">SUM(E18:E19)</f>
        <v>2000000</v>
      </c>
      <c r="F20" s="107">
        <f t="shared" si="6"/>
        <v>3864000</v>
      </c>
      <c r="G20" s="107">
        <f t="shared" si="6"/>
        <v>0</v>
      </c>
      <c r="H20" s="107">
        <f t="shared" si="6"/>
        <v>278000</v>
      </c>
      <c r="I20" s="98">
        <f t="shared" si="0"/>
        <v>8792037</v>
      </c>
      <c r="J20" s="107">
        <f t="shared" si="6"/>
        <v>8792037</v>
      </c>
      <c r="K20" s="107">
        <f t="shared" si="6"/>
        <v>8792037</v>
      </c>
      <c r="L20" s="98">
        <f t="shared" si="1"/>
        <v>0</v>
      </c>
      <c r="M20" s="113">
        <f t="shared" si="2"/>
        <v>0</v>
      </c>
      <c r="N20" s="119"/>
      <c r="O20" s="8"/>
      <c r="P20" s="8"/>
      <c r="Q20" s="8"/>
      <c r="R20" s="8"/>
      <c r="S20" s="8"/>
    </row>
    <row r="21" spans="1:19" ht="25.5" customHeight="1">
      <c r="A21" s="245" t="s">
        <v>102</v>
      </c>
      <c r="B21" s="248" t="s">
        <v>333</v>
      </c>
      <c r="C21" s="111" t="s">
        <v>328</v>
      </c>
      <c r="D21" s="111">
        <v>1457086</v>
      </c>
      <c r="E21" s="112"/>
      <c r="F21" s="6"/>
      <c r="G21" s="6"/>
      <c r="H21" s="6"/>
      <c r="I21" s="102">
        <f t="shared" si="0"/>
        <v>1457086</v>
      </c>
      <c r="J21" s="112">
        <v>1457086</v>
      </c>
      <c r="K21" s="112">
        <v>1457086</v>
      </c>
      <c r="L21" s="102">
        <f t="shared" si="1"/>
        <v>0</v>
      </c>
      <c r="M21" s="113">
        <f t="shared" si="2"/>
        <v>0</v>
      </c>
      <c r="N21" s="118"/>
      <c r="O21" s="6"/>
      <c r="P21" s="6"/>
      <c r="Q21" s="6"/>
      <c r="R21" s="6"/>
      <c r="S21" s="6"/>
    </row>
    <row r="22" spans="1:19" ht="12.75">
      <c r="A22" s="246"/>
      <c r="B22" s="249"/>
      <c r="C22" s="111" t="s">
        <v>329</v>
      </c>
      <c r="D22" s="111">
        <v>4500000</v>
      </c>
      <c r="E22" s="6"/>
      <c r="F22" s="6"/>
      <c r="G22" s="6"/>
      <c r="H22" s="112">
        <v>2323</v>
      </c>
      <c r="I22" s="102">
        <f t="shared" si="0"/>
        <v>4497677</v>
      </c>
      <c r="J22" s="112">
        <f>4497677</f>
        <v>4497677</v>
      </c>
      <c r="K22" s="112">
        <f>4497677</f>
        <v>4497677</v>
      </c>
      <c r="L22" s="102">
        <f t="shared" si="1"/>
        <v>0</v>
      </c>
      <c r="M22" s="113">
        <f t="shared" si="2"/>
        <v>0</v>
      </c>
      <c r="N22" s="6"/>
      <c r="O22" s="6"/>
      <c r="P22" s="6"/>
      <c r="Q22" s="6"/>
      <c r="R22" s="6"/>
      <c r="S22" s="6"/>
    </row>
    <row r="23" spans="1:19" s="116" customFormat="1" ht="12.75">
      <c r="A23" s="247"/>
      <c r="B23" s="250"/>
      <c r="C23" s="115" t="s">
        <v>330</v>
      </c>
      <c r="D23" s="107">
        <f>SUM(D21:D22)</f>
        <v>5957086</v>
      </c>
      <c r="E23" s="107">
        <f aca="true" t="shared" si="7" ref="E23:K23">SUM(E21:E22)</f>
        <v>0</v>
      </c>
      <c r="F23" s="107">
        <f t="shared" si="7"/>
        <v>0</v>
      </c>
      <c r="G23" s="107">
        <f t="shared" si="7"/>
        <v>0</v>
      </c>
      <c r="H23" s="107">
        <f t="shared" si="7"/>
        <v>2323</v>
      </c>
      <c r="I23" s="98">
        <f t="shared" si="0"/>
        <v>5954763</v>
      </c>
      <c r="J23" s="107">
        <f t="shared" si="7"/>
        <v>5954763</v>
      </c>
      <c r="K23" s="107">
        <f t="shared" si="7"/>
        <v>5954763</v>
      </c>
      <c r="L23" s="98">
        <f t="shared" si="1"/>
        <v>0</v>
      </c>
      <c r="M23" s="113">
        <f t="shared" si="2"/>
        <v>0</v>
      </c>
      <c r="N23" s="8"/>
      <c r="O23" s="8"/>
      <c r="P23" s="8"/>
      <c r="Q23" s="8"/>
      <c r="R23" s="8"/>
      <c r="S23" s="8"/>
    </row>
    <row r="24" spans="1:19" ht="12.75">
      <c r="A24" s="237" t="s">
        <v>103</v>
      </c>
      <c r="B24" s="242" t="s">
        <v>19</v>
      </c>
      <c r="C24" s="111" t="s">
        <v>328</v>
      </c>
      <c r="D24" s="111">
        <v>1551000</v>
      </c>
      <c r="E24" s="112">
        <f>839095+1947000+311537</f>
        <v>3097632</v>
      </c>
      <c r="F24" s="6"/>
      <c r="G24" s="6"/>
      <c r="H24" s="6"/>
      <c r="I24" s="102">
        <f t="shared" si="0"/>
        <v>4648632</v>
      </c>
      <c r="J24" s="112">
        <v>4648632</v>
      </c>
      <c r="K24" s="112">
        <v>4648632</v>
      </c>
      <c r="L24" s="102">
        <f t="shared" si="1"/>
        <v>0</v>
      </c>
      <c r="M24" s="113">
        <f t="shared" si="2"/>
        <v>0</v>
      </c>
      <c r="N24" s="6"/>
      <c r="O24" s="6"/>
      <c r="P24" s="112"/>
      <c r="Q24" s="6"/>
      <c r="R24" s="6"/>
      <c r="S24" s="6"/>
    </row>
    <row r="25" spans="1:19" ht="12.75">
      <c r="A25" s="238"/>
      <c r="B25" s="243"/>
      <c r="C25" s="111" t="s">
        <v>329</v>
      </c>
      <c r="D25" s="111"/>
      <c r="E25" s="112"/>
      <c r="F25" s="6"/>
      <c r="G25" s="6"/>
      <c r="H25" s="6"/>
      <c r="I25" s="102">
        <f t="shared" si="0"/>
        <v>0</v>
      </c>
      <c r="J25" s="6"/>
      <c r="K25" s="6"/>
      <c r="L25" s="102">
        <f t="shared" si="1"/>
        <v>0</v>
      </c>
      <c r="M25" s="113">
        <f t="shared" si="2"/>
        <v>0</v>
      </c>
      <c r="N25" s="6"/>
      <c r="O25" s="6"/>
      <c r="P25" s="112"/>
      <c r="Q25" s="6"/>
      <c r="R25" s="6"/>
      <c r="S25" s="6"/>
    </row>
    <row r="26" spans="1:19" s="116" customFormat="1" ht="12.75">
      <c r="A26" s="224"/>
      <c r="B26" s="244"/>
      <c r="C26" s="115" t="s">
        <v>330</v>
      </c>
      <c r="D26" s="107">
        <f>SUM(D24:D25)</f>
        <v>1551000</v>
      </c>
      <c r="E26" s="107">
        <f aca="true" t="shared" si="8" ref="E26:K26">SUM(E24:E25)</f>
        <v>3097632</v>
      </c>
      <c r="F26" s="107">
        <f t="shared" si="8"/>
        <v>0</v>
      </c>
      <c r="G26" s="107">
        <f t="shared" si="8"/>
        <v>0</v>
      </c>
      <c r="H26" s="107">
        <f t="shared" si="8"/>
        <v>0</v>
      </c>
      <c r="I26" s="98">
        <f t="shared" si="0"/>
        <v>4648632</v>
      </c>
      <c r="J26" s="107">
        <f t="shared" si="8"/>
        <v>4648632</v>
      </c>
      <c r="K26" s="107">
        <f t="shared" si="8"/>
        <v>4648632</v>
      </c>
      <c r="L26" s="98">
        <f t="shared" si="1"/>
        <v>0</v>
      </c>
      <c r="M26" s="113">
        <f t="shared" si="2"/>
        <v>0</v>
      </c>
      <c r="N26" s="8"/>
      <c r="O26" s="8"/>
      <c r="P26" s="119"/>
      <c r="Q26" s="8"/>
      <c r="R26" s="8"/>
      <c r="S26" s="8"/>
    </row>
    <row r="27" spans="1:19" ht="12.75">
      <c r="A27" s="237" t="s">
        <v>104</v>
      </c>
      <c r="B27" s="242" t="s">
        <v>334</v>
      </c>
      <c r="C27" s="111" t="s">
        <v>328</v>
      </c>
      <c r="D27" s="111">
        <v>2168595</v>
      </c>
      <c r="E27" s="6"/>
      <c r="F27" s="6"/>
      <c r="G27" s="6"/>
      <c r="H27" s="6"/>
      <c r="I27" s="102">
        <f t="shared" si="0"/>
        <v>2168595</v>
      </c>
      <c r="J27" s="6"/>
      <c r="K27" s="6"/>
      <c r="L27" s="102">
        <f t="shared" si="1"/>
        <v>2168595</v>
      </c>
      <c r="M27" s="113">
        <f t="shared" si="2"/>
        <v>0</v>
      </c>
      <c r="N27" s="6"/>
      <c r="O27" s="6"/>
      <c r="P27" s="120"/>
      <c r="Q27" s="6"/>
      <c r="R27" s="6"/>
      <c r="S27" s="6"/>
    </row>
    <row r="28" spans="1:19" ht="12.75">
      <c r="A28" s="238"/>
      <c r="B28" s="243"/>
      <c r="C28" s="111" t="s">
        <v>329</v>
      </c>
      <c r="D28" s="111"/>
      <c r="E28" s="112">
        <v>1000000</v>
      </c>
      <c r="F28" s="6"/>
      <c r="G28" s="6"/>
      <c r="H28" s="6"/>
      <c r="I28" s="102">
        <f t="shared" si="0"/>
        <v>1000000</v>
      </c>
      <c r="J28" s="6"/>
      <c r="K28" s="6"/>
      <c r="L28" s="102">
        <f t="shared" si="1"/>
        <v>1000000</v>
      </c>
      <c r="M28" s="113">
        <f t="shared" si="2"/>
        <v>0</v>
      </c>
      <c r="N28" s="6"/>
      <c r="O28" s="6"/>
      <c r="P28" s="120"/>
      <c r="Q28" s="6"/>
      <c r="R28" s="6"/>
      <c r="S28" s="6"/>
    </row>
    <row r="29" spans="1:19" s="116" customFormat="1" ht="12.75">
      <c r="A29" s="224"/>
      <c r="B29" s="244"/>
      <c r="C29" s="115" t="s">
        <v>330</v>
      </c>
      <c r="D29" s="107">
        <f>SUM(D27:D28)</f>
        <v>2168595</v>
      </c>
      <c r="E29" s="107">
        <f aca="true" t="shared" si="9" ref="E29:K29">SUM(E27:E28)</f>
        <v>1000000</v>
      </c>
      <c r="F29" s="107">
        <f t="shared" si="9"/>
        <v>0</v>
      </c>
      <c r="G29" s="107">
        <f t="shared" si="9"/>
        <v>0</v>
      </c>
      <c r="H29" s="107">
        <f t="shared" si="9"/>
        <v>0</v>
      </c>
      <c r="I29" s="98">
        <f t="shared" si="0"/>
        <v>3168595</v>
      </c>
      <c r="J29" s="107">
        <f t="shared" si="9"/>
        <v>0</v>
      </c>
      <c r="K29" s="107">
        <f t="shared" si="9"/>
        <v>0</v>
      </c>
      <c r="L29" s="98">
        <f t="shared" si="1"/>
        <v>3168595</v>
      </c>
      <c r="M29" s="113">
        <f t="shared" si="2"/>
        <v>0</v>
      </c>
      <c r="N29" s="8"/>
      <c r="O29" s="8"/>
      <c r="P29" s="121"/>
      <c r="Q29" s="8"/>
      <c r="R29" s="8"/>
      <c r="S29" s="8"/>
    </row>
    <row r="30" spans="1:19" ht="12.75">
      <c r="A30" s="237" t="s">
        <v>105</v>
      </c>
      <c r="B30" s="242" t="s">
        <v>20</v>
      </c>
      <c r="C30" s="111" t="s">
        <v>328</v>
      </c>
      <c r="D30" s="111"/>
      <c r="E30" s="122"/>
      <c r="F30" s="6"/>
      <c r="G30" s="6"/>
      <c r="H30" s="6"/>
      <c r="I30" s="102">
        <f t="shared" si="0"/>
        <v>0</v>
      </c>
      <c r="J30" s="6"/>
      <c r="K30" s="6"/>
      <c r="L30" s="102">
        <f t="shared" si="1"/>
        <v>0</v>
      </c>
      <c r="M30" s="113">
        <f t="shared" si="2"/>
        <v>0</v>
      </c>
      <c r="N30" s="6"/>
      <c r="O30" s="6"/>
      <c r="P30" s="120"/>
      <c r="Q30" s="6"/>
      <c r="R30" s="6"/>
      <c r="S30" s="6"/>
    </row>
    <row r="31" spans="1:19" ht="11.25" customHeight="1">
      <c r="A31" s="238"/>
      <c r="B31" s="243"/>
      <c r="C31" s="111" t="s">
        <v>329</v>
      </c>
      <c r="D31" s="111"/>
      <c r="E31" s="112"/>
      <c r="F31" s="6"/>
      <c r="G31" s="6"/>
      <c r="H31" s="6"/>
      <c r="I31" s="102">
        <f t="shared" si="0"/>
        <v>0</v>
      </c>
      <c r="J31" s="6"/>
      <c r="K31" s="6"/>
      <c r="L31" s="102">
        <f t="shared" si="1"/>
        <v>0</v>
      </c>
      <c r="M31" s="113">
        <f t="shared" si="2"/>
        <v>0</v>
      </c>
      <c r="N31" s="6"/>
      <c r="O31" s="6"/>
      <c r="P31" s="120"/>
      <c r="Q31" s="6"/>
      <c r="R31" s="6"/>
      <c r="S31" s="6"/>
    </row>
    <row r="32" spans="1:19" ht="13.5" customHeight="1">
      <c r="A32" s="238"/>
      <c r="B32" s="243"/>
      <c r="C32" s="111" t="s">
        <v>335</v>
      </c>
      <c r="D32" s="111"/>
      <c r="E32" s="112">
        <v>4742782</v>
      </c>
      <c r="F32" s="6"/>
      <c r="G32" s="6"/>
      <c r="H32" s="6"/>
      <c r="I32" s="102">
        <f t="shared" si="0"/>
        <v>4742782</v>
      </c>
      <c r="J32" s="112">
        <f>2371391*2</f>
        <v>4742782</v>
      </c>
      <c r="K32" s="112">
        <f>2371391*2</f>
        <v>4742782</v>
      </c>
      <c r="L32" s="102">
        <f t="shared" si="1"/>
        <v>0</v>
      </c>
      <c r="M32" s="113">
        <f t="shared" si="2"/>
        <v>0</v>
      </c>
      <c r="N32" s="6"/>
      <c r="O32" s="6"/>
      <c r="P32" s="120"/>
      <c r="Q32" s="6"/>
      <c r="R32" s="6"/>
      <c r="S32" s="6"/>
    </row>
    <row r="33" spans="1:19" s="116" customFormat="1" ht="12.75">
      <c r="A33" s="224"/>
      <c r="B33" s="244"/>
      <c r="C33" s="115" t="s">
        <v>330</v>
      </c>
      <c r="D33" s="107">
        <f>SUM(D30:D32)</f>
        <v>0</v>
      </c>
      <c r="E33" s="107">
        <f aca="true" t="shared" si="10" ref="E33:K33">SUM(E30:E32)</f>
        <v>4742782</v>
      </c>
      <c r="F33" s="107">
        <f t="shared" si="10"/>
        <v>0</v>
      </c>
      <c r="G33" s="107">
        <f t="shared" si="10"/>
        <v>0</v>
      </c>
      <c r="H33" s="107">
        <f t="shared" si="10"/>
        <v>0</v>
      </c>
      <c r="I33" s="98">
        <f t="shared" si="0"/>
        <v>4742782</v>
      </c>
      <c r="J33" s="107">
        <f t="shared" si="10"/>
        <v>4742782</v>
      </c>
      <c r="K33" s="107">
        <f t="shared" si="10"/>
        <v>4742782</v>
      </c>
      <c r="L33" s="98">
        <f t="shared" si="1"/>
        <v>0</v>
      </c>
      <c r="M33" s="108">
        <f t="shared" si="2"/>
        <v>0</v>
      </c>
      <c r="N33" s="8"/>
      <c r="O33" s="8"/>
      <c r="P33" s="121"/>
      <c r="Q33" s="8"/>
      <c r="R33" s="8"/>
      <c r="S33" s="8"/>
    </row>
    <row r="34" spans="1:19" ht="12.75">
      <c r="A34" s="237" t="s">
        <v>336</v>
      </c>
      <c r="B34" s="251" t="s">
        <v>337</v>
      </c>
      <c r="C34" s="111" t="s">
        <v>328</v>
      </c>
      <c r="D34" s="111"/>
      <c r="E34" s="112">
        <v>1710000</v>
      </c>
      <c r="F34" s="6"/>
      <c r="G34" s="6"/>
      <c r="H34" s="6">
        <v>2800</v>
      </c>
      <c r="I34" s="102">
        <f t="shared" si="0"/>
        <v>1707200</v>
      </c>
      <c r="J34" s="112">
        <v>1707200</v>
      </c>
      <c r="K34" s="112">
        <v>1707200</v>
      </c>
      <c r="L34" s="102">
        <f t="shared" si="1"/>
        <v>0</v>
      </c>
      <c r="M34" s="113">
        <f t="shared" si="2"/>
        <v>0</v>
      </c>
      <c r="N34" s="6"/>
      <c r="O34" s="6"/>
      <c r="P34" s="120"/>
      <c r="Q34" s="6"/>
      <c r="R34" s="6"/>
      <c r="S34" s="6"/>
    </row>
    <row r="35" spans="1:19" ht="12.75">
      <c r="A35" s="238"/>
      <c r="B35" s="252"/>
      <c r="C35" s="111" t="s">
        <v>329</v>
      </c>
      <c r="D35" s="111"/>
      <c r="E35" s="112"/>
      <c r="F35" s="6"/>
      <c r="G35" s="6"/>
      <c r="H35" s="6"/>
      <c r="I35" s="102">
        <f t="shared" si="0"/>
        <v>0</v>
      </c>
      <c r="J35" s="6"/>
      <c r="K35" s="6"/>
      <c r="L35" s="102">
        <f t="shared" si="1"/>
        <v>0</v>
      </c>
      <c r="M35" s="113">
        <f t="shared" si="2"/>
        <v>0</v>
      </c>
      <c r="N35" s="6"/>
      <c r="O35" s="6"/>
      <c r="P35" s="120"/>
      <c r="Q35" s="6"/>
      <c r="R35" s="6"/>
      <c r="S35" s="6"/>
    </row>
    <row r="36" spans="1:19" s="116" customFormat="1" ht="12.75">
      <c r="A36" s="224"/>
      <c r="B36" s="253"/>
      <c r="C36" s="115" t="s">
        <v>330</v>
      </c>
      <c r="D36" s="107">
        <f>SUM(D34:D35)</f>
        <v>0</v>
      </c>
      <c r="E36" s="107">
        <f>SUM(E34:E35)</f>
        <v>1710000</v>
      </c>
      <c r="F36" s="107">
        <f>SUM(F34:F35)</f>
        <v>0</v>
      </c>
      <c r="G36" s="107">
        <f>SUM(G34:G35)</f>
        <v>0</v>
      </c>
      <c r="H36" s="107">
        <f>SUM(H34:H35)</f>
        <v>2800</v>
      </c>
      <c r="I36" s="98">
        <f t="shared" si="0"/>
        <v>1707200</v>
      </c>
      <c r="J36" s="8">
        <f>+J34+J35</f>
        <v>1707200</v>
      </c>
      <c r="K36" s="8">
        <f>+K34+K35</f>
        <v>1707200</v>
      </c>
      <c r="L36" s="98">
        <f t="shared" si="1"/>
        <v>0</v>
      </c>
      <c r="M36" s="113">
        <f t="shared" si="2"/>
        <v>0</v>
      </c>
      <c r="N36" s="8"/>
      <c r="O36" s="8"/>
      <c r="P36" s="121"/>
      <c r="Q36" s="8"/>
      <c r="R36" s="8"/>
      <c r="S36" s="8"/>
    </row>
    <row r="37" spans="1:19" s="116" customFormat="1" ht="12.75">
      <c r="A37" s="237" t="s">
        <v>325</v>
      </c>
      <c r="B37" s="251" t="s">
        <v>338</v>
      </c>
      <c r="C37" s="123" t="s">
        <v>339</v>
      </c>
      <c r="D37" s="107"/>
      <c r="E37" s="111">
        <v>38543126.21</v>
      </c>
      <c r="F37" s="107"/>
      <c r="G37" s="107"/>
      <c r="H37" s="107"/>
      <c r="I37" s="102">
        <f t="shared" si="0"/>
        <v>38543126.21</v>
      </c>
      <c r="J37" s="112">
        <v>38543126</v>
      </c>
      <c r="K37" s="112">
        <v>19271563</v>
      </c>
      <c r="L37" s="102">
        <f t="shared" si="1"/>
        <v>19271563.21</v>
      </c>
      <c r="M37" s="113">
        <f t="shared" si="2"/>
        <v>19271563</v>
      </c>
      <c r="N37" s="8"/>
      <c r="O37" s="8"/>
      <c r="P37" s="121"/>
      <c r="Q37" s="8"/>
      <c r="R37" s="8"/>
      <c r="S37" s="8"/>
    </row>
    <row r="38" spans="1:19" s="116" customFormat="1" ht="12.75">
      <c r="A38" s="254"/>
      <c r="B38" s="255"/>
      <c r="C38" s="124" t="str">
        <f aca="true" t="shared" si="11" ref="C38:H38">+C37</f>
        <v>REC.DEP</v>
      </c>
      <c r="D38" s="107">
        <f t="shared" si="11"/>
        <v>0</v>
      </c>
      <c r="E38" s="107">
        <f t="shared" si="11"/>
        <v>38543126.21</v>
      </c>
      <c r="F38" s="107">
        <f t="shared" si="11"/>
        <v>0</v>
      </c>
      <c r="G38" s="107">
        <f t="shared" si="11"/>
        <v>0</v>
      </c>
      <c r="H38" s="107">
        <f t="shared" si="11"/>
        <v>0</v>
      </c>
      <c r="I38" s="98">
        <f t="shared" si="0"/>
        <v>38543126.21</v>
      </c>
      <c r="J38" s="119">
        <f>+J37</f>
        <v>38543126</v>
      </c>
      <c r="K38" s="119">
        <f>+K37</f>
        <v>19271563</v>
      </c>
      <c r="L38" s="98">
        <f t="shared" si="1"/>
        <v>19271563.21</v>
      </c>
      <c r="M38" s="108">
        <f t="shared" si="2"/>
        <v>19271563</v>
      </c>
      <c r="N38" s="8"/>
      <c r="O38" s="8"/>
      <c r="P38" s="121"/>
      <c r="Q38" s="8"/>
      <c r="R38" s="8"/>
      <c r="S38" s="8"/>
    </row>
    <row r="39" spans="1:19" ht="12.75">
      <c r="A39" s="237" t="s">
        <v>340</v>
      </c>
      <c r="B39" s="251" t="s">
        <v>341</v>
      </c>
      <c r="C39" s="111" t="s">
        <v>329</v>
      </c>
      <c r="D39" s="111"/>
      <c r="E39" s="111">
        <v>8000000</v>
      </c>
      <c r="F39" s="111"/>
      <c r="G39" s="111"/>
      <c r="H39" s="111"/>
      <c r="I39" s="102">
        <f t="shared" si="0"/>
        <v>8000000</v>
      </c>
      <c r="J39" s="112">
        <v>8000000</v>
      </c>
      <c r="K39" s="6"/>
      <c r="L39" s="102">
        <f t="shared" si="1"/>
        <v>8000000</v>
      </c>
      <c r="M39" s="113">
        <f t="shared" si="2"/>
        <v>8000000</v>
      </c>
      <c r="N39" s="6"/>
      <c r="O39" s="6"/>
      <c r="P39" s="120"/>
      <c r="Q39" s="6"/>
      <c r="R39" s="6"/>
      <c r="S39" s="6"/>
    </row>
    <row r="40" spans="1:19" s="116" customFormat="1" ht="12.75">
      <c r="A40" s="254"/>
      <c r="B40" s="255"/>
      <c r="C40" s="115" t="s">
        <v>330</v>
      </c>
      <c r="D40" s="107">
        <f>+D39</f>
        <v>0</v>
      </c>
      <c r="E40" s="107">
        <f>+E39</f>
        <v>8000000</v>
      </c>
      <c r="F40" s="107">
        <f>+F39</f>
        <v>0</v>
      </c>
      <c r="G40" s="107">
        <f>+G39</f>
        <v>0</v>
      </c>
      <c r="H40" s="107">
        <f>+H39</f>
        <v>0</v>
      </c>
      <c r="I40" s="98">
        <f t="shared" si="0"/>
        <v>8000000</v>
      </c>
      <c r="J40" s="119">
        <f>+J39</f>
        <v>8000000</v>
      </c>
      <c r="K40" s="119">
        <f>+K39</f>
        <v>0</v>
      </c>
      <c r="L40" s="98">
        <f t="shared" si="1"/>
        <v>8000000</v>
      </c>
      <c r="M40" s="113">
        <f t="shared" si="2"/>
        <v>8000000</v>
      </c>
      <c r="N40" s="8"/>
      <c r="O40" s="8"/>
      <c r="P40" s="121"/>
      <c r="Q40" s="8"/>
      <c r="R40" s="8"/>
      <c r="S40" s="8"/>
    </row>
    <row r="41" spans="1:19" ht="25.5" customHeight="1">
      <c r="A41" s="125" t="s">
        <v>107</v>
      </c>
      <c r="B41" s="126" t="s">
        <v>21</v>
      </c>
      <c r="C41" s="127"/>
      <c r="D41" s="107">
        <f>+D45+D48+D51+D54+D57</f>
        <v>40500000</v>
      </c>
      <c r="E41" s="107">
        <f>+E45+E48+E51+E54+E57</f>
        <v>5000000</v>
      </c>
      <c r="F41" s="107">
        <f>+F45+F48+F51+F54+F57</f>
        <v>2861026</v>
      </c>
      <c r="G41" s="107">
        <f>+G45+G48+G51+G54+G57</f>
        <v>0</v>
      </c>
      <c r="H41" s="107">
        <f>+H45+H48+H51+H54+H57</f>
        <v>3031192</v>
      </c>
      <c r="I41" s="98">
        <f t="shared" si="0"/>
        <v>45329834</v>
      </c>
      <c r="J41" s="107">
        <f>+J45+J48+J51+J54+J57</f>
        <v>45006604</v>
      </c>
      <c r="K41" s="107">
        <f>+K45+K48+K51+K54+K57</f>
        <v>44923124</v>
      </c>
      <c r="L41" s="98">
        <f t="shared" si="1"/>
        <v>406710</v>
      </c>
      <c r="M41" s="108">
        <f t="shared" si="2"/>
        <v>83480</v>
      </c>
      <c r="N41" s="6"/>
      <c r="O41" s="6"/>
      <c r="P41" s="120"/>
      <c r="Q41" s="6"/>
      <c r="R41" s="6"/>
      <c r="S41" s="6"/>
    </row>
    <row r="42" spans="1:19" ht="12.75">
      <c r="A42" s="125"/>
      <c r="B42" s="125"/>
      <c r="C42" s="125"/>
      <c r="D42" s="111"/>
      <c r="E42" s="6"/>
      <c r="F42" s="6"/>
      <c r="G42" s="6"/>
      <c r="H42" s="6"/>
      <c r="I42" s="102">
        <f t="shared" si="0"/>
        <v>0</v>
      </c>
      <c r="J42" s="6"/>
      <c r="K42" s="6"/>
      <c r="L42" s="102">
        <f t="shared" si="1"/>
        <v>0</v>
      </c>
      <c r="M42" s="113">
        <f t="shared" si="2"/>
        <v>0</v>
      </c>
      <c r="N42" s="6"/>
      <c r="O42" s="6"/>
      <c r="P42" s="6"/>
      <c r="Q42" s="6"/>
      <c r="R42" s="6"/>
      <c r="S42" s="6"/>
    </row>
    <row r="43" spans="1:19" ht="12.75">
      <c r="A43" s="242" t="s">
        <v>108</v>
      </c>
      <c r="B43" s="242" t="s">
        <v>22</v>
      </c>
      <c r="C43" s="111" t="s">
        <v>328</v>
      </c>
      <c r="D43" s="111"/>
      <c r="E43" s="6"/>
      <c r="F43" s="6"/>
      <c r="G43" s="6"/>
      <c r="H43" s="6"/>
      <c r="I43" s="102">
        <f t="shared" si="0"/>
        <v>0</v>
      </c>
      <c r="J43" s="112"/>
      <c r="K43" s="112"/>
      <c r="L43" s="102">
        <f t="shared" si="1"/>
        <v>0</v>
      </c>
      <c r="M43" s="113">
        <f t="shared" si="2"/>
        <v>0</v>
      </c>
      <c r="N43" s="6"/>
      <c r="O43" s="6"/>
      <c r="P43" s="6"/>
      <c r="Q43" s="6"/>
      <c r="R43" s="6"/>
      <c r="S43" s="6"/>
    </row>
    <row r="44" spans="1:19" ht="12.75">
      <c r="A44" s="243"/>
      <c r="B44" s="243"/>
      <c r="C44" s="111" t="s">
        <v>329</v>
      </c>
      <c r="D44" s="111">
        <v>3500000</v>
      </c>
      <c r="E44" s="6"/>
      <c r="F44" s="6"/>
      <c r="G44" s="6"/>
      <c r="H44" s="112">
        <v>2000000</v>
      </c>
      <c r="I44" s="102">
        <f t="shared" si="0"/>
        <v>1500000</v>
      </c>
      <c r="J44" s="112">
        <v>1286738</v>
      </c>
      <c r="K44" s="112">
        <v>1286738</v>
      </c>
      <c r="L44" s="102">
        <f t="shared" si="1"/>
        <v>213262</v>
      </c>
      <c r="M44" s="113">
        <f t="shared" si="2"/>
        <v>0</v>
      </c>
      <c r="N44" s="6"/>
      <c r="O44" s="6"/>
      <c r="P44" s="6"/>
      <c r="Q44" s="6"/>
      <c r="R44" s="6"/>
      <c r="S44" s="6"/>
    </row>
    <row r="45" spans="1:19" s="116" customFormat="1" ht="12.75">
      <c r="A45" s="244"/>
      <c r="B45" s="244"/>
      <c r="C45" s="115" t="s">
        <v>330</v>
      </c>
      <c r="D45" s="107">
        <f>SUM(D43:D44)</f>
        <v>3500000</v>
      </c>
      <c r="E45" s="107">
        <f aca="true" t="shared" si="12" ref="E45:K45">SUM(E43:E44)</f>
        <v>0</v>
      </c>
      <c r="F45" s="107">
        <f t="shared" si="12"/>
        <v>0</v>
      </c>
      <c r="G45" s="107">
        <f t="shared" si="12"/>
        <v>0</v>
      </c>
      <c r="H45" s="107">
        <f t="shared" si="12"/>
        <v>2000000</v>
      </c>
      <c r="I45" s="98">
        <f t="shared" si="0"/>
        <v>1500000</v>
      </c>
      <c r="J45" s="107">
        <f t="shared" si="12"/>
        <v>1286738</v>
      </c>
      <c r="K45" s="107">
        <f t="shared" si="12"/>
        <v>1286738</v>
      </c>
      <c r="L45" s="98">
        <f t="shared" si="1"/>
        <v>213262</v>
      </c>
      <c r="M45" s="113">
        <f t="shared" si="2"/>
        <v>0</v>
      </c>
      <c r="N45" s="8"/>
      <c r="O45" s="8"/>
      <c r="P45" s="8"/>
      <c r="Q45" s="8"/>
      <c r="R45" s="8"/>
      <c r="S45" s="8"/>
    </row>
    <row r="46" spans="1:19" ht="18.75" customHeight="1">
      <c r="A46" s="242" t="s">
        <v>109</v>
      </c>
      <c r="B46" s="242" t="s">
        <v>188</v>
      </c>
      <c r="C46" s="111" t="s">
        <v>328</v>
      </c>
      <c r="D46" s="111">
        <v>0</v>
      </c>
      <c r="E46" s="6"/>
      <c r="F46" s="6"/>
      <c r="G46" s="6"/>
      <c r="H46" s="6"/>
      <c r="I46" s="102">
        <f t="shared" si="0"/>
        <v>0</v>
      </c>
      <c r="J46" s="112"/>
      <c r="K46" s="112"/>
      <c r="L46" s="102">
        <f t="shared" si="1"/>
        <v>0</v>
      </c>
      <c r="M46" s="113">
        <f t="shared" si="2"/>
        <v>0</v>
      </c>
      <c r="N46" s="6"/>
      <c r="O46" s="6"/>
      <c r="P46" s="6"/>
      <c r="Q46" s="6"/>
      <c r="R46" s="6"/>
      <c r="S46" s="6"/>
    </row>
    <row r="47" spans="1:19" ht="16.5" customHeight="1">
      <c r="A47" s="243"/>
      <c r="B47" s="243"/>
      <c r="C47" s="111" t="s">
        <v>329</v>
      </c>
      <c r="D47" s="111">
        <v>2000000</v>
      </c>
      <c r="E47" s="6"/>
      <c r="F47" s="6"/>
      <c r="G47" s="6"/>
      <c r="H47" s="112">
        <v>800000</v>
      </c>
      <c r="I47" s="102">
        <f t="shared" si="0"/>
        <v>1200000</v>
      </c>
      <c r="J47" s="112">
        <v>1146058</v>
      </c>
      <c r="K47" s="112">
        <v>1062578</v>
      </c>
      <c r="L47" s="102">
        <f t="shared" si="1"/>
        <v>137422</v>
      </c>
      <c r="M47" s="113">
        <f t="shared" si="2"/>
        <v>83480</v>
      </c>
      <c r="N47" s="6"/>
      <c r="O47" s="6"/>
      <c r="P47" s="6"/>
      <c r="Q47" s="6"/>
      <c r="R47" s="6"/>
      <c r="S47" s="6"/>
    </row>
    <row r="48" spans="1:19" s="116" customFormat="1" ht="24.75" customHeight="1">
      <c r="A48" s="244"/>
      <c r="B48" s="244"/>
      <c r="C48" s="115" t="s">
        <v>330</v>
      </c>
      <c r="D48" s="107">
        <f>SUM(D46:D47)</f>
        <v>2000000</v>
      </c>
      <c r="E48" s="107">
        <f aca="true" t="shared" si="13" ref="E48:K48">SUM(E46:E47)</f>
        <v>0</v>
      </c>
      <c r="F48" s="107">
        <f t="shared" si="13"/>
        <v>0</v>
      </c>
      <c r="G48" s="107">
        <f t="shared" si="13"/>
        <v>0</v>
      </c>
      <c r="H48" s="107">
        <f t="shared" si="13"/>
        <v>800000</v>
      </c>
      <c r="I48" s="98">
        <f t="shared" si="0"/>
        <v>1200000</v>
      </c>
      <c r="J48" s="107">
        <f t="shared" si="13"/>
        <v>1146058</v>
      </c>
      <c r="K48" s="107">
        <f t="shared" si="13"/>
        <v>1062578</v>
      </c>
      <c r="L48" s="98">
        <f t="shared" si="1"/>
        <v>137422</v>
      </c>
      <c r="M48" s="113">
        <f t="shared" si="2"/>
        <v>83480</v>
      </c>
      <c r="N48" s="8"/>
      <c r="O48" s="8"/>
      <c r="P48" s="8"/>
      <c r="Q48" s="8"/>
      <c r="R48" s="8"/>
      <c r="S48" s="8"/>
    </row>
    <row r="49" spans="1:19" ht="12.75">
      <c r="A49" s="242" t="s">
        <v>110</v>
      </c>
      <c r="B49" s="242" t="s">
        <v>342</v>
      </c>
      <c r="C49" s="111" t="s">
        <v>328</v>
      </c>
      <c r="D49" s="111">
        <v>0</v>
      </c>
      <c r="E49" s="6"/>
      <c r="F49" s="112">
        <v>300000</v>
      </c>
      <c r="G49" s="6"/>
      <c r="H49" s="112">
        <f>200000+31192</f>
        <v>231192</v>
      </c>
      <c r="I49" s="102">
        <f t="shared" si="0"/>
        <v>68808</v>
      </c>
      <c r="J49" s="112">
        <v>68808</v>
      </c>
      <c r="K49" s="112">
        <v>68808</v>
      </c>
      <c r="L49" s="102">
        <f t="shared" si="1"/>
        <v>0</v>
      </c>
      <c r="M49" s="113">
        <f t="shared" si="2"/>
        <v>0</v>
      </c>
      <c r="N49" s="6"/>
      <c r="O49" s="6"/>
      <c r="P49" s="6"/>
      <c r="Q49" s="6"/>
      <c r="R49" s="6"/>
      <c r="S49" s="6"/>
    </row>
    <row r="50" spans="1:19" ht="12.75">
      <c r="A50" s="243"/>
      <c r="B50" s="243"/>
      <c r="C50" s="111" t="s">
        <v>329</v>
      </c>
      <c r="D50" s="111"/>
      <c r="E50" s="6"/>
      <c r="F50" s="6"/>
      <c r="G50" s="6"/>
      <c r="H50" s="6"/>
      <c r="I50" s="102">
        <f t="shared" si="0"/>
        <v>0</v>
      </c>
      <c r="J50" s="6"/>
      <c r="K50" s="6"/>
      <c r="L50" s="102">
        <f t="shared" si="1"/>
        <v>0</v>
      </c>
      <c r="M50" s="113">
        <f t="shared" si="2"/>
        <v>0</v>
      </c>
      <c r="N50" s="6"/>
      <c r="O50" s="6"/>
      <c r="P50" s="6"/>
      <c r="Q50" s="6"/>
      <c r="R50" s="6"/>
      <c r="S50" s="6"/>
    </row>
    <row r="51" spans="1:19" s="116" customFormat="1" ht="12.75">
      <c r="A51" s="244"/>
      <c r="B51" s="244"/>
      <c r="C51" s="115" t="s">
        <v>330</v>
      </c>
      <c r="D51" s="107">
        <f>SUM(D49:D50)</f>
        <v>0</v>
      </c>
      <c r="E51" s="107">
        <f aca="true" t="shared" si="14" ref="E51:K51">SUM(E49:E50)</f>
        <v>0</v>
      </c>
      <c r="F51" s="107">
        <f t="shared" si="14"/>
        <v>300000</v>
      </c>
      <c r="G51" s="107">
        <f t="shared" si="14"/>
        <v>0</v>
      </c>
      <c r="H51" s="107">
        <f t="shared" si="14"/>
        <v>231192</v>
      </c>
      <c r="I51" s="98">
        <f t="shared" si="0"/>
        <v>68808</v>
      </c>
      <c r="J51" s="107">
        <f t="shared" si="14"/>
        <v>68808</v>
      </c>
      <c r="K51" s="107">
        <f t="shared" si="14"/>
        <v>68808</v>
      </c>
      <c r="L51" s="98">
        <f t="shared" si="1"/>
        <v>0</v>
      </c>
      <c r="M51" s="113">
        <f t="shared" si="2"/>
        <v>0</v>
      </c>
      <c r="N51" s="8"/>
      <c r="O51" s="8"/>
      <c r="P51" s="8"/>
      <c r="Q51" s="8"/>
      <c r="R51" s="8"/>
      <c r="S51" s="8"/>
    </row>
    <row r="52" spans="1:19" ht="12.75">
      <c r="A52" s="242" t="s">
        <v>343</v>
      </c>
      <c r="B52" s="242" t="s">
        <v>344</v>
      </c>
      <c r="C52" s="111" t="s">
        <v>328</v>
      </c>
      <c r="D52" s="111">
        <v>0</v>
      </c>
      <c r="E52" s="6"/>
      <c r="F52" s="6"/>
      <c r="G52" s="6"/>
      <c r="H52" s="6"/>
      <c r="I52" s="102">
        <f t="shared" si="0"/>
        <v>0</v>
      </c>
      <c r="J52" s="6"/>
      <c r="K52" s="6"/>
      <c r="L52" s="102">
        <f t="shared" si="1"/>
        <v>0</v>
      </c>
      <c r="M52" s="113">
        <f t="shared" si="2"/>
        <v>0</v>
      </c>
      <c r="N52" s="6"/>
      <c r="O52" s="6"/>
      <c r="P52" s="6"/>
      <c r="Q52" s="6"/>
      <c r="R52" s="6"/>
      <c r="S52" s="6"/>
    </row>
    <row r="53" spans="1:19" ht="12.75">
      <c r="A53" s="243"/>
      <c r="B53" s="243"/>
      <c r="C53" s="111" t="s">
        <v>329</v>
      </c>
      <c r="D53" s="111"/>
      <c r="E53" s="6"/>
      <c r="F53" s="6"/>
      <c r="G53" s="6"/>
      <c r="H53" s="6"/>
      <c r="I53" s="102">
        <f t="shared" si="0"/>
        <v>0</v>
      </c>
      <c r="J53" s="6"/>
      <c r="K53" s="6"/>
      <c r="L53" s="102">
        <f t="shared" si="1"/>
        <v>0</v>
      </c>
      <c r="M53" s="113">
        <f t="shared" si="2"/>
        <v>0</v>
      </c>
      <c r="N53" s="6"/>
      <c r="O53" s="6"/>
      <c r="P53" s="6"/>
      <c r="Q53" s="6"/>
      <c r="R53" s="6"/>
      <c r="S53" s="6"/>
    </row>
    <row r="54" spans="1:19" s="116" customFormat="1" ht="12.75">
      <c r="A54" s="244"/>
      <c r="B54" s="244"/>
      <c r="C54" s="115" t="s">
        <v>330</v>
      </c>
      <c r="D54" s="107">
        <f>SUM(D52:D53)</f>
        <v>0</v>
      </c>
      <c r="E54" s="107">
        <f aca="true" t="shared" si="15" ref="E54:K54">SUM(E52:E53)</f>
        <v>0</v>
      </c>
      <c r="F54" s="107">
        <f t="shared" si="15"/>
        <v>0</v>
      </c>
      <c r="G54" s="107">
        <f t="shared" si="15"/>
        <v>0</v>
      </c>
      <c r="H54" s="107">
        <f t="shared" si="15"/>
        <v>0</v>
      </c>
      <c r="I54" s="98">
        <f t="shared" si="0"/>
        <v>0</v>
      </c>
      <c r="J54" s="107">
        <f t="shared" si="15"/>
        <v>0</v>
      </c>
      <c r="K54" s="107">
        <f t="shared" si="15"/>
        <v>0</v>
      </c>
      <c r="L54" s="98">
        <f t="shared" si="1"/>
        <v>0</v>
      </c>
      <c r="M54" s="113">
        <f t="shared" si="2"/>
        <v>0</v>
      </c>
      <c r="N54" s="8"/>
      <c r="O54" s="8"/>
      <c r="P54" s="8"/>
      <c r="Q54" s="8"/>
      <c r="R54" s="8"/>
      <c r="S54" s="8"/>
    </row>
    <row r="55" spans="1:19" ht="12.75">
      <c r="A55" s="242" t="s">
        <v>345</v>
      </c>
      <c r="B55" s="242" t="s">
        <v>183</v>
      </c>
      <c r="C55" s="111" t="s">
        <v>328</v>
      </c>
      <c r="D55" s="111">
        <v>0</v>
      </c>
      <c r="E55" s="122"/>
      <c r="F55" s="112"/>
      <c r="G55" s="6"/>
      <c r="H55" s="6"/>
      <c r="I55" s="102">
        <f t="shared" si="0"/>
        <v>0</v>
      </c>
      <c r="J55" s="112"/>
      <c r="K55" s="112"/>
      <c r="L55" s="102">
        <f t="shared" si="1"/>
        <v>0</v>
      </c>
      <c r="M55" s="113">
        <f t="shared" si="2"/>
        <v>0</v>
      </c>
      <c r="N55" s="6"/>
      <c r="O55" s="6"/>
      <c r="P55" s="6"/>
      <c r="Q55" s="6"/>
      <c r="R55" s="6"/>
      <c r="S55" s="6"/>
    </row>
    <row r="56" spans="1:19" ht="12.75">
      <c r="A56" s="243"/>
      <c r="B56" s="243"/>
      <c r="C56" s="111" t="s">
        <v>329</v>
      </c>
      <c r="D56" s="111">
        <v>35000000</v>
      </c>
      <c r="E56" s="112">
        <f>5000000</f>
        <v>5000000</v>
      </c>
      <c r="F56" s="112">
        <v>2561026</v>
      </c>
      <c r="G56" s="6"/>
      <c r="H56" s="6"/>
      <c r="I56" s="102">
        <f t="shared" si="0"/>
        <v>42561026</v>
      </c>
      <c r="J56" s="112">
        <v>42505000</v>
      </c>
      <c r="K56" s="112">
        <v>42505000</v>
      </c>
      <c r="L56" s="102">
        <f t="shared" si="1"/>
        <v>56026</v>
      </c>
      <c r="M56" s="113">
        <f t="shared" si="2"/>
        <v>0</v>
      </c>
      <c r="N56" s="6"/>
      <c r="O56" s="6"/>
      <c r="P56" s="6"/>
      <c r="Q56" s="6"/>
      <c r="R56" s="6"/>
      <c r="S56" s="6"/>
    </row>
    <row r="57" spans="1:19" s="116" customFormat="1" ht="12.75">
      <c r="A57" s="244"/>
      <c r="B57" s="244"/>
      <c r="C57" s="115" t="s">
        <v>330</v>
      </c>
      <c r="D57" s="107">
        <f>SUM(D55:D56)</f>
        <v>35000000</v>
      </c>
      <c r="E57" s="107">
        <f aca="true" t="shared" si="16" ref="E57:K57">SUM(E55:E56)</f>
        <v>5000000</v>
      </c>
      <c r="F57" s="107">
        <f t="shared" si="16"/>
        <v>2561026</v>
      </c>
      <c r="G57" s="107">
        <f t="shared" si="16"/>
        <v>0</v>
      </c>
      <c r="H57" s="107">
        <f t="shared" si="16"/>
        <v>0</v>
      </c>
      <c r="I57" s="98">
        <f t="shared" si="0"/>
        <v>42561026</v>
      </c>
      <c r="J57" s="107">
        <f t="shared" si="16"/>
        <v>42505000</v>
      </c>
      <c r="K57" s="107">
        <f t="shared" si="16"/>
        <v>42505000</v>
      </c>
      <c r="L57" s="98">
        <f t="shared" si="1"/>
        <v>56026</v>
      </c>
      <c r="M57" s="108">
        <f t="shared" si="2"/>
        <v>0</v>
      </c>
      <c r="N57" s="8"/>
      <c r="O57" s="8"/>
      <c r="P57" s="8"/>
      <c r="Q57" s="8"/>
      <c r="R57" s="8"/>
      <c r="S57" s="8"/>
    </row>
    <row r="58" spans="1:19" ht="12.75">
      <c r="A58" s="128"/>
      <c r="B58" s="128"/>
      <c r="C58" s="129"/>
      <c r="D58" s="111"/>
      <c r="E58" s="6"/>
      <c r="F58" s="6"/>
      <c r="G58" s="6"/>
      <c r="H58" s="6"/>
      <c r="I58" s="102">
        <f t="shared" si="0"/>
        <v>0</v>
      </c>
      <c r="J58" s="6"/>
      <c r="K58" s="6"/>
      <c r="L58" s="102">
        <f t="shared" si="1"/>
        <v>0</v>
      </c>
      <c r="M58" s="113">
        <f t="shared" si="2"/>
        <v>0</v>
      </c>
      <c r="N58" s="6"/>
      <c r="O58" s="6"/>
      <c r="P58" s="6"/>
      <c r="Q58" s="6"/>
      <c r="R58" s="6"/>
      <c r="S58" s="6"/>
    </row>
    <row r="59" spans="1:19" ht="12.75">
      <c r="A59" s="92" t="s">
        <v>111</v>
      </c>
      <c r="B59" s="130" t="s">
        <v>25</v>
      </c>
      <c r="C59" s="130"/>
      <c r="D59" s="107">
        <f>SUM(D60)</f>
        <v>25069355</v>
      </c>
      <c r="E59" s="107">
        <f aca="true" t="shared" si="17" ref="E59:K59">SUM(E60)</f>
        <v>7352991</v>
      </c>
      <c r="F59" s="107">
        <f t="shared" si="17"/>
        <v>13691000</v>
      </c>
      <c r="G59" s="107">
        <f t="shared" si="17"/>
        <v>0</v>
      </c>
      <c r="H59" s="107">
        <f t="shared" si="17"/>
        <v>28000</v>
      </c>
      <c r="I59" s="98">
        <f t="shared" si="0"/>
        <v>46085346</v>
      </c>
      <c r="J59" s="107">
        <f t="shared" si="17"/>
        <v>46085346</v>
      </c>
      <c r="K59" s="107">
        <f t="shared" si="17"/>
        <v>36723696</v>
      </c>
      <c r="L59" s="98">
        <f t="shared" si="1"/>
        <v>9361650</v>
      </c>
      <c r="M59" s="108">
        <f t="shared" si="2"/>
        <v>9361650</v>
      </c>
      <c r="N59" s="6"/>
      <c r="O59" s="6"/>
      <c r="P59" s="6"/>
      <c r="Q59" s="6"/>
      <c r="R59" s="6"/>
      <c r="S59" s="6"/>
    </row>
    <row r="60" spans="1:19" ht="12.75">
      <c r="A60" s="92" t="s">
        <v>346</v>
      </c>
      <c r="B60" s="131" t="s">
        <v>347</v>
      </c>
      <c r="C60" s="131"/>
      <c r="D60" s="107">
        <f>+D63+D66</f>
        <v>25069355</v>
      </c>
      <c r="E60" s="107">
        <f aca="true" t="shared" si="18" ref="E60:K60">+E63+E66</f>
        <v>7352991</v>
      </c>
      <c r="F60" s="107">
        <f t="shared" si="18"/>
        <v>13691000</v>
      </c>
      <c r="G60" s="107">
        <f t="shared" si="18"/>
        <v>0</v>
      </c>
      <c r="H60" s="107">
        <f t="shared" si="18"/>
        <v>28000</v>
      </c>
      <c r="I60" s="98">
        <f t="shared" si="0"/>
        <v>46085346</v>
      </c>
      <c r="J60" s="107">
        <f t="shared" si="18"/>
        <v>46085346</v>
      </c>
      <c r="K60" s="107">
        <f t="shared" si="18"/>
        <v>36723696</v>
      </c>
      <c r="L60" s="98">
        <f t="shared" si="1"/>
        <v>9361650</v>
      </c>
      <c r="M60" s="108">
        <f t="shared" si="2"/>
        <v>9361650</v>
      </c>
      <c r="N60" s="10" t="s">
        <v>266</v>
      </c>
      <c r="O60" s="10">
        <v>1085</v>
      </c>
      <c r="P60" s="10">
        <v>1085</v>
      </c>
      <c r="Q60" s="6"/>
      <c r="R60" s="6"/>
      <c r="S60" s="6"/>
    </row>
    <row r="61" spans="1:19" ht="12.75">
      <c r="A61" s="237" t="s">
        <v>112</v>
      </c>
      <c r="B61" s="242" t="s">
        <v>348</v>
      </c>
      <c r="C61" s="111" t="s">
        <v>328</v>
      </c>
      <c r="D61" s="111">
        <v>2069355</v>
      </c>
      <c r="E61" s="112">
        <f>225241+1527750</f>
        <v>1752991</v>
      </c>
      <c r="F61" s="112">
        <f>7500000+200000</f>
        <v>7700000</v>
      </c>
      <c r="G61" s="6"/>
      <c r="H61" s="6"/>
      <c r="I61" s="102">
        <f t="shared" si="0"/>
        <v>11522346</v>
      </c>
      <c r="J61" s="112">
        <f>15545250+-4222904+200000</f>
        <v>11522346</v>
      </c>
      <c r="K61" s="112">
        <v>11522346</v>
      </c>
      <c r="L61" s="102">
        <f t="shared" si="1"/>
        <v>0</v>
      </c>
      <c r="M61" s="113">
        <f t="shared" si="2"/>
        <v>0</v>
      </c>
      <c r="N61" s="10" t="s">
        <v>267</v>
      </c>
      <c r="O61" s="10">
        <v>7</v>
      </c>
      <c r="P61" s="10">
        <v>7</v>
      </c>
      <c r="Q61" s="6"/>
      <c r="R61" s="6"/>
      <c r="S61" s="6"/>
    </row>
    <row r="62" spans="1:19" ht="12.75">
      <c r="A62" s="238"/>
      <c r="B62" s="243"/>
      <c r="C62" s="111" t="s">
        <v>329</v>
      </c>
      <c r="D62" s="111">
        <v>20000000</v>
      </c>
      <c r="E62" s="112">
        <f>5000000+600000</f>
        <v>5600000</v>
      </c>
      <c r="F62" s="112">
        <f>28000+5963000</f>
        <v>5991000</v>
      </c>
      <c r="G62" s="6"/>
      <c r="H62" s="6"/>
      <c r="I62" s="102">
        <f t="shared" si="0"/>
        <v>31591000</v>
      </c>
      <c r="J62" s="112">
        <f>13841000+4222904+1125000+1855000+10547096</f>
        <v>31591000</v>
      </c>
      <c r="K62" s="112">
        <v>22229350</v>
      </c>
      <c r="L62" s="102">
        <f t="shared" si="1"/>
        <v>9361650</v>
      </c>
      <c r="M62" s="113">
        <f t="shared" si="2"/>
        <v>9361650</v>
      </c>
      <c r="N62" s="118"/>
      <c r="O62" s="6"/>
      <c r="P62" s="6"/>
      <c r="Q62" s="6"/>
      <c r="R62" s="6"/>
      <c r="S62" s="6"/>
    </row>
    <row r="63" spans="1:19" s="116" customFormat="1" ht="12.75">
      <c r="A63" s="224"/>
      <c r="B63" s="244"/>
      <c r="C63" s="115" t="s">
        <v>330</v>
      </c>
      <c r="D63" s="107">
        <f>SUM(D61:D62)</f>
        <v>22069355</v>
      </c>
      <c r="E63" s="107">
        <f aca="true" t="shared" si="19" ref="E63:K63">SUM(E61:E62)</f>
        <v>7352991</v>
      </c>
      <c r="F63" s="107">
        <f t="shared" si="19"/>
        <v>13691000</v>
      </c>
      <c r="G63" s="107">
        <f t="shared" si="19"/>
        <v>0</v>
      </c>
      <c r="H63" s="107">
        <f t="shared" si="19"/>
        <v>0</v>
      </c>
      <c r="I63" s="98">
        <f t="shared" si="0"/>
        <v>43113346</v>
      </c>
      <c r="J63" s="107">
        <f t="shared" si="19"/>
        <v>43113346</v>
      </c>
      <c r="K63" s="107">
        <f t="shared" si="19"/>
        <v>33751696</v>
      </c>
      <c r="L63" s="98">
        <f t="shared" si="1"/>
        <v>9361650</v>
      </c>
      <c r="M63" s="108">
        <f t="shared" si="2"/>
        <v>9361650</v>
      </c>
      <c r="N63" s="119"/>
      <c r="O63" s="8"/>
      <c r="P63" s="8"/>
      <c r="Q63" s="8"/>
      <c r="R63" s="8"/>
      <c r="S63" s="8"/>
    </row>
    <row r="64" spans="1:19" ht="26.25" customHeight="1">
      <c r="A64" s="237" t="s">
        <v>113</v>
      </c>
      <c r="B64" s="239" t="s">
        <v>349</v>
      </c>
      <c r="C64" s="111" t="s">
        <v>328</v>
      </c>
      <c r="D64" s="107">
        <v>0</v>
      </c>
      <c r="E64" s="6"/>
      <c r="F64" s="6"/>
      <c r="G64" s="6"/>
      <c r="H64" s="6"/>
      <c r="I64" s="102">
        <f t="shared" si="0"/>
        <v>0</v>
      </c>
      <c r="J64" s="112"/>
      <c r="K64" s="112"/>
      <c r="L64" s="102">
        <f t="shared" si="1"/>
        <v>0</v>
      </c>
      <c r="M64" s="113">
        <f t="shared" si="2"/>
        <v>0</v>
      </c>
      <c r="N64" s="6"/>
      <c r="O64" s="6"/>
      <c r="P64" s="6"/>
      <c r="Q64" s="6"/>
      <c r="R64" s="6"/>
      <c r="S64" s="6"/>
    </row>
    <row r="65" spans="1:19" ht="12.75">
      <c r="A65" s="238"/>
      <c r="B65" s="240"/>
      <c r="C65" s="111" t="s">
        <v>329</v>
      </c>
      <c r="D65" s="111">
        <v>3000000</v>
      </c>
      <c r="E65" s="112"/>
      <c r="F65" s="6"/>
      <c r="G65" s="6"/>
      <c r="H65" s="112">
        <v>28000</v>
      </c>
      <c r="I65" s="102">
        <f t="shared" si="0"/>
        <v>2972000</v>
      </c>
      <c r="J65" s="112">
        <v>2972000</v>
      </c>
      <c r="K65" s="112">
        <v>2972000</v>
      </c>
      <c r="L65" s="102">
        <f t="shared" si="1"/>
        <v>0</v>
      </c>
      <c r="M65" s="113">
        <f t="shared" si="2"/>
        <v>0</v>
      </c>
      <c r="N65" s="6"/>
      <c r="O65" s="6"/>
      <c r="P65" s="6"/>
      <c r="Q65" s="6"/>
      <c r="R65" s="6"/>
      <c r="S65" s="6"/>
    </row>
    <row r="66" spans="1:19" s="116" customFormat="1" ht="12.75">
      <c r="A66" s="224"/>
      <c r="B66" s="241"/>
      <c r="C66" s="115" t="s">
        <v>330</v>
      </c>
      <c r="D66" s="107">
        <f>SUM(D64:D65)</f>
        <v>3000000</v>
      </c>
      <c r="E66" s="107">
        <f aca="true" t="shared" si="20" ref="E66:K66">SUM(E64:E65)</f>
        <v>0</v>
      </c>
      <c r="F66" s="107">
        <f t="shared" si="20"/>
        <v>0</v>
      </c>
      <c r="G66" s="107">
        <f t="shared" si="20"/>
        <v>0</v>
      </c>
      <c r="H66" s="107">
        <f t="shared" si="20"/>
        <v>28000</v>
      </c>
      <c r="I66" s="98">
        <f t="shared" si="0"/>
        <v>2972000</v>
      </c>
      <c r="J66" s="107">
        <f t="shared" si="20"/>
        <v>2972000</v>
      </c>
      <c r="K66" s="107">
        <f t="shared" si="20"/>
        <v>2972000</v>
      </c>
      <c r="L66" s="98">
        <f t="shared" si="1"/>
        <v>0</v>
      </c>
      <c r="M66" s="113">
        <f t="shared" si="2"/>
        <v>0</v>
      </c>
      <c r="N66" s="8"/>
      <c r="O66" s="8"/>
      <c r="P66" s="8"/>
      <c r="Q66" s="8"/>
      <c r="R66" s="8"/>
      <c r="S66" s="8"/>
    </row>
    <row r="67" spans="1:19" s="100" customFormat="1" ht="15">
      <c r="A67" s="95" t="s">
        <v>189</v>
      </c>
      <c r="B67" s="132" t="s">
        <v>26</v>
      </c>
      <c r="C67" s="133"/>
      <c r="D67" s="106">
        <f>+D68+D85</f>
        <v>136401416</v>
      </c>
      <c r="E67" s="106">
        <f>+E68+E85</f>
        <v>37672361</v>
      </c>
      <c r="F67" s="106">
        <f>+F68+F85</f>
        <v>54588499</v>
      </c>
      <c r="G67" s="106">
        <f>+G68+G85</f>
        <v>20192</v>
      </c>
      <c r="H67" s="106">
        <f>+H68+H85</f>
        <v>7588499</v>
      </c>
      <c r="I67" s="98">
        <f t="shared" si="0"/>
        <v>221053585</v>
      </c>
      <c r="J67" s="107">
        <f>+J68+J85</f>
        <v>215304635.02</v>
      </c>
      <c r="K67" s="107">
        <f>+K68+K85</f>
        <v>211311208.02</v>
      </c>
      <c r="L67" s="98">
        <f t="shared" si="1"/>
        <v>9742376.97999999</v>
      </c>
      <c r="M67" s="108">
        <f t="shared" si="2"/>
        <v>3993427</v>
      </c>
      <c r="N67" s="64"/>
      <c r="O67" s="64"/>
      <c r="P67" s="64"/>
      <c r="Q67" s="64"/>
      <c r="R67" s="64"/>
      <c r="S67" s="64"/>
    </row>
    <row r="68" spans="1:19" ht="12.75">
      <c r="A68" s="92" t="s">
        <v>114</v>
      </c>
      <c r="B68" s="107" t="s">
        <v>350</v>
      </c>
      <c r="C68" s="107"/>
      <c r="D68" s="107">
        <f>+D72+D76+D80+D84</f>
        <v>131489527</v>
      </c>
      <c r="E68" s="107">
        <f aca="true" t="shared" si="21" ref="E68:K68">+E72+E76+E80+E84</f>
        <v>36767971</v>
      </c>
      <c r="F68" s="107">
        <f t="shared" si="21"/>
        <v>1077928</v>
      </c>
      <c r="G68" s="107">
        <f t="shared" si="21"/>
        <v>20192</v>
      </c>
      <c r="H68" s="107">
        <f t="shared" si="21"/>
        <v>7097928</v>
      </c>
      <c r="I68" s="98">
        <f t="shared" si="0"/>
        <v>162217306</v>
      </c>
      <c r="J68" s="107">
        <f t="shared" si="21"/>
        <v>160316927.02</v>
      </c>
      <c r="K68" s="107">
        <f t="shared" si="21"/>
        <v>160316927.02</v>
      </c>
      <c r="L68" s="98">
        <f t="shared" si="1"/>
        <v>1900378.9799999893</v>
      </c>
      <c r="M68" s="113">
        <f t="shared" si="2"/>
        <v>0</v>
      </c>
      <c r="N68" s="6"/>
      <c r="O68" s="6"/>
      <c r="P68" s="6"/>
      <c r="Q68" s="6"/>
      <c r="R68" s="6"/>
      <c r="S68" s="6"/>
    </row>
    <row r="69" spans="1:19" ht="12.75">
      <c r="A69" s="256" t="s">
        <v>115</v>
      </c>
      <c r="B69" s="237" t="s">
        <v>351</v>
      </c>
      <c r="C69" s="111" t="s">
        <v>328</v>
      </c>
      <c r="D69" s="111">
        <v>89479527</v>
      </c>
      <c r="E69" s="112">
        <f>8935859+21822112</f>
        <v>30757971</v>
      </c>
      <c r="F69" s="6"/>
      <c r="G69" s="6">
        <v>20192</v>
      </c>
      <c r="H69" s="6"/>
      <c r="I69" s="102">
        <f t="shared" si="0"/>
        <v>120217306</v>
      </c>
      <c r="J69" s="112">
        <v>120217306</v>
      </c>
      <c r="K69" s="112">
        <v>120217306</v>
      </c>
      <c r="L69" s="102">
        <f t="shared" si="1"/>
        <v>0</v>
      </c>
      <c r="M69" s="113">
        <f t="shared" si="2"/>
        <v>0</v>
      </c>
      <c r="N69" s="66" t="s">
        <v>268</v>
      </c>
      <c r="O69" s="10">
        <v>100</v>
      </c>
      <c r="P69" s="10">
        <v>100</v>
      </c>
      <c r="Q69" s="10" t="s">
        <v>269</v>
      </c>
      <c r="R69" s="10">
        <v>0</v>
      </c>
      <c r="S69" s="10">
        <v>0</v>
      </c>
    </row>
    <row r="70" spans="1:19" ht="12.75">
      <c r="A70" s="257"/>
      <c r="B70" s="238"/>
      <c r="C70" s="111" t="s">
        <v>329</v>
      </c>
      <c r="D70" s="111"/>
      <c r="E70" s="112"/>
      <c r="F70" s="6"/>
      <c r="G70" s="6"/>
      <c r="H70" s="6"/>
      <c r="I70" s="102">
        <f t="shared" si="0"/>
        <v>0</v>
      </c>
      <c r="J70" s="112"/>
      <c r="K70" s="112"/>
      <c r="L70" s="102">
        <f t="shared" si="1"/>
        <v>0</v>
      </c>
      <c r="M70" s="113">
        <f t="shared" si="2"/>
        <v>0</v>
      </c>
      <c r="N70" s="66" t="s">
        <v>270</v>
      </c>
      <c r="O70" s="10">
        <v>3430</v>
      </c>
      <c r="P70" s="10">
        <v>3400</v>
      </c>
      <c r="Q70" s="10" t="s">
        <v>271</v>
      </c>
      <c r="R70" s="10"/>
      <c r="S70" s="10"/>
    </row>
    <row r="71" spans="1:19" ht="12.75">
      <c r="A71" s="257"/>
      <c r="B71" s="238"/>
      <c r="C71" s="111" t="s">
        <v>166</v>
      </c>
      <c r="D71" s="111">
        <v>42000000</v>
      </c>
      <c r="E71" s="112"/>
      <c r="F71" s="6"/>
      <c r="G71" s="6"/>
      <c r="H71" s="112">
        <v>1077928</v>
      </c>
      <c r="I71" s="102">
        <f t="shared" si="0"/>
        <v>40922072</v>
      </c>
      <c r="J71" s="112">
        <f>39392695+0.02</f>
        <v>39392695.02</v>
      </c>
      <c r="K71" s="112">
        <f>39392695+0.02</f>
        <v>39392695.02</v>
      </c>
      <c r="L71" s="134">
        <f>+I71-K71</f>
        <v>1529376.9799999967</v>
      </c>
      <c r="M71" s="113">
        <f>+J71-K71</f>
        <v>0</v>
      </c>
      <c r="N71" s="6"/>
      <c r="O71" s="6"/>
      <c r="P71" s="6"/>
      <c r="Q71" s="6"/>
      <c r="R71" s="6"/>
      <c r="S71" s="6"/>
    </row>
    <row r="72" spans="1:19" s="116" customFormat="1" ht="12.75">
      <c r="A72" s="258"/>
      <c r="B72" s="224"/>
      <c r="C72" s="115" t="s">
        <v>330</v>
      </c>
      <c r="D72" s="107">
        <f>SUM(D69:D71)</f>
        <v>131479527</v>
      </c>
      <c r="E72" s="107">
        <f aca="true" t="shared" si="22" ref="E72:J72">SUM(E69:E71)</f>
        <v>30757971</v>
      </c>
      <c r="F72" s="107">
        <f t="shared" si="22"/>
        <v>0</v>
      </c>
      <c r="G72" s="107">
        <f t="shared" si="22"/>
        <v>20192</v>
      </c>
      <c r="H72" s="107">
        <f t="shared" si="22"/>
        <v>1077928</v>
      </c>
      <c r="I72" s="98">
        <f>+D72+E72+F72-G72-H72</f>
        <v>161139378</v>
      </c>
      <c r="J72" s="107">
        <f t="shared" si="22"/>
        <v>159610001.02</v>
      </c>
      <c r="K72" s="107">
        <f>SUM(K69:K71)</f>
        <v>159610001.02</v>
      </c>
      <c r="L72" s="98">
        <f t="shared" si="1"/>
        <v>1529376.9799999893</v>
      </c>
      <c r="M72" s="113">
        <f t="shared" si="2"/>
        <v>0</v>
      </c>
      <c r="N72" s="8"/>
      <c r="O72" s="8"/>
      <c r="P72" s="8"/>
      <c r="Q72" s="8"/>
      <c r="R72" s="8"/>
      <c r="S72" s="8"/>
    </row>
    <row r="73" spans="1:19" ht="12.75">
      <c r="A73" s="256" t="s">
        <v>116</v>
      </c>
      <c r="B73" s="237" t="s">
        <v>352</v>
      </c>
      <c r="C73" s="111" t="s">
        <v>328</v>
      </c>
      <c r="D73" s="111">
        <v>0</v>
      </c>
      <c r="E73" s="135">
        <v>10000</v>
      </c>
      <c r="F73" s="6"/>
      <c r="G73" s="6"/>
      <c r="H73" s="135">
        <v>10000</v>
      </c>
      <c r="I73" s="102">
        <f>+D73+E73+F73-G73-H73</f>
        <v>0</v>
      </c>
      <c r="J73" s="6"/>
      <c r="K73" s="6"/>
      <c r="L73" s="102">
        <f t="shared" si="1"/>
        <v>0</v>
      </c>
      <c r="M73" s="113">
        <f t="shared" si="2"/>
        <v>0</v>
      </c>
      <c r="N73" s="6"/>
      <c r="O73" s="6"/>
      <c r="P73" s="6"/>
      <c r="Q73" s="6"/>
      <c r="R73" s="6"/>
      <c r="S73" s="6"/>
    </row>
    <row r="74" spans="1:19" ht="12.75">
      <c r="A74" s="257"/>
      <c r="B74" s="238"/>
      <c r="C74" s="111" t="s">
        <v>329</v>
      </c>
      <c r="D74" s="111"/>
      <c r="E74" s="135">
        <v>6000000</v>
      </c>
      <c r="F74" s="6"/>
      <c r="G74" s="6"/>
      <c r="H74" s="135">
        <v>6000000</v>
      </c>
      <c r="I74" s="102">
        <f>+D74+E74+F74-G74-H74</f>
        <v>0</v>
      </c>
      <c r="J74" s="6"/>
      <c r="K74" s="6"/>
      <c r="L74" s="102">
        <f t="shared" si="1"/>
        <v>0</v>
      </c>
      <c r="M74" s="113">
        <f t="shared" si="2"/>
        <v>0</v>
      </c>
      <c r="N74" s="6"/>
      <c r="O74" s="6"/>
      <c r="P74" s="6"/>
      <c r="Q74" s="6"/>
      <c r="R74" s="6"/>
      <c r="S74" s="6"/>
    </row>
    <row r="75" spans="1:19" ht="12.75">
      <c r="A75" s="257"/>
      <c r="B75" s="238"/>
      <c r="C75" s="111" t="s">
        <v>335</v>
      </c>
      <c r="D75" s="111">
        <v>10000</v>
      </c>
      <c r="E75" s="135"/>
      <c r="F75" s="6"/>
      <c r="G75" s="6"/>
      <c r="H75" s="135">
        <v>10000</v>
      </c>
      <c r="I75" s="102">
        <f>+D75+E75+F75-G75-H75</f>
        <v>0</v>
      </c>
      <c r="J75" s="6"/>
      <c r="K75" s="6"/>
      <c r="L75" s="102">
        <f t="shared" si="1"/>
        <v>0</v>
      </c>
      <c r="M75" s="113">
        <f t="shared" si="2"/>
        <v>0</v>
      </c>
      <c r="N75" s="112"/>
      <c r="O75" s="6"/>
      <c r="P75" s="6"/>
      <c r="Q75" s="6"/>
      <c r="R75" s="6"/>
      <c r="S75" s="6"/>
    </row>
    <row r="76" spans="1:19" s="116" customFormat="1" ht="12.75">
      <c r="A76" s="258"/>
      <c r="B76" s="224"/>
      <c r="C76" s="115" t="s">
        <v>330</v>
      </c>
      <c r="D76" s="107">
        <f>SUM(D73:D75)</f>
        <v>10000</v>
      </c>
      <c r="E76" s="107">
        <f aca="true" t="shared" si="23" ref="E76:K76">SUM(E73:E75)</f>
        <v>6010000</v>
      </c>
      <c r="F76" s="107">
        <f t="shared" si="23"/>
        <v>0</v>
      </c>
      <c r="G76" s="107">
        <f t="shared" si="23"/>
        <v>0</v>
      </c>
      <c r="H76" s="107">
        <f t="shared" si="23"/>
        <v>6020000</v>
      </c>
      <c r="I76" s="98">
        <f>+D76+E76+F76-G76-H76</f>
        <v>0</v>
      </c>
      <c r="J76" s="107">
        <f t="shared" si="23"/>
        <v>0</v>
      </c>
      <c r="K76" s="107">
        <f t="shared" si="23"/>
        <v>0</v>
      </c>
      <c r="L76" s="98">
        <f t="shared" si="1"/>
        <v>0</v>
      </c>
      <c r="M76" s="113">
        <f t="shared" si="2"/>
        <v>0</v>
      </c>
      <c r="N76" s="8"/>
      <c r="O76" s="8"/>
      <c r="P76" s="8"/>
      <c r="Q76" s="8"/>
      <c r="R76" s="8"/>
      <c r="S76" s="8"/>
    </row>
    <row r="77" spans="1:19" ht="12.75">
      <c r="A77" s="256" t="s">
        <v>117</v>
      </c>
      <c r="B77" s="237" t="s">
        <v>353</v>
      </c>
      <c r="C77" s="111" t="s">
        <v>328</v>
      </c>
      <c r="D77" s="111">
        <v>0</v>
      </c>
      <c r="E77" s="6"/>
      <c r="F77" s="6"/>
      <c r="G77" s="6"/>
      <c r="H77" s="6"/>
      <c r="I77" s="102">
        <f aca="true" t="shared" si="24" ref="I77:I151">+D77+E77+F77-G77-H77</f>
        <v>0</v>
      </c>
      <c r="J77" s="6"/>
      <c r="K77" s="6"/>
      <c r="L77" s="102">
        <f aca="true" t="shared" si="25" ref="L77:L151">+I77-K77</f>
        <v>0</v>
      </c>
      <c r="M77" s="113">
        <f aca="true" t="shared" si="26" ref="M77:M151">+J77-K77</f>
        <v>0</v>
      </c>
      <c r="N77" s="6"/>
      <c r="O77" s="6"/>
      <c r="P77" s="6"/>
      <c r="Q77" s="6"/>
      <c r="R77" s="6"/>
      <c r="S77" s="6"/>
    </row>
    <row r="78" spans="1:19" ht="12.75">
      <c r="A78" s="257"/>
      <c r="B78" s="238"/>
      <c r="C78" s="111" t="s">
        <v>329</v>
      </c>
      <c r="D78" s="111"/>
      <c r="E78" s="6"/>
      <c r="F78" s="6"/>
      <c r="G78" s="6"/>
      <c r="H78" s="6"/>
      <c r="I78" s="102">
        <f t="shared" si="24"/>
        <v>0</v>
      </c>
      <c r="J78" s="6"/>
      <c r="K78" s="6"/>
      <c r="L78" s="102">
        <f t="shared" si="25"/>
        <v>0</v>
      </c>
      <c r="M78" s="113">
        <f t="shared" si="26"/>
        <v>0</v>
      </c>
      <c r="N78" s="6"/>
      <c r="O78" s="6"/>
      <c r="P78" s="6"/>
      <c r="Q78" s="6"/>
      <c r="R78" s="6"/>
      <c r="S78" s="6"/>
    </row>
    <row r="79" spans="1:19" ht="12.75">
      <c r="A79" s="257"/>
      <c r="B79" s="238"/>
      <c r="C79" s="111" t="s">
        <v>166</v>
      </c>
      <c r="D79" s="111"/>
      <c r="E79" s="6"/>
      <c r="F79" s="111">
        <v>371002</v>
      </c>
      <c r="G79" s="6"/>
      <c r="H79" s="6"/>
      <c r="I79" s="102">
        <f t="shared" si="24"/>
        <v>371002</v>
      </c>
      <c r="J79" s="6"/>
      <c r="K79" s="6"/>
      <c r="L79" s="102">
        <f t="shared" si="25"/>
        <v>371002</v>
      </c>
      <c r="M79" s="113"/>
      <c r="N79" s="6"/>
      <c r="O79" s="6"/>
      <c r="P79" s="6"/>
      <c r="Q79" s="6"/>
      <c r="R79" s="6"/>
      <c r="S79" s="6"/>
    </row>
    <row r="80" spans="1:19" s="116" customFormat="1" ht="12.75">
      <c r="A80" s="258"/>
      <c r="B80" s="224"/>
      <c r="C80" s="115" t="s">
        <v>330</v>
      </c>
      <c r="D80" s="107">
        <f>SUM(D77:D79)</f>
        <v>0</v>
      </c>
      <c r="E80" s="107">
        <f>SUM(E77:E79)</f>
        <v>0</v>
      </c>
      <c r="F80" s="107">
        <f>SUM(F77:F79)</f>
        <v>371002</v>
      </c>
      <c r="G80" s="107">
        <f>SUM(G77:G79)</f>
        <v>0</v>
      </c>
      <c r="H80" s="107">
        <f>SUM(H77:H79)</f>
        <v>0</v>
      </c>
      <c r="I80" s="98">
        <f t="shared" si="24"/>
        <v>371002</v>
      </c>
      <c r="J80" s="107">
        <f>SUM(J77:J79)</f>
        <v>0</v>
      </c>
      <c r="K80" s="107">
        <f>SUM(K77:K79)</f>
        <v>0</v>
      </c>
      <c r="L80" s="98">
        <f t="shared" si="25"/>
        <v>371002</v>
      </c>
      <c r="M80" s="113">
        <f t="shared" si="26"/>
        <v>0</v>
      </c>
      <c r="N80" s="8"/>
      <c r="O80" s="8"/>
      <c r="P80" s="8"/>
      <c r="Q80" s="8"/>
      <c r="R80" s="8"/>
      <c r="S80" s="8"/>
    </row>
    <row r="81" spans="1:19" ht="12.75">
      <c r="A81" s="256" t="s">
        <v>354</v>
      </c>
      <c r="B81" s="237" t="s">
        <v>355</v>
      </c>
      <c r="C81" s="111" t="s">
        <v>328</v>
      </c>
      <c r="D81" s="107">
        <v>0</v>
      </c>
      <c r="E81" s="6"/>
      <c r="F81" s="6"/>
      <c r="G81" s="6"/>
      <c r="H81" s="6"/>
      <c r="I81" s="102">
        <f t="shared" si="24"/>
        <v>0</v>
      </c>
      <c r="J81" s="6"/>
      <c r="K81" s="6"/>
      <c r="L81" s="102">
        <f t="shared" si="25"/>
        <v>0</v>
      </c>
      <c r="M81" s="113">
        <f t="shared" si="26"/>
        <v>0</v>
      </c>
      <c r="N81" s="6"/>
      <c r="O81" s="6"/>
      <c r="P81" s="6"/>
      <c r="Q81" s="6"/>
      <c r="R81" s="6"/>
      <c r="S81" s="6"/>
    </row>
    <row r="82" spans="1:19" ht="12.75">
      <c r="A82" s="257"/>
      <c r="B82" s="238"/>
      <c r="C82" s="111" t="s">
        <v>329</v>
      </c>
      <c r="D82" s="107"/>
      <c r="E82" s="6"/>
      <c r="F82" s="6"/>
      <c r="G82" s="6"/>
      <c r="H82" s="6"/>
      <c r="I82" s="102">
        <f t="shared" si="24"/>
        <v>0</v>
      </c>
      <c r="J82" s="6"/>
      <c r="K82" s="6"/>
      <c r="L82" s="102">
        <f t="shared" si="25"/>
        <v>0</v>
      </c>
      <c r="M82" s="113">
        <f t="shared" si="26"/>
        <v>0</v>
      </c>
      <c r="N82" s="6"/>
      <c r="O82" s="6"/>
      <c r="P82" s="6"/>
      <c r="Q82" s="6"/>
      <c r="R82" s="6"/>
      <c r="S82" s="6"/>
    </row>
    <row r="83" spans="1:19" ht="12.75">
      <c r="A83" s="257"/>
      <c r="B83" s="238"/>
      <c r="C83" s="111" t="s">
        <v>166</v>
      </c>
      <c r="D83" s="111"/>
      <c r="E83" s="6"/>
      <c r="F83" s="111">
        <v>706926</v>
      </c>
      <c r="G83" s="6"/>
      <c r="H83" s="6"/>
      <c r="I83" s="102">
        <f t="shared" si="24"/>
        <v>706926</v>
      </c>
      <c r="J83" s="112">
        <v>706926</v>
      </c>
      <c r="K83" s="112">
        <v>706926</v>
      </c>
      <c r="L83" s="102">
        <f t="shared" si="25"/>
        <v>0</v>
      </c>
      <c r="M83" s="113"/>
      <c r="N83" s="6"/>
      <c r="O83" s="6"/>
      <c r="P83" s="6"/>
      <c r="Q83" s="6"/>
      <c r="R83" s="6"/>
      <c r="S83" s="6"/>
    </row>
    <row r="84" spans="1:19" s="116" customFormat="1" ht="12.75">
      <c r="A84" s="258"/>
      <c r="B84" s="224"/>
      <c r="C84" s="115" t="s">
        <v>330</v>
      </c>
      <c r="D84" s="107">
        <f>SUM(D81:D83)</f>
        <v>0</v>
      </c>
      <c r="E84" s="107">
        <f>SUM(E81:E83)</f>
        <v>0</v>
      </c>
      <c r="F84" s="107">
        <f>SUM(F81:F83)</f>
        <v>706926</v>
      </c>
      <c r="G84" s="107">
        <f>SUM(G81:G83)</f>
        <v>0</v>
      </c>
      <c r="H84" s="107">
        <f>SUM(H81:H83)</f>
        <v>0</v>
      </c>
      <c r="I84" s="98">
        <f t="shared" si="24"/>
        <v>706926</v>
      </c>
      <c r="J84" s="107">
        <f>SUM(J81:J83)</f>
        <v>706926</v>
      </c>
      <c r="K84" s="107">
        <f>SUM(K81:K83)</f>
        <v>706926</v>
      </c>
      <c r="L84" s="98">
        <f t="shared" si="25"/>
        <v>0</v>
      </c>
      <c r="M84" s="113">
        <f t="shared" si="26"/>
        <v>0</v>
      </c>
      <c r="N84" s="8"/>
      <c r="O84" s="8"/>
      <c r="P84" s="8"/>
      <c r="Q84" s="8"/>
      <c r="R84" s="8"/>
      <c r="S84" s="8"/>
    </row>
    <row r="85" spans="1:19" ht="12.75">
      <c r="A85" s="92"/>
      <c r="B85" s="98" t="s">
        <v>356</v>
      </c>
      <c r="C85" s="92"/>
      <c r="D85" s="107">
        <f>+D86</f>
        <v>4911889</v>
      </c>
      <c r="E85" s="107">
        <f aca="true" t="shared" si="27" ref="E85:K86">+E86</f>
        <v>904390</v>
      </c>
      <c r="F85" s="107">
        <f t="shared" si="27"/>
        <v>53510571</v>
      </c>
      <c r="G85" s="107">
        <f t="shared" si="27"/>
        <v>0</v>
      </c>
      <c r="H85" s="107">
        <f t="shared" si="27"/>
        <v>490571</v>
      </c>
      <c r="I85" s="98">
        <f t="shared" si="24"/>
        <v>58836279</v>
      </c>
      <c r="J85" s="107">
        <f t="shared" si="27"/>
        <v>54987708</v>
      </c>
      <c r="K85" s="107">
        <f t="shared" si="27"/>
        <v>50994281</v>
      </c>
      <c r="L85" s="98">
        <f t="shared" si="25"/>
        <v>7841998</v>
      </c>
      <c r="M85" s="108">
        <f t="shared" si="26"/>
        <v>3993427</v>
      </c>
      <c r="N85" s="6"/>
      <c r="O85" s="6"/>
      <c r="P85" s="6"/>
      <c r="Q85" s="6"/>
      <c r="R85" s="6"/>
      <c r="S85" s="6"/>
    </row>
    <row r="86" spans="1:19" ht="12.75">
      <c r="A86" s="92" t="s">
        <v>174</v>
      </c>
      <c r="B86" s="92" t="s">
        <v>357</v>
      </c>
      <c r="C86" s="92"/>
      <c r="D86" s="107">
        <f>+D87</f>
        <v>4911889</v>
      </c>
      <c r="E86" s="107">
        <f t="shared" si="27"/>
        <v>904390</v>
      </c>
      <c r="F86" s="107">
        <f t="shared" si="27"/>
        <v>53510571</v>
      </c>
      <c r="G86" s="107">
        <f t="shared" si="27"/>
        <v>0</v>
      </c>
      <c r="H86" s="107">
        <f t="shared" si="27"/>
        <v>490571</v>
      </c>
      <c r="I86" s="98">
        <f t="shared" si="24"/>
        <v>58836279</v>
      </c>
      <c r="J86" s="107">
        <f t="shared" si="27"/>
        <v>54987708</v>
      </c>
      <c r="K86" s="107">
        <f t="shared" si="27"/>
        <v>50994281</v>
      </c>
      <c r="L86" s="98">
        <f t="shared" si="25"/>
        <v>7841998</v>
      </c>
      <c r="M86" s="108">
        <f t="shared" si="26"/>
        <v>3993427</v>
      </c>
      <c r="N86" s="6"/>
      <c r="O86" s="6"/>
      <c r="P86" s="6"/>
      <c r="Q86" s="6"/>
      <c r="R86" s="6"/>
      <c r="S86" s="6"/>
    </row>
    <row r="87" spans="1:19" ht="24" customHeight="1">
      <c r="A87" s="92" t="s">
        <v>358</v>
      </c>
      <c r="B87" s="126" t="s">
        <v>359</v>
      </c>
      <c r="C87" s="92"/>
      <c r="D87" s="107">
        <f>+D91+D94</f>
        <v>4911889</v>
      </c>
      <c r="E87" s="107">
        <f aca="true" t="shared" si="28" ref="E87:K87">+E91+E94</f>
        <v>904390</v>
      </c>
      <c r="F87" s="107">
        <f t="shared" si="28"/>
        <v>53510571</v>
      </c>
      <c r="G87" s="107">
        <f t="shared" si="28"/>
        <v>0</v>
      </c>
      <c r="H87" s="107">
        <f t="shared" si="28"/>
        <v>490571</v>
      </c>
      <c r="I87" s="98">
        <f t="shared" si="24"/>
        <v>58836279</v>
      </c>
      <c r="J87" s="107">
        <f t="shared" si="28"/>
        <v>54987708</v>
      </c>
      <c r="K87" s="107">
        <f t="shared" si="28"/>
        <v>50994281</v>
      </c>
      <c r="L87" s="98">
        <f t="shared" si="25"/>
        <v>7841998</v>
      </c>
      <c r="M87" s="108">
        <f t="shared" si="26"/>
        <v>3993427</v>
      </c>
      <c r="N87" s="112"/>
      <c r="O87" s="6"/>
      <c r="P87" s="6"/>
      <c r="Q87" s="6"/>
      <c r="R87" s="6"/>
      <c r="S87" s="6"/>
    </row>
    <row r="88" spans="1:19" ht="12.75">
      <c r="A88" s="237" t="s">
        <v>360</v>
      </c>
      <c r="B88" s="239" t="s">
        <v>361</v>
      </c>
      <c r="C88" s="111" t="s">
        <v>328</v>
      </c>
      <c r="D88" s="111">
        <v>4211889</v>
      </c>
      <c r="E88" s="112">
        <f>413820+108343+382227</f>
        <v>904390</v>
      </c>
      <c r="F88" s="112">
        <v>10000</v>
      </c>
      <c r="G88" s="6"/>
      <c r="H88" s="112">
        <v>490571</v>
      </c>
      <c r="I88" s="102">
        <f t="shared" si="24"/>
        <v>4635708</v>
      </c>
      <c r="J88" s="112">
        <f>5325708+-690000</f>
        <v>4635708</v>
      </c>
      <c r="K88" s="112">
        <f>2662854+1331427</f>
        <v>3994281</v>
      </c>
      <c r="L88" s="102">
        <f t="shared" si="25"/>
        <v>641427</v>
      </c>
      <c r="M88" s="113">
        <f t="shared" si="26"/>
        <v>641427</v>
      </c>
      <c r="N88" s="112"/>
      <c r="O88" s="6"/>
      <c r="P88" s="6"/>
      <c r="Q88" s="6"/>
      <c r="R88" s="6"/>
      <c r="S88" s="6"/>
    </row>
    <row r="89" spans="1:19" ht="12.75">
      <c r="A89" s="238"/>
      <c r="B89" s="240"/>
      <c r="C89" s="111" t="s">
        <v>362</v>
      </c>
      <c r="D89" s="111"/>
      <c r="E89" s="112"/>
      <c r="F89" s="112">
        <v>10000</v>
      </c>
      <c r="G89" s="6"/>
      <c r="H89" s="112"/>
      <c r="I89" s="102"/>
      <c r="J89" s="112"/>
      <c r="K89" s="112"/>
      <c r="L89" s="102"/>
      <c r="M89" s="113"/>
      <c r="N89" s="112"/>
      <c r="O89" s="6"/>
      <c r="P89" s="6"/>
      <c r="Q89" s="6"/>
      <c r="R89" s="6"/>
      <c r="S89" s="6"/>
    </row>
    <row r="90" spans="1:19" ht="12.75">
      <c r="A90" s="259"/>
      <c r="B90" s="240"/>
      <c r="C90" s="111" t="s">
        <v>329</v>
      </c>
      <c r="D90" s="111">
        <v>700000</v>
      </c>
      <c r="E90" s="112"/>
      <c r="F90" s="112">
        <v>6000000</v>
      </c>
      <c r="G90" s="6"/>
      <c r="H90" s="6"/>
      <c r="I90" s="102">
        <f t="shared" si="24"/>
        <v>6700000</v>
      </c>
      <c r="J90" s="112">
        <f>2662000+690000</f>
        <v>3352000</v>
      </c>
      <c r="K90" s="112"/>
      <c r="L90" s="102">
        <f t="shared" si="25"/>
        <v>6700000</v>
      </c>
      <c r="M90" s="113">
        <f t="shared" si="26"/>
        <v>3352000</v>
      </c>
      <c r="N90" s="112"/>
      <c r="O90" s="6"/>
      <c r="P90" s="6"/>
      <c r="Q90" s="6"/>
      <c r="R90" s="6"/>
      <c r="S90" s="6"/>
    </row>
    <row r="91" spans="1:19" s="116" customFormat="1" ht="12.75">
      <c r="A91" s="260"/>
      <c r="B91" s="241"/>
      <c r="C91" s="115" t="s">
        <v>330</v>
      </c>
      <c r="D91" s="107">
        <f>SUM(D88:D90)</f>
        <v>4911889</v>
      </c>
      <c r="E91" s="107">
        <f aca="true" t="shared" si="29" ref="E91:K91">SUM(E88:E90)</f>
        <v>904390</v>
      </c>
      <c r="F91" s="107">
        <f t="shared" si="29"/>
        <v>6020000</v>
      </c>
      <c r="G91" s="107">
        <f t="shared" si="29"/>
        <v>0</v>
      </c>
      <c r="H91" s="107">
        <f t="shared" si="29"/>
        <v>490571</v>
      </c>
      <c r="I91" s="98">
        <f t="shared" si="24"/>
        <v>11345708</v>
      </c>
      <c r="J91" s="107">
        <f t="shared" si="29"/>
        <v>7987708</v>
      </c>
      <c r="K91" s="107">
        <f t="shared" si="29"/>
        <v>3994281</v>
      </c>
      <c r="L91" s="98">
        <f t="shared" si="25"/>
        <v>7351427</v>
      </c>
      <c r="M91" s="108">
        <f t="shared" si="26"/>
        <v>3993427</v>
      </c>
      <c r="N91" s="8"/>
      <c r="O91" s="8"/>
      <c r="P91" s="8"/>
      <c r="Q91" s="8"/>
      <c r="R91" s="8"/>
      <c r="S91" s="8"/>
    </row>
    <row r="92" spans="1:19" ht="12.75">
      <c r="A92" s="237" t="s">
        <v>363</v>
      </c>
      <c r="B92" s="242" t="s">
        <v>364</v>
      </c>
      <c r="C92" s="111" t="s">
        <v>328</v>
      </c>
      <c r="D92" s="111"/>
      <c r="E92" s="6"/>
      <c r="F92" s="112">
        <f>47000000+490571</f>
        <v>47490571</v>
      </c>
      <c r="G92" s="6"/>
      <c r="H92" s="6"/>
      <c r="I92" s="102">
        <f t="shared" si="24"/>
        <v>47490571</v>
      </c>
      <c r="J92" s="112">
        <v>47000000</v>
      </c>
      <c r="K92" s="112">
        <v>47000000</v>
      </c>
      <c r="L92" s="102">
        <f t="shared" si="25"/>
        <v>490571</v>
      </c>
      <c r="M92" s="113">
        <f t="shared" si="26"/>
        <v>0</v>
      </c>
      <c r="N92" s="6"/>
      <c r="O92" s="6"/>
      <c r="P92" s="6"/>
      <c r="Q92" s="10" t="s">
        <v>272</v>
      </c>
      <c r="R92" s="6"/>
      <c r="S92" s="6"/>
    </row>
    <row r="93" spans="1:19" ht="12.75">
      <c r="A93" s="238"/>
      <c r="B93" s="243"/>
      <c r="C93" s="111" t="s">
        <v>329</v>
      </c>
      <c r="D93" s="111"/>
      <c r="E93" s="6"/>
      <c r="F93" s="112"/>
      <c r="G93" s="6"/>
      <c r="H93" s="6"/>
      <c r="I93" s="102">
        <f t="shared" si="24"/>
        <v>0</v>
      </c>
      <c r="J93" s="112"/>
      <c r="K93" s="112"/>
      <c r="L93" s="102">
        <f t="shared" si="25"/>
        <v>0</v>
      </c>
      <c r="M93" s="113">
        <f t="shared" si="26"/>
        <v>0</v>
      </c>
      <c r="N93" s="6"/>
      <c r="O93" s="6"/>
      <c r="P93" s="6"/>
      <c r="Q93" s="6"/>
      <c r="R93" s="6"/>
      <c r="S93" s="6"/>
    </row>
    <row r="94" spans="1:19" s="116" customFormat="1" ht="12.75">
      <c r="A94" s="224"/>
      <c r="B94" s="244"/>
      <c r="C94" s="115" t="s">
        <v>330</v>
      </c>
      <c r="D94" s="107">
        <f>SUM(D92:D93)</f>
        <v>0</v>
      </c>
      <c r="E94" s="107">
        <f aca="true" t="shared" si="30" ref="E94:K94">SUM(E92:E93)</f>
        <v>0</v>
      </c>
      <c r="F94" s="107">
        <f t="shared" si="30"/>
        <v>47490571</v>
      </c>
      <c r="G94" s="107">
        <f t="shared" si="30"/>
        <v>0</v>
      </c>
      <c r="H94" s="107">
        <f t="shared" si="30"/>
        <v>0</v>
      </c>
      <c r="I94" s="98">
        <f t="shared" si="24"/>
        <v>47490571</v>
      </c>
      <c r="J94" s="107">
        <f t="shared" si="30"/>
        <v>47000000</v>
      </c>
      <c r="K94" s="107">
        <f t="shared" si="30"/>
        <v>47000000</v>
      </c>
      <c r="L94" s="98">
        <f t="shared" si="25"/>
        <v>490571</v>
      </c>
      <c r="M94" s="108">
        <f t="shared" si="26"/>
        <v>0</v>
      </c>
      <c r="N94" s="8"/>
      <c r="O94" s="8"/>
      <c r="P94" s="8"/>
      <c r="Q94" s="8"/>
      <c r="R94" s="8"/>
      <c r="S94" s="8"/>
    </row>
    <row r="95" spans="1:19" ht="12.75">
      <c r="A95" s="101"/>
      <c r="B95" s="136"/>
      <c r="C95" s="115"/>
      <c r="D95" s="111"/>
      <c r="E95" s="111"/>
      <c r="F95" s="111"/>
      <c r="G95" s="111"/>
      <c r="H95" s="111"/>
      <c r="I95" s="102">
        <f t="shared" si="24"/>
        <v>0</v>
      </c>
      <c r="J95" s="111"/>
      <c r="K95" s="111"/>
      <c r="L95" s="102">
        <f t="shared" si="25"/>
        <v>0</v>
      </c>
      <c r="M95" s="113">
        <f t="shared" si="26"/>
        <v>0</v>
      </c>
      <c r="N95" s="6"/>
      <c r="O95" s="6"/>
      <c r="P95" s="6"/>
      <c r="Q95" s="6"/>
      <c r="R95" s="6"/>
      <c r="S95" s="6"/>
    </row>
    <row r="96" spans="1:19" ht="12.75">
      <c r="A96" s="101"/>
      <c r="B96" s="136"/>
      <c r="C96" s="115"/>
      <c r="D96" s="111"/>
      <c r="E96" s="111"/>
      <c r="F96" s="111"/>
      <c r="G96" s="111"/>
      <c r="H96" s="111"/>
      <c r="I96" s="102">
        <f t="shared" si="24"/>
        <v>0</v>
      </c>
      <c r="J96" s="111"/>
      <c r="K96" s="111"/>
      <c r="L96" s="102"/>
      <c r="M96" s="113"/>
      <c r="N96" s="6"/>
      <c r="O96" s="6"/>
      <c r="P96" s="6"/>
      <c r="Q96" s="6"/>
      <c r="R96" s="6"/>
      <c r="S96" s="6"/>
    </row>
    <row r="97" spans="1:19" s="100" customFormat="1" ht="28.5">
      <c r="A97" s="95" t="s">
        <v>119</v>
      </c>
      <c r="B97" s="137" t="s">
        <v>365</v>
      </c>
      <c r="C97" s="138"/>
      <c r="D97" s="106">
        <f>+D98+D120</f>
        <v>194100000</v>
      </c>
      <c r="E97" s="106">
        <f>+E98+E120</f>
        <v>279509565.8</v>
      </c>
      <c r="F97" s="106">
        <f>+F98+F120</f>
        <v>70086274</v>
      </c>
      <c r="G97" s="106">
        <f>+G98+G120</f>
        <v>0</v>
      </c>
      <c r="H97" s="106">
        <f>+H98+H120</f>
        <v>70086274</v>
      </c>
      <c r="I97" s="98">
        <f t="shared" si="24"/>
        <v>473609565.79999995</v>
      </c>
      <c r="J97" s="107">
        <f>+J98+J120</f>
        <v>468555956</v>
      </c>
      <c r="K97" s="107">
        <f>+K98+K120</f>
        <v>236743332</v>
      </c>
      <c r="L97" s="98">
        <f t="shared" si="25"/>
        <v>236866233.79999995</v>
      </c>
      <c r="M97" s="108">
        <f t="shared" si="26"/>
        <v>231812624</v>
      </c>
      <c r="N97" s="109"/>
      <c r="O97" s="64"/>
      <c r="P97" s="64"/>
      <c r="Q97" s="64"/>
      <c r="R97" s="64"/>
      <c r="S97" s="64"/>
    </row>
    <row r="98" spans="1:19" ht="12.75">
      <c r="A98" s="92" t="s">
        <v>120</v>
      </c>
      <c r="B98" s="131" t="s">
        <v>33</v>
      </c>
      <c r="C98" s="131"/>
      <c r="D98" s="107">
        <f>+D101+D104+D108+D111+D115</f>
        <v>88100000</v>
      </c>
      <c r="E98" s="107">
        <f>+E101+E104+E108+E111+E115+E119</f>
        <v>201952366.8</v>
      </c>
      <c r="F98" s="107">
        <f>+F101+F104+F108+F111+F115+F119</f>
        <v>18386274</v>
      </c>
      <c r="G98" s="107">
        <f>+G101+G104+G108+G111+G115+G119</f>
        <v>0</v>
      </c>
      <c r="H98" s="107">
        <f>+H101+H104+H108+H111+H115+H119</f>
        <v>11086274</v>
      </c>
      <c r="I98" s="98">
        <f t="shared" si="24"/>
        <v>297352366.8</v>
      </c>
      <c r="J98" s="107">
        <f>+J101+J104+J108+J111+J115+J119</f>
        <v>294303784</v>
      </c>
      <c r="K98" s="107">
        <f>+K101+K104+K108+K111+K115+K119</f>
        <v>99383699</v>
      </c>
      <c r="L98" s="98">
        <f t="shared" si="25"/>
        <v>197968667.8</v>
      </c>
      <c r="M98" s="108">
        <f t="shared" si="26"/>
        <v>194920085</v>
      </c>
      <c r="N98" s="6"/>
      <c r="O98" s="6"/>
      <c r="P98" s="6"/>
      <c r="Q98" s="6"/>
      <c r="R98" s="6"/>
      <c r="S98" s="6"/>
    </row>
    <row r="99" spans="1:19" ht="12.75">
      <c r="A99" s="237" t="s">
        <v>122</v>
      </c>
      <c r="B99" s="251" t="s">
        <v>366</v>
      </c>
      <c r="C99" s="111" t="s">
        <v>328</v>
      </c>
      <c r="D99" s="111">
        <v>20000000</v>
      </c>
      <c r="E99" s="112">
        <v>5000000</v>
      </c>
      <c r="F99" s="6"/>
      <c r="G99" s="6"/>
      <c r="H99" s="112">
        <v>7500000</v>
      </c>
      <c r="I99" s="102">
        <f t="shared" si="24"/>
        <v>17500000</v>
      </c>
      <c r="J99" s="112">
        <f>14520575+2438400</f>
        <v>16958975</v>
      </c>
      <c r="K99" s="112">
        <v>9429938</v>
      </c>
      <c r="L99" s="102">
        <f t="shared" si="25"/>
        <v>8070062</v>
      </c>
      <c r="M99" s="113">
        <f t="shared" si="26"/>
        <v>7529037</v>
      </c>
      <c r="N99" s="10" t="s">
        <v>273</v>
      </c>
      <c r="O99" s="10">
        <v>65</v>
      </c>
      <c r="P99" s="10">
        <v>85</v>
      </c>
      <c r="Q99" s="10"/>
      <c r="R99" s="10"/>
      <c r="S99" s="10"/>
    </row>
    <row r="100" spans="1:19" ht="12.75">
      <c r="A100" s="238"/>
      <c r="B100" s="252"/>
      <c r="C100" s="111" t="s">
        <v>329</v>
      </c>
      <c r="D100" s="111"/>
      <c r="E100" s="112"/>
      <c r="F100" s="6"/>
      <c r="G100" s="6"/>
      <c r="H100" s="6"/>
      <c r="I100" s="102">
        <f t="shared" si="24"/>
        <v>0</v>
      </c>
      <c r="J100" s="6"/>
      <c r="K100" s="6"/>
      <c r="L100" s="102">
        <f t="shared" si="25"/>
        <v>0</v>
      </c>
      <c r="M100" s="113">
        <f t="shared" si="26"/>
        <v>0</v>
      </c>
      <c r="N100" s="10"/>
      <c r="O100" s="10"/>
      <c r="P100" s="10"/>
      <c r="Q100" s="10"/>
      <c r="R100" s="10"/>
      <c r="S100" s="10"/>
    </row>
    <row r="101" spans="1:19" s="116" customFormat="1" ht="12.75">
      <c r="A101" s="224"/>
      <c r="B101" s="255"/>
      <c r="C101" s="115" t="s">
        <v>330</v>
      </c>
      <c r="D101" s="107">
        <f>SUM(D99:D100)</f>
        <v>20000000</v>
      </c>
      <c r="E101" s="107">
        <f aca="true" t="shared" si="31" ref="E101:K101">SUM(E99:E100)</f>
        <v>5000000</v>
      </c>
      <c r="F101" s="107">
        <f t="shared" si="31"/>
        <v>0</v>
      </c>
      <c r="G101" s="107">
        <f t="shared" si="31"/>
        <v>0</v>
      </c>
      <c r="H101" s="107">
        <f t="shared" si="31"/>
        <v>7500000</v>
      </c>
      <c r="I101" s="98">
        <f t="shared" si="24"/>
        <v>17500000</v>
      </c>
      <c r="J101" s="107">
        <f t="shared" si="31"/>
        <v>16958975</v>
      </c>
      <c r="K101" s="107">
        <f t="shared" si="31"/>
        <v>9429938</v>
      </c>
      <c r="L101" s="98">
        <f t="shared" si="25"/>
        <v>8070062</v>
      </c>
      <c r="M101" s="108">
        <f t="shared" si="26"/>
        <v>7529037</v>
      </c>
      <c r="N101" s="10"/>
      <c r="O101" s="10"/>
      <c r="P101" s="10"/>
      <c r="Q101" s="10"/>
      <c r="R101" s="10"/>
      <c r="S101" s="10"/>
    </row>
    <row r="102" spans="1:19" ht="12.75">
      <c r="A102" s="237" t="s">
        <v>123</v>
      </c>
      <c r="B102" s="251" t="s">
        <v>367</v>
      </c>
      <c r="C102" s="111" t="s">
        <v>328</v>
      </c>
      <c r="D102" s="111">
        <v>15000000</v>
      </c>
      <c r="E102" s="112">
        <v>2863310</v>
      </c>
      <c r="F102" s="112">
        <v>3585522</v>
      </c>
      <c r="G102" s="6"/>
      <c r="H102" s="6">
        <v>752</v>
      </c>
      <c r="I102" s="102">
        <f t="shared" si="24"/>
        <v>21448080</v>
      </c>
      <c r="J102" s="112">
        <v>21448080</v>
      </c>
      <c r="K102" s="112">
        <v>21448080</v>
      </c>
      <c r="L102" s="102">
        <f t="shared" si="25"/>
        <v>0</v>
      </c>
      <c r="M102" s="113">
        <f t="shared" si="26"/>
        <v>0</v>
      </c>
      <c r="N102" s="10"/>
      <c r="O102" s="10"/>
      <c r="P102" s="10"/>
      <c r="Q102" s="10"/>
      <c r="R102" s="10"/>
      <c r="S102" s="10"/>
    </row>
    <row r="103" spans="1:19" ht="12.75">
      <c r="A103" s="238"/>
      <c r="B103" s="252"/>
      <c r="C103" s="111" t="s">
        <v>329</v>
      </c>
      <c r="D103" s="111"/>
      <c r="E103" s="112">
        <v>2000000</v>
      </c>
      <c r="F103" s="6"/>
      <c r="G103" s="6"/>
      <c r="H103" s="6"/>
      <c r="I103" s="102">
        <f t="shared" si="24"/>
        <v>2000000</v>
      </c>
      <c r="J103" s="112">
        <v>2000000</v>
      </c>
      <c r="K103" s="112">
        <v>2000000</v>
      </c>
      <c r="L103" s="102">
        <f t="shared" si="25"/>
        <v>0</v>
      </c>
      <c r="M103" s="113">
        <f t="shared" si="26"/>
        <v>0</v>
      </c>
      <c r="N103" s="10"/>
      <c r="O103" s="10"/>
      <c r="P103" s="10"/>
      <c r="Q103" s="10"/>
      <c r="R103" s="10"/>
      <c r="S103" s="10"/>
    </row>
    <row r="104" spans="1:19" s="116" customFormat="1" ht="12.75">
      <c r="A104" s="224"/>
      <c r="B104" s="253"/>
      <c r="C104" s="115" t="s">
        <v>330</v>
      </c>
      <c r="D104" s="107">
        <f>SUM(D102:D103)</f>
        <v>15000000</v>
      </c>
      <c r="E104" s="107">
        <f aca="true" t="shared" si="32" ref="E104:K104">SUM(E102:E103)</f>
        <v>4863310</v>
      </c>
      <c r="F104" s="107">
        <f t="shared" si="32"/>
        <v>3585522</v>
      </c>
      <c r="G104" s="107">
        <f t="shared" si="32"/>
        <v>0</v>
      </c>
      <c r="H104" s="107">
        <f t="shared" si="32"/>
        <v>752</v>
      </c>
      <c r="I104" s="98">
        <f t="shared" si="24"/>
        <v>23448080</v>
      </c>
      <c r="J104" s="107">
        <f t="shared" si="32"/>
        <v>23448080</v>
      </c>
      <c r="K104" s="107">
        <f t="shared" si="32"/>
        <v>23448080</v>
      </c>
      <c r="L104" s="98">
        <f t="shared" si="25"/>
        <v>0</v>
      </c>
      <c r="M104" s="108">
        <f t="shared" si="26"/>
        <v>0</v>
      </c>
      <c r="N104" s="10"/>
      <c r="O104" s="10"/>
      <c r="P104" s="10"/>
      <c r="Q104" s="10"/>
      <c r="R104" s="10"/>
      <c r="S104" s="10"/>
    </row>
    <row r="105" spans="1:19" s="116" customFormat="1" ht="12.75">
      <c r="A105" s="237" t="s">
        <v>124</v>
      </c>
      <c r="B105" s="242" t="s">
        <v>368</v>
      </c>
      <c r="C105" s="111" t="s">
        <v>328</v>
      </c>
      <c r="D105" s="111">
        <v>30000000</v>
      </c>
      <c r="E105" s="112">
        <f>30000000+2000000</f>
        <v>32000000</v>
      </c>
      <c r="F105" s="8"/>
      <c r="G105" s="8"/>
      <c r="H105" s="112">
        <v>3585522</v>
      </c>
      <c r="I105" s="102">
        <f t="shared" si="24"/>
        <v>58414478</v>
      </c>
      <c r="J105" s="112">
        <f>58414476</f>
        <v>58414476</v>
      </c>
      <c r="K105" s="112">
        <f>19657298+4374030</f>
        <v>24031328</v>
      </c>
      <c r="L105" s="102">
        <f t="shared" si="25"/>
        <v>34383150</v>
      </c>
      <c r="M105" s="113">
        <f t="shared" si="26"/>
        <v>34383148</v>
      </c>
      <c r="N105" s="10"/>
      <c r="O105" s="10"/>
      <c r="P105" s="10"/>
      <c r="Q105" s="10"/>
      <c r="R105" s="10"/>
      <c r="S105" s="10"/>
    </row>
    <row r="106" spans="1:19" s="116" customFormat="1" ht="12.75">
      <c r="A106" s="238"/>
      <c r="B106" s="243"/>
      <c r="C106" s="111" t="s">
        <v>329</v>
      </c>
      <c r="D106" s="107"/>
      <c r="E106" s="119"/>
      <c r="F106" s="8"/>
      <c r="G106" s="8"/>
      <c r="H106" s="8"/>
      <c r="I106" s="102">
        <f t="shared" si="24"/>
        <v>0</v>
      </c>
      <c r="J106" s="119"/>
      <c r="K106" s="119"/>
      <c r="L106" s="102">
        <f t="shared" si="25"/>
        <v>0</v>
      </c>
      <c r="M106" s="113">
        <f t="shared" si="26"/>
        <v>0</v>
      </c>
      <c r="N106" s="10"/>
      <c r="O106" s="10"/>
      <c r="P106" s="10"/>
      <c r="Q106" s="10" t="s">
        <v>274</v>
      </c>
      <c r="R106" s="10">
        <v>5</v>
      </c>
      <c r="S106" s="10">
        <v>5</v>
      </c>
    </row>
    <row r="107" spans="1:19" s="116" customFormat="1" ht="12.75">
      <c r="A107" s="238"/>
      <c r="B107" s="243"/>
      <c r="C107" s="111" t="s">
        <v>369</v>
      </c>
      <c r="D107" s="111">
        <v>1600000</v>
      </c>
      <c r="E107" s="119"/>
      <c r="F107" s="8"/>
      <c r="G107" s="8"/>
      <c r="H107" s="8"/>
      <c r="I107" s="102">
        <f t="shared" si="24"/>
        <v>1600000</v>
      </c>
      <c r="J107" s="112">
        <v>1600000</v>
      </c>
      <c r="K107" s="112">
        <v>1600000</v>
      </c>
      <c r="L107" s="102">
        <f t="shared" si="25"/>
        <v>0</v>
      </c>
      <c r="M107" s="113">
        <f t="shared" si="26"/>
        <v>0</v>
      </c>
      <c r="N107" s="10"/>
      <c r="O107" s="10"/>
      <c r="P107" s="10"/>
      <c r="Q107" s="10"/>
      <c r="R107" s="10"/>
      <c r="S107" s="10"/>
    </row>
    <row r="108" spans="1:19" s="116" customFormat="1" ht="12.75">
      <c r="A108" s="254"/>
      <c r="B108" s="261"/>
      <c r="C108" s="115" t="s">
        <v>330</v>
      </c>
      <c r="D108" s="107">
        <f>SUM(D105:D107)</f>
        <v>31600000</v>
      </c>
      <c r="E108" s="107">
        <f aca="true" t="shared" si="33" ref="E108:K108">SUM(E105:E107)</f>
        <v>32000000</v>
      </c>
      <c r="F108" s="107">
        <f t="shared" si="33"/>
        <v>0</v>
      </c>
      <c r="G108" s="107">
        <f t="shared" si="33"/>
        <v>0</v>
      </c>
      <c r="H108" s="107">
        <f t="shared" si="33"/>
        <v>3585522</v>
      </c>
      <c r="I108" s="98">
        <f t="shared" si="24"/>
        <v>60014478</v>
      </c>
      <c r="J108" s="107">
        <f t="shared" si="33"/>
        <v>60014476</v>
      </c>
      <c r="K108" s="107">
        <f t="shared" si="33"/>
        <v>25631328</v>
      </c>
      <c r="L108" s="98">
        <f t="shared" si="25"/>
        <v>34383150</v>
      </c>
      <c r="M108" s="108">
        <f t="shared" si="26"/>
        <v>34383148</v>
      </c>
      <c r="N108" s="68"/>
      <c r="O108" s="68"/>
      <c r="P108" s="68"/>
      <c r="Q108" s="68"/>
      <c r="R108" s="68"/>
      <c r="S108" s="68"/>
    </row>
    <row r="109" spans="1:19" s="116" customFormat="1" ht="12.75">
      <c r="A109" s="237" t="s">
        <v>125</v>
      </c>
      <c r="B109" s="239" t="s">
        <v>370</v>
      </c>
      <c r="C109" s="111" t="s">
        <v>328</v>
      </c>
      <c r="D109" s="111">
        <v>20000000</v>
      </c>
      <c r="E109" s="112">
        <f>20000000+1379025</f>
        <v>21379025</v>
      </c>
      <c r="F109" s="112">
        <f>7300000+7500752</f>
        <v>14800752</v>
      </c>
      <c r="G109" s="8"/>
      <c r="H109" s="8"/>
      <c r="I109" s="102">
        <f t="shared" si="24"/>
        <v>56179777</v>
      </c>
      <c r="J109" s="112">
        <v>53679727</v>
      </c>
      <c r="K109" s="112">
        <v>39224262</v>
      </c>
      <c r="L109" s="102">
        <f t="shared" si="25"/>
        <v>16955515</v>
      </c>
      <c r="M109" s="113">
        <f t="shared" si="26"/>
        <v>14455465</v>
      </c>
      <c r="N109" s="10" t="s">
        <v>275</v>
      </c>
      <c r="O109" s="10">
        <v>94</v>
      </c>
      <c r="P109" s="10">
        <v>98</v>
      </c>
      <c r="Q109" s="10"/>
      <c r="R109" s="10"/>
      <c r="S109" s="10"/>
    </row>
    <row r="110" spans="1:19" s="116" customFormat="1" ht="12.75">
      <c r="A110" s="238"/>
      <c r="B110" s="240"/>
      <c r="C110" s="111" t="s">
        <v>329</v>
      </c>
      <c r="D110" s="107"/>
      <c r="E110" s="119"/>
      <c r="F110" s="8"/>
      <c r="G110" s="8"/>
      <c r="H110" s="8"/>
      <c r="I110" s="102">
        <f t="shared" si="24"/>
        <v>0</v>
      </c>
      <c r="J110" s="119"/>
      <c r="K110" s="119"/>
      <c r="L110" s="102">
        <f t="shared" si="25"/>
        <v>0</v>
      </c>
      <c r="M110" s="113">
        <f t="shared" si="26"/>
        <v>0</v>
      </c>
      <c r="N110" s="10"/>
      <c r="O110" s="10"/>
      <c r="P110" s="10"/>
      <c r="Q110" s="10"/>
      <c r="R110" s="10"/>
      <c r="S110" s="10"/>
    </row>
    <row r="111" spans="1:19" s="116" customFormat="1" ht="12.75">
      <c r="A111" s="254"/>
      <c r="B111" s="262"/>
      <c r="C111" s="115" t="s">
        <v>330</v>
      </c>
      <c r="D111" s="107">
        <f>SUM(D109:D110)</f>
        <v>20000000</v>
      </c>
      <c r="E111" s="107">
        <f aca="true" t="shared" si="34" ref="E111:K111">SUM(E109:E110)</f>
        <v>21379025</v>
      </c>
      <c r="F111" s="107">
        <f t="shared" si="34"/>
        <v>14800752</v>
      </c>
      <c r="G111" s="107">
        <f t="shared" si="34"/>
        <v>0</v>
      </c>
      <c r="H111" s="107">
        <f t="shared" si="34"/>
        <v>0</v>
      </c>
      <c r="I111" s="98">
        <f t="shared" si="24"/>
        <v>56179777</v>
      </c>
      <c r="J111" s="107">
        <f t="shared" si="34"/>
        <v>53679727</v>
      </c>
      <c r="K111" s="107">
        <f t="shared" si="34"/>
        <v>39224262</v>
      </c>
      <c r="L111" s="98">
        <f t="shared" si="25"/>
        <v>16955515</v>
      </c>
      <c r="M111" s="108">
        <f t="shared" si="26"/>
        <v>14455465</v>
      </c>
      <c r="N111" s="10"/>
      <c r="O111" s="10"/>
      <c r="P111" s="10"/>
      <c r="Q111" s="10"/>
      <c r="R111" s="10"/>
      <c r="S111" s="10"/>
    </row>
    <row r="112" spans="1:19" ht="12.75">
      <c r="A112" s="237" t="s">
        <v>126</v>
      </c>
      <c r="B112" s="237" t="s">
        <v>160</v>
      </c>
      <c r="C112" s="111" t="s">
        <v>328</v>
      </c>
      <c r="D112" s="107">
        <v>0</v>
      </c>
      <c r="E112" s="6"/>
      <c r="F112" s="6"/>
      <c r="G112" s="6"/>
      <c r="H112" s="6"/>
      <c r="I112" s="102">
        <f t="shared" si="24"/>
        <v>0</v>
      </c>
      <c r="J112" s="6"/>
      <c r="K112" s="6"/>
      <c r="L112" s="102">
        <f t="shared" si="25"/>
        <v>0</v>
      </c>
      <c r="M112" s="113">
        <f>+J114-K114</f>
        <v>0</v>
      </c>
      <c r="N112" s="10"/>
      <c r="O112" s="10"/>
      <c r="P112" s="10"/>
      <c r="Q112" s="10"/>
      <c r="R112" s="10"/>
      <c r="S112" s="10"/>
    </row>
    <row r="113" spans="1:19" ht="12.75">
      <c r="A113" s="238"/>
      <c r="B113" s="238"/>
      <c r="C113" s="111" t="s">
        <v>329</v>
      </c>
      <c r="D113" s="107"/>
      <c r="E113" s="6"/>
      <c r="F113" s="6"/>
      <c r="G113" s="6"/>
      <c r="H113" s="6"/>
      <c r="I113" s="102">
        <f t="shared" si="24"/>
        <v>0</v>
      </c>
      <c r="J113" s="112"/>
      <c r="K113" s="112"/>
      <c r="L113" s="102">
        <f t="shared" si="25"/>
        <v>0</v>
      </c>
      <c r="M113" s="113">
        <f>+J115-K115</f>
        <v>0</v>
      </c>
      <c r="N113" s="10"/>
      <c r="O113" s="10"/>
      <c r="P113" s="10"/>
      <c r="Q113" s="10" t="s">
        <v>276</v>
      </c>
      <c r="R113" s="10">
        <v>55</v>
      </c>
      <c r="S113" s="10">
        <v>35</v>
      </c>
    </row>
    <row r="114" spans="1:19" ht="12.75">
      <c r="A114" s="238"/>
      <c r="B114" s="238"/>
      <c r="C114" s="111" t="s">
        <v>369</v>
      </c>
      <c r="D114" s="111">
        <v>1500000</v>
      </c>
      <c r="E114" s="112">
        <f>99280+50811</f>
        <v>150091</v>
      </c>
      <c r="F114" s="6"/>
      <c r="G114" s="6"/>
      <c r="H114" s="6"/>
      <c r="I114" s="102">
        <f t="shared" si="24"/>
        <v>1650091</v>
      </c>
      <c r="J114" s="112">
        <v>1650091</v>
      </c>
      <c r="K114" s="112">
        <v>1650091</v>
      </c>
      <c r="L114" s="102">
        <f t="shared" si="25"/>
        <v>0</v>
      </c>
      <c r="M114" s="113">
        <f>+J116-K116</f>
        <v>0</v>
      </c>
      <c r="N114" s="6"/>
      <c r="O114" s="6"/>
      <c r="P114" s="6"/>
      <c r="Q114" s="6"/>
      <c r="R114" s="6"/>
      <c r="S114" s="6"/>
    </row>
    <row r="115" spans="1:19" s="116" customFormat="1" ht="12.75">
      <c r="A115" s="224"/>
      <c r="B115" s="224"/>
      <c r="C115" s="115" t="s">
        <v>330</v>
      </c>
      <c r="D115" s="107">
        <f>SUM(D112:D114)</f>
        <v>1500000</v>
      </c>
      <c r="E115" s="107">
        <f>SUM(E112:E114)</f>
        <v>150091</v>
      </c>
      <c r="F115" s="107">
        <f>SUM(F112:F114)</f>
        <v>0</v>
      </c>
      <c r="G115" s="107">
        <f>SUM(G112:G114)</f>
        <v>0</v>
      </c>
      <c r="H115" s="107">
        <f>SUM(H112:H114)</f>
        <v>0</v>
      </c>
      <c r="I115" s="98">
        <f t="shared" si="24"/>
        <v>1650091</v>
      </c>
      <c r="J115" s="107">
        <f>SUM(J113:J114)</f>
        <v>1650091</v>
      </c>
      <c r="K115" s="107">
        <f>SUM(K113:K114)</f>
        <v>1650091</v>
      </c>
      <c r="L115" s="98">
        <f t="shared" si="25"/>
        <v>0</v>
      </c>
      <c r="M115" s="113">
        <f>+J117-K117</f>
        <v>0</v>
      </c>
      <c r="N115" s="8"/>
      <c r="O115" s="8"/>
      <c r="P115" s="8"/>
      <c r="Q115" s="8"/>
      <c r="R115" s="8"/>
      <c r="S115" s="8"/>
    </row>
    <row r="116" spans="1:19" s="116" customFormat="1" ht="12.75">
      <c r="A116" s="237" t="s">
        <v>371</v>
      </c>
      <c r="B116" s="237" t="s">
        <v>372</v>
      </c>
      <c r="C116" s="111" t="s">
        <v>328</v>
      </c>
      <c r="D116" s="107"/>
      <c r="E116" s="107"/>
      <c r="F116" s="107"/>
      <c r="G116" s="107"/>
      <c r="H116" s="107"/>
      <c r="I116" s="98">
        <f t="shared" si="24"/>
        <v>0</v>
      </c>
      <c r="J116" s="107"/>
      <c r="K116" s="107"/>
      <c r="L116" s="98">
        <f t="shared" si="25"/>
        <v>0</v>
      </c>
      <c r="M116" s="113">
        <f t="shared" si="26"/>
        <v>0</v>
      </c>
      <c r="N116" s="8"/>
      <c r="O116" s="8"/>
      <c r="P116" s="8"/>
      <c r="Q116" s="8"/>
      <c r="R116" s="8"/>
      <c r="S116" s="8"/>
    </row>
    <row r="117" spans="1:19" s="116" customFormat="1" ht="12.75">
      <c r="A117" s="238"/>
      <c r="B117" s="238"/>
      <c r="C117" s="111" t="s">
        <v>329</v>
      </c>
      <c r="D117" s="107"/>
      <c r="E117" s="107"/>
      <c r="F117" s="107"/>
      <c r="G117" s="107"/>
      <c r="H117" s="107"/>
      <c r="I117" s="98">
        <f t="shared" si="24"/>
        <v>0</v>
      </c>
      <c r="J117" s="107"/>
      <c r="K117" s="107"/>
      <c r="L117" s="98">
        <f t="shared" si="25"/>
        <v>0</v>
      </c>
      <c r="M117" s="113">
        <f t="shared" si="26"/>
        <v>0</v>
      </c>
      <c r="N117" s="8"/>
      <c r="O117" s="8"/>
      <c r="P117" s="8"/>
      <c r="Q117" s="8"/>
      <c r="R117" s="8"/>
      <c r="S117" s="8"/>
    </row>
    <row r="118" spans="1:19" ht="12.75">
      <c r="A118" s="238"/>
      <c r="B118" s="238"/>
      <c r="C118" s="111" t="s">
        <v>373</v>
      </c>
      <c r="D118" s="111"/>
      <c r="E118" s="139">
        <v>138559940.8</v>
      </c>
      <c r="F118" s="111"/>
      <c r="G118" s="111"/>
      <c r="H118" s="111"/>
      <c r="I118" s="102">
        <f t="shared" si="24"/>
        <v>138559940.8</v>
      </c>
      <c r="J118" s="111">
        <v>138552435</v>
      </c>
      <c r="K118" s="111"/>
      <c r="L118" s="102">
        <f t="shared" si="25"/>
        <v>138559940.8</v>
      </c>
      <c r="M118" s="113">
        <f t="shared" si="26"/>
        <v>138552435</v>
      </c>
      <c r="N118" s="112"/>
      <c r="O118" s="6"/>
      <c r="P118" s="6"/>
      <c r="Q118" s="6"/>
      <c r="R118" s="6"/>
      <c r="S118" s="6"/>
    </row>
    <row r="119" spans="1:19" s="116" customFormat="1" ht="12.75">
      <c r="A119" s="224"/>
      <c r="B119" s="224"/>
      <c r="C119" s="115" t="s">
        <v>330</v>
      </c>
      <c r="D119" s="107">
        <f>SUM(D116:D118)</f>
        <v>0</v>
      </c>
      <c r="E119" s="107">
        <f>SUM(E116:E118)</f>
        <v>138559940.8</v>
      </c>
      <c r="F119" s="107">
        <f>SUM(F116:F118)</f>
        <v>0</v>
      </c>
      <c r="G119" s="107">
        <f>SUM(G116:G118)</f>
        <v>0</v>
      </c>
      <c r="H119" s="107">
        <f>SUM(H116:H118)</f>
        <v>0</v>
      </c>
      <c r="I119" s="98">
        <f t="shared" si="24"/>
        <v>138559940.8</v>
      </c>
      <c r="J119" s="107">
        <f>SUM(J116:J118)</f>
        <v>138552435</v>
      </c>
      <c r="K119" s="107">
        <f>SUM(K116:K118)</f>
        <v>0</v>
      </c>
      <c r="L119" s="98">
        <f t="shared" si="25"/>
        <v>138559940.8</v>
      </c>
      <c r="M119" s="108">
        <f t="shared" si="26"/>
        <v>138552435</v>
      </c>
      <c r="N119" s="8"/>
      <c r="O119" s="8"/>
      <c r="P119" s="8"/>
      <c r="Q119" s="8"/>
      <c r="R119" s="8"/>
      <c r="S119" s="8"/>
    </row>
    <row r="120" spans="1:19" ht="23.25" customHeight="1">
      <c r="A120" s="92" t="s">
        <v>128</v>
      </c>
      <c r="B120" s="92" t="s">
        <v>374</v>
      </c>
      <c r="C120" s="92"/>
      <c r="D120" s="107">
        <f>+D124+D127+D130+D133+D136+D139</f>
        <v>106000000</v>
      </c>
      <c r="E120" s="107">
        <f>+E124+E127+E130+E133+E136+E139</f>
        <v>77557199</v>
      </c>
      <c r="F120" s="107">
        <f>+F124+F127+F130+F133+F136+F139</f>
        <v>51700000</v>
      </c>
      <c r="G120" s="107">
        <f>+G124+G127+G130+G133+G136+G139</f>
        <v>0</v>
      </c>
      <c r="H120" s="107">
        <f>+H124+H127+H130+H133+H136+H139</f>
        <v>59000000</v>
      </c>
      <c r="I120" s="98">
        <f t="shared" si="24"/>
        <v>176257199</v>
      </c>
      <c r="J120" s="107">
        <f>+J124+J127+J130+J133+J136+J139</f>
        <v>174252172</v>
      </c>
      <c r="K120" s="107">
        <f>+K124+K127+K130+K133+K136+K139</f>
        <v>137359633</v>
      </c>
      <c r="L120" s="98">
        <f t="shared" si="25"/>
        <v>38897566</v>
      </c>
      <c r="M120" s="108">
        <f t="shared" si="26"/>
        <v>36892539</v>
      </c>
      <c r="N120" s="6"/>
      <c r="O120" s="6"/>
      <c r="P120" s="6"/>
      <c r="Q120" s="6"/>
      <c r="R120" s="6"/>
      <c r="S120" s="6"/>
    </row>
    <row r="121" spans="1:19" ht="12.75">
      <c r="A121" s="101"/>
      <c r="B121" s="92"/>
      <c r="C121" s="92"/>
      <c r="D121" s="107"/>
      <c r="E121" s="6"/>
      <c r="F121" s="6"/>
      <c r="G121" s="6"/>
      <c r="H121" s="6"/>
      <c r="I121" s="102">
        <f t="shared" si="24"/>
        <v>0</v>
      </c>
      <c r="J121" s="6"/>
      <c r="K121" s="6"/>
      <c r="L121" s="102">
        <f t="shared" si="25"/>
        <v>0</v>
      </c>
      <c r="M121" s="113">
        <f t="shared" si="26"/>
        <v>0</v>
      </c>
      <c r="N121" s="6"/>
      <c r="O121" s="6"/>
      <c r="P121" s="6"/>
      <c r="Q121" s="6"/>
      <c r="R121" s="6"/>
      <c r="S121" s="6"/>
    </row>
    <row r="122" spans="1:19" ht="12.75">
      <c r="A122" s="237" t="s">
        <v>129</v>
      </c>
      <c r="B122" s="237" t="s">
        <v>375</v>
      </c>
      <c r="C122" s="111" t="s">
        <v>328</v>
      </c>
      <c r="D122" s="111">
        <v>32000000</v>
      </c>
      <c r="E122" s="112">
        <v>20000000</v>
      </c>
      <c r="F122" s="112">
        <v>25000000</v>
      </c>
      <c r="G122" s="6"/>
      <c r="H122" s="6"/>
      <c r="I122" s="102">
        <f t="shared" si="24"/>
        <v>77000000</v>
      </c>
      <c r="J122" s="112">
        <v>77000000</v>
      </c>
      <c r="K122" s="112">
        <v>75300836</v>
      </c>
      <c r="L122" s="102">
        <f t="shared" si="25"/>
        <v>1699164</v>
      </c>
      <c r="M122" s="113">
        <f t="shared" si="26"/>
        <v>1699164</v>
      </c>
      <c r="N122" s="118"/>
      <c r="O122" s="6"/>
      <c r="P122" s="6"/>
      <c r="Q122" s="6"/>
      <c r="R122" s="6"/>
      <c r="S122" s="6"/>
    </row>
    <row r="123" spans="1:19" ht="12.75">
      <c r="A123" s="238"/>
      <c r="B123" s="238"/>
      <c r="C123" s="111" t="s">
        <v>329</v>
      </c>
      <c r="D123" s="111"/>
      <c r="E123" s="112"/>
      <c r="F123" s="6"/>
      <c r="G123" s="6"/>
      <c r="H123" s="6"/>
      <c r="I123" s="102">
        <f t="shared" si="24"/>
        <v>0</v>
      </c>
      <c r="J123" s="112"/>
      <c r="K123" s="112"/>
      <c r="L123" s="102">
        <f t="shared" si="25"/>
        <v>0</v>
      </c>
      <c r="M123" s="113">
        <f t="shared" si="26"/>
        <v>0</v>
      </c>
      <c r="N123" s="6"/>
      <c r="O123" s="6"/>
      <c r="P123" s="6"/>
      <c r="Q123" s="6"/>
      <c r="R123" s="6"/>
      <c r="S123" s="6"/>
    </row>
    <row r="124" spans="1:19" s="116" customFormat="1" ht="12.75">
      <c r="A124" s="224"/>
      <c r="B124" s="224"/>
      <c r="C124" s="115" t="s">
        <v>330</v>
      </c>
      <c r="D124" s="107">
        <f>SUM(D122:D123)</f>
        <v>32000000</v>
      </c>
      <c r="E124" s="107">
        <f aca="true" t="shared" si="35" ref="E124:K124">SUM(E122:E123)</f>
        <v>20000000</v>
      </c>
      <c r="F124" s="107">
        <f t="shared" si="35"/>
        <v>25000000</v>
      </c>
      <c r="G124" s="107">
        <f t="shared" si="35"/>
        <v>0</v>
      </c>
      <c r="H124" s="107">
        <f t="shared" si="35"/>
        <v>0</v>
      </c>
      <c r="I124" s="98">
        <f t="shared" si="24"/>
        <v>77000000</v>
      </c>
      <c r="J124" s="107">
        <f t="shared" si="35"/>
        <v>77000000</v>
      </c>
      <c r="K124" s="107">
        <f t="shared" si="35"/>
        <v>75300836</v>
      </c>
      <c r="L124" s="98">
        <f t="shared" si="25"/>
        <v>1699164</v>
      </c>
      <c r="M124" s="108">
        <f t="shared" si="26"/>
        <v>1699164</v>
      </c>
      <c r="N124" s="8"/>
      <c r="O124" s="8"/>
      <c r="P124" s="8"/>
      <c r="Q124" s="8"/>
      <c r="R124" s="8"/>
      <c r="S124" s="8"/>
    </row>
    <row r="125" spans="1:19" ht="12.75">
      <c r="A125" s="237" t="s">
        <v>130</v>
      </c>
      <c r="B125" s="239" t="s">
        <v>376</v>
      </c>
      <c r="C125" s="111" t="s">
        <v>328</v>
      </c>
      <c r="D125" s="111">
        <v>20000000</v>
      </c>
      <c r="E125" s="112">
        <v>10000000</v>
      </c>
      <c r="F125" s="6"/>
      <c r="G125" s="6"/>
      <c r="H125" s="112">
        <v>30000000</v>
      </c>
      <c r="I125" s="102">
        <f t="shared" si="24"/>
        <v>0</v>
      </c>
      <c r="J125" s="112"/>
      <c r="K125" s="112"/>
      <c r="L125" s="102">
        <f t="shared" si="25"/>
        <v>0</v>
      </c>
      <c r="M125" s="113">
        <f t="shared" si="26"/>
        <v>0</v>
      </c>
      <c r="N125" s="6"/>
      <c r="O125" s="6"/>
      <c r="P125" s="6"/>
      <c r="Q125" s="6"/>
      <c r="R125" s="6"/>
      <c r="S125" s="6"/>
    </row>
    <row r="126" spans="1:19" ht="12.75">
      <c r="A126" s="238"/>
      <c r="B126" s="240"/>
      <c r="C126" s="111" t="s">
        <v>329</v>
      </c>
      <c r="D126" s="111"/>
      <c r="E126" s="112"/>
      <c r="F126" s="6"/>
      <c r="G126" s="6"/>
      <c r="H126" s="6"/>
      <c r="I126" s="102">
        <f t="shared" si="24"/>
        <v>0</v>
      </c>
      <c r="J126" s="112"/>
      <c r="K126" s="112"/>
      <c r="L126" s="102">
        <f t="shared" si="25"/>
        <v>0</v>
      </c>
      <c r="M126" s="113">
        <f t="shared" si="26"/>
        <v>0</v>
      </c>
      <c r="N126" s="6"/>
      <c r="O126" s="6"/>
      <c r="P126" s="6"/>
      <c r="Q126" s="6"/>
      <c r="R126" s="6"/>
      <c r="S126" s="6"/>
    </row>
    <row r="127" spans="1:19" s="116" customFormat="1" ht="12.75">
      <c r="A127" s="224"/>
      <c r="B127" s="241"/>
      <c r="C127" s="115" t="s">
        <v>330</v>
      </c>
      <c r="D127" s="107">
        <f>SUM(D125:D126)</f>
        <v>20000000</v>
      </c>
      <c r="E127" s="107">
        <f aca="true" t="shared" si="36" ref="E127:K127">SUM(E125:E126)</f>
        <v>10000000</v>
      </c>
      <c r="F127" s="107">
        <f t="shared" si="36"/>
        <v>0</v>
      </c>
      <c r="G127" s="107">
        <f t="shared" si="36"/>
        <v>0</v>
      </c>
      <c r="H127" s="107">
        <f t="shared" si="36"/>
        <v>30000000</v>
      </c>
      <c r="I127" s="98">
        <f t="shared" si="24"/>
        <v>0</v>
      </c>
      <c r="J127" s="107">
        <f t="shared" si="36"/>
        <v>0</v>
      </c>
      <c r="K127" s="107">
        <f t="shared" si="36"/>
        <v>0</v>
      </c>
      <c r="L127" s="98">
        <f t="shared" si="25"/>
        <v>0</v>
      </c>
      <c r="M127" s="113">
        <f t="shared" si="26"/>
        <v>0</v>
      </c>
      <c r="N127" s="8"/>
      <c r="O127" s="8"/>
      <c r="P127" s="8"/>
      <c r="Q127" s="8"/>
      <c r="R127" s="8"/>
      <c r="S127" s="8"/>
    </row>
    <row r="128" spans="1:19" ht="15.75" customHeight="1">
      <c r="A128" s="237" t="s">
        <v>131</v>
      </c>
      <c r="B128" s="239" t="s">
        <v>37</v>
      </c>
      <c r="C128" s="111" t="s">
        <v>328</v>
      </c>
      <c r="D128" s="111">
        <v>20000000</v>
      </c>
      <c r="E128" s="112">
        <v>24000000</v>
      </c>
      <c r="F128" s="112">
        <v>10000000</v>
      </c>
      <c r="G128" s="6"/>
      <c r="H128" s="6"/>
      <c r="I128" s="102">
        <f t="shared" si="24"/>
        <v>54000000</v>
      </c>
      <c r="J128" s="112">
        <f>30000000+24000000</f>
        <v>54000000</v>
      </c>
      <c r="K128" s="112">
        <v>18806625</v>
      </c>
      <c r="L128" s="102">
        <f t="shared" si="25"/>
        <v>35193375</v>
      </c>
      <c r="M128" s="113">
        <f t="shared" si="26"/>
        <v>35193375</v>
      </c>
      <c r="N128" s="118"/>
      <c r="O128" s="6"/>
      <c r="P128" s="6"/>
      <c r="Q128" s="6"/>
      <c r="R128" s="6"/>
      <c r="S128" s="6"/>
    </row>
    <row r="129" spans="1:19" ht="15.75" customHeight="1">
      <c r="A129" s="238"/>
      <c r="B129" s="240"/>
      <c r="C129" s="111" t="s">
        <v>329</v>
      </c>
      <c r="D129" s="111"/>
      <c r="E129" s="112"/>
      <c r="F129" s="6"/>
      <c r="G129" s="6"/>
      <c r="H129" s="6"/>
      <c r="I129" s="102">
        <f t="shared" si="24"/>
        <v>0</v>
      </c>
      <c r="J129" s="112"/>
      <c r="K129" s="112"/>
      <c r="L129" s="102">
        <f t="shared" si="25"/>
        <v>0</v>
      </c>
      <c r="M129" s="113">
        <f t="shared" si="26"/>
        <v>0</v>
      </c>
      <c r="N129" s="6"/>
      <c r="O129" s="6"/>
      <c r="P129" s="6"/>
      <c r="Q129" s="6"/>
      <c r="R129" s="6"/>
      <c r="S129" s="6"/>
    </row>
    <row r="130" spans="1:19" s="116" customFormat="1" ht="15.75" customHeight="1">
      <c r="A130" s="224"/>
      <c r="B130" s="241"/>
      <c r="C130" s="115" t="s">
        <v>330</v>
      </c>
      <c r="D130" s="107">
        <f>SUM(D128:D129)</f>
        <v>20000000</v>
      </c>
      <c r="E130" s="107">
        <f aca="true" t="shared" si="37" ref="E130:K130">SUM(E128:E129)</f>
        <v>24000000</v>
      </c>
      <c r="F130" s="107">
        <f t="shared" si="37"/>
        <v>10000000</v>
      </c>
      <c r="G130" s="107">
        <f t="shared" si="37"/>
        <v>0</v>
      </c>
      <c r="H130" s="107">
        <f t="shared" si="37"/>
        <v>0</v>
      </c>
      <c r="I130" s="98">
        <f t="shared" si="24"/>
        <v>54000000</v>
      </c>
      <c r="J130" s="107">
        <f t="shared" si="37"/>
        <v>54000000</v>
      </c>
      <c r="K130" s="107">
        <f t="shared" si="37"/>
        <v>18806625</v>
      </c>
      <c r="L130" s="98">
        <f t="shared" si="25"/>
        <v>35193375</v>
      </c>
      <c r="M130" s="108">
        <f t="shared" si="26"/>
        <v>35193375</v>
      </c>
      <c r="N130" s="8"/>
      <c r="O130" s="8"/>
      <c r="P130" s="8"/>
      <c r="Q130" s="8"/>
      <c r="R130" s="8"/>
      <c r="S130" s="8"/>
    </row>
    <row r="131" spans="1:19" ht="12.75">
      <c r="A131" s="237" t="s">
        <v>132</v>
      </c>
      <c r="B131" s="251" t="s">
        <v>377</v>
      </c>
      <c r="C131" s="111" t="s">
        <v>328</v>
      </c>
      <c r="D131" s="111">
        <v>19000000</v>
      </c>
      <c r="E131" s="6"/>
      <c r="F131" s="6"/>
      <c r="G131" s="6"/>
      <c r="H131" s="112">
        <v>19000000</v>
      </c>
      <c r="I131" s="102">
        <f t="shared" si="24"/>
        <v>0</v>
      </c>
      <c r="J131" s="112"/>
      <c r="K131" s="112"/>
      <c r="L131" s="102">
        <f t="shared" si="25"/>
        <v>0</v>
      </c>
      <c r="M131" s="113">
        <f t="shared" si="26"/>
        <v>0</v>
      </c>
      <c r="N131" s="6"/>
      <c r="O131" s="6"/>
      <c r="P131" s="6"/>
      <c r="Q131" s="6"/>
      <c r="R131" s="6"/>
      <c r="S131" s="6"/>
    </row>
    <row r="132" spans="1:19" ht="12.75">
      <c r="A132" s="238"/>
      <c r="B132" s="252"/>
      <c r="C132" s="111" t="s">
        <v>329</v>
      </c>
      <c r="D132" s="111"/>
      <c r="E132" s="6"/>
      <c r="F132" s="6"/>
      <c r="G132" s="6"/>
      <c r="H132" s="6"/>
      <c r="I132" s="102">
        <f t="shared" si="24"/>
        <v>0</v>
      </c>
      <c r="J132" s="112"/>
      <c r="K132" s="112"/>
      <c r="L132" s="102">
        <f t="shared" si="25"/>
        <v>0</v>
      </c>
      <c r="M132" s="113">
        <f t="shared" si="26"/>
        <v>0</v>
      </c>
      <c r="N132" s="6"/>
      <c r="O132" s="6"/>
      <c r="P132" s="6"/>
      <c r="Q132" s="6"/>
      <c r="R132" s="6"/>
      <c r="S132" s="6"/>
    </row>
    <row r="133" spans="1:19" s="116" customFormat="1" ht="12.75">
      <c r="A133" s="224"/>
      <c r="B133" s="253"/>
      <c r="C133" s="115" t="s">
        <v>330</v>
      </c>
      <c r="D133" s="107">
        <f>SUM(D131:D132)</f>
        <v>19000000</v>
      </c>
      <c r="E133" s="107">
        <f aca="true" t="shared" si="38" ref="E133:K133">SUM(E131:E132)</f>
        <v>0</v>
      </c>
      <c r="F133" s="107">
        <f t="shared" si="38"/>
        <v>0</v>
      </c>
      <c r="G133" s="107">
        <f t="shared" si="38"/>
        <v>0</v>
      </c>
      <c r="H133" s="107">
        <f t="shared" si="38"/>
        <v>19000000</v>
      </c>
      <c r="I133" s="98">
        <f t="shared" si="24"/>
        <v>0</v>
      </c>
      <c r="J133" s="107">
        <f t="shared" si="38"/>
        <v>0</v>
      </c>
      <c r="K133" s="107">
        <f t="shared" si="38"/>
        <v>0</v>
      </c>
      <c r="L133" s="98">
        <f t="shared" si="25"/>
        <v>0</v>
      </c>
      <c r="M133" s="113">
        <f t="shared" si="26"/>
        <v>0</v>
      </c>
      <c r="N133" s="8"/>
      <c r="O133" s="8"/>
      <c r="P133" s="8"/>
      <c r="Q133" s="8"/>
      <c r="R133" s="8"/>
      <c r="S133" s="8"/>
    </row>
    <row r="134" spans="1:19" ht="12.75">
      <c r="A134" s="237" t="s">
        <v>133</v>
      </c>
      <c r="B134" s="251" t="s">
        <v>378</v>
      </c>
      <c r="C134" s="111" t="s">
        <v>328</v>
      </c>
      <c r="D134" s="111">
        <v>15000000</v>
      </c>
      <c r="E134" s="112">
        <v>11557199</v>
      </c>
      <c r="F134" s="112">
        <f>4000000+2700000</f>
        <v>6700000</v>
      </c>
      <c r="G134" s="6"/>
      <c r="H134" s="6"/>
      <c r="I134" s="102">
        <f t="shared" si="24"/>
        <v>33257199</v>
      </c>
      <c r="J134" s="112">
        <v>33257199</v>
      </c>
      <c r="K134" s="112">
        <v>33257199</v>
      </c>
      <c r="L134" s="102">
        <f t="shared" si="25"/>
        <v>0</v>
      </c>
      <c r="M134" s="113">
        <f t="shared" si="26"/>
        <v>0</v>
      </c>
      <c r="N134" s="6"/>
      <c r="O134" s="6"/>
      <c r="P134" s="6"/>
      <c r="Q134" s="6"/>
      <c r="R134" s="6"/>
      <c r="S134" s="6"/>
    </row>
    <row r="135" spans="1:19" ht="12.75">
      <c r="A135" s="238"/>
      <c r="B135" s="252"/>
      <c r="C135" s="111" t="s">
        <v>329</v>
      </c>
      <c r="D135" s="111"/>
      <c r="E135" s="112">
        <f>6000000+6000000</f>
        <v>12000000</v>
      </c>
      <c r="F135" s="6"/>
      <c r="G135" s="6"/>
      <c r="H135" s="6"/>
      <c r="I135" s="102">
        <f t="shared" si="24"/>
        <v>12000000</v>
      </c>
      <c r="J135" s="112">
        <v>9994973</v>
      </c>
      <c r="K135" s="112">
        <v>9994973</v>
      </c>
      <c r="L135" s="102">
        <f t="shared" si="25"/>
        <v>2005027</v>
      </c>
      <c r="M135" s="113">
        <f t="shared" si="26"/>
        <v>0</v>
      </c>
      <c r="N135" s="112"/>
      <c r="O135" s="6"/>
      <c r="P135" s="6"/>
      <c r="Q135" s="6"/>
      <c r="R135" s="6"/>
      <c r="S135" s="6"/>
    </row>
    <row r="136" spans="1:19" s="116" customFormat="1" ht="12.75">
      <c r="A136" s="224"/>
      <c r="B136" s="253"/>
      <c r="C136" s="115" t="s">
        <v>330</v>
      </c>
      <c r="D136" s="107">
        <f>SUM(D134:D135)</f>
        <v>15000000</v>
      </c>
      <c r="E136" s="107">
        <f>SUM(E134:E135)</f>
        <v>23557199</v>
      </c>
      <c r="F136" s="107">
        <f>SUM(F134:F135)</f>
        <v>6700000</v>
      </c>
      <c r="G136" s="107">
        <f>SUM(G134:G135)</f>
        <v>0</v>
      </c>
      <c r="H136" s="107">
        <f>SUM(H134:H135)</f>
        <v>0</v>
      </c>
      <c r="I136" s="98">
        <f t="shared" si="24"/>
        <v>45257199</v>
      </c>
      <c r="J136" s="107">
        <f>SUM(J134:J135)</f>
        <v>43252172</v>
      </c>
      <c r="K136" s="107">
        <f>SUM(K134:K135)</f>
        <v>43252172</v>
      </c>
      <c r="L136" s="98">
        <f t="shared" si="25"/>
        <v>2005027</v>
      </c>
      <c r="M136" s="113">
        <f t="shared" si="26"/>
        <v>0</v>
      </c>
      <c r="N136" s="140"/>
      <c r="O136" s="8"/>
      <c r="P136" s="8"/>
      <c r="Q136" s="8"/>
      <c r="R136" s="8"/>
      <c r="S136" s="8"/>
    </row>
    <row r="137" spans="1:19" s="116" customFormat="1" ht="12.75">
      <c r="A137" s="237" t="s">
        <v>379</v>
      </c>
      <c r="B137" s="242" t="s">
        <v>38</v>
      </c>
      <c r="C137" s="111" t="s">
        <v>328</v>
      </c>
      <c r="D137" s="107"/>
      <c r="E137" s="107"/>
      <c r="F137" s="111">
        <v>10000000</v>
      </c>
      <c r="G137" s="107"/>
      <c r="H137" s="111">
        <v>10000000</v>
      </c>
      <c r="I137" s="102">
        <f t="shared" si="24"/>
        <v>0</v>
      </c>
      <c r="J137" s="107"/>
      <c r="K137" s="107"/>
      <c r="L137" s="102">
        <f t="shared" si="25"/>
        <v>0</v>
      </c>
      <c r="M137" s="113">
        <f t="shared" si="26"/>
        <v>0</v>
      </c>
      <c r="N137" s="8"/>
      <c r="O137" s="8"/>
      <c r="P137" s="8"/>
      <c r="Q137" s="8"/>
      <c r="R137" s="8"/>
      <c r="S137" s="8"/>
    </row>
    <row r="138" spans="1:19" s="116" customFormat="1" ht="12.75">
      <c r="A138" s="238"/>
      <c r="B138" s="243"/>
      <c r="C138" s="111" t="s">
        <v>329</v>
      </c>
      <c r="D138" s="107"/>
      <c r="E138" s="107"/>
      <c r="F138" s="107"/>
      <c r="G138" s="107"/>
      <c r="H138" s="107"/>
      <c r="I138" s="102">
        <f t="shared" si="24"/>
        <v>0</v>
      </c>
      <c r="J138" s="107"/>
      <c r="K138" s="107"/>
      <c r="L138" s="102">
        <f t="shared" si="25"/>
        <v>0</v>
      </c>
      <c r="M138" s="113">
        <f t="shared" si="26"/>
        <v>0</v>
      </c>
      <c r="N138" s="8"/>
      <c r="O138" s="8"/>
      <c r="P138" s="8"/>
      <c r="Q138" s="8"/>
      <c r="R138" s="8"/>
      <c r="S138" s="8"/>
    </row>
    <row r="139" spans="1:19" s="116" customFormat="1" ht="19.5" customHeight="1">
      <c r="A139" s="224"/>
      <c r="B139" s="261"/>
      <c r="C139" s="115" t="s">
        <v>330</v>
      </c>
      <c r="D139" s="107">
        <f>+D137+D138</f>
        <v>0</v>
      </c>
      <c r="E139" s="107">
        <f>+E137+E138</f>
        <v>0</v>
      </c>
      <c r="F139" s="107">
        <f>+F137+F138</f>
        <v>10000000</v>
      </c>
      <c r="G139" s="107">
        <f>+G137+G138</f>
        <v>0</v>
      </c>
      <c r="H139" s="107">
        <f>+H137+H138</f>
        <v>10000000</v>
      </c>
      <c r="I139" s="102">
        <f t="shared" si="24"/>
        <v>0</v>
      </c>
      <c r="J139" s="107">
        <f>+J137+J138</f>
        <v>0</v>
      </c>
      <c r="K139" s="107">
        <f>+K137+K138</f>
        <v>0</v>
      </c>
      <c r="L139" s="98">
        <f t="shared" si="25"/>
        <v>0</v>
      </c>
      <c r="M139" s="113">
        <f t="shared" si="26"/>
        <v>0</v>
      </c>
      <c r="N139" s="8"/>
      <c r="O139" s="8"/>
      <c r="P139" s="8"/>
      <c r="Q139" s="8"/>
      <c r="R139" s="8"/>
      <c r="S139" s="8"/>
    </row>
    <row r="140" spans="1:19" s="100" customFormat="1" ht="15">
      <c r="A140" s="95" t="s">
        <v>136</v>
      </c>
      <c r="B140" s="141" t="s">
        <v>380</v>
      </c>
      <c r="C140" s="141"/>
      <c r="D140" s="106">
        <f>+D144+D147+D151+D154+D157+D160</f>
        <v>49263029</v>
      </c>
      <c r="E140" s="106">
        <f>+E144+E147+E151+E154+E157+E160</f>
        <v>56420556</v>
      </c>
      <c r="F140" s="106">
        <f>+F144+F147+F151+F154+F157+F160+F186</f>
        <v>18077318</v>
      </c>
      <c r="G140" s="106">
        <f>+G144+G147+G151+G154+G157+G160+G186</f>
        <v>0</v>
      </c>
      <c r="H140" s="106">
        <f>+H144+H147+H151+H154+H157+H160+H186</f>
        <v>8077318</v>
      </c>
      <c r="I140" s="98">
        <f t="shared" si="24"/>
        <v>115683585</v>
      </c>
      <c r="J140" s="107">
        <f>+J144+J147+J151+J154+J157+J160</f>
        <v>115677621</v>
      </c>
      <c r="K140" s="107">
        <f>+K144+K147+K151+K154+K157+K160</f>
        <v>83079232</v>
      </c>
      <c r="L140" s="98">
        <f t="shared" si="25"/>
        <v>32604353</v>
      </c>
      <c r="M140" s="108">
        <f t="shared" si="26"/>
        <v>32598389</v>
      </c>
      <c r="N140" s="64"/>
      <c r="O140" s="64"/>
      <c r="P140" s="64"/>
      <c r="Q140" s="64"/>
      <c r="R140" s="64"/>
      <c r="S140" s="64"/>
    </row>
    <row r="141" spans="1:19" s="100" customFormat="1" ht="15">
      <c r="A141" s="142"/>
      <c r="B141" s="143"/>
      <c r="C141" s="141"/>
      <c r="D141" s="106"/>
      <c r="E141" s="106"/>
      <c r="F141" s="106"/>
      <c r="G141" s="106"/>
      <c r="H141" s="106"/>
      <c r="I141" s="98"/>
      <c r="J141" s="107"/>
      <c r="K141" s="107"/>
      <c r="L141" s="102"/>
      <c r="M141" s="113"/>
      <c r="N141" s="64"/>
      <c r="O141" s="64"/>
      <c r="P141" s="64"/>
      <c r="Q141" s="64"/>
      <c r="R141" s="64"/>
      <c r="S141" s="64"/>
    </row>
    <row r="142" spans="1:19" ht="21.75">
      <c r="A142" s="245" t="s">
        <v>137</v>
      </c>
      <c r="B142" s="248" t="s">
        <v>381</v>
      </c>
      <c r="C142" s="111" t="s">
        <v>328</v>
      </c>
      <c r="D142" s="111">
        <v>7000000</v>
      </c>
      <c r="E142" s="6"/>
      <c r="F142" s="112">
        <f>10000000+4000000</f>
        <v>14000000</v>
      </c>
      <c r="G142" s="6"/>
      <c r="H142" s="6"/>
      <c r="I142" s="102">
        <f t="shared" si="24"/>
        <v>21000000</v>
      </c>
      <c r="J142" s="112">
        <f>18188700+2811300</f>
        <v>21000000</v>
      </c>
      <c r="K142" s="112">
        <f>18188700+2811300</f>
        <v>21000000</v>
      </c>
      <c r="L142" s="102">
        <f t="shared" si="25"/>
        <v>0</v>
      </c>
      <c r="M142" s="113">
        <f t="shared" si="26"/>
        <v>0</v>
      </c>
      <c r="N142" s="66" t="s">
        <v>277</v>
      </c>
      <c r="O142" s="67">
        <f>2/7*100</f>
        <v>28.57142857142857</v>
      </c>
      <c r="P142" s="67">
        <v>29</v>
      </c>
      <c r="Q142" s="10"/>
      <c r="R142" s="10"/>
      <c r="S142" s="10"/>
    </row>
    <row r="143" spans="1:19" ht="12.75">
      <c r="A143" s="246"/>
      <c r="B143" s="249"/>
      <c r="C143" s="111" t="s">
        <v>329</v>
      </c>
      <c r="D143" s="111">
        <v>5000000</v>
      </c>
      <c r="E143" s="6"/>
      <c r="F143" s="112"/>
      <c r="G143" s="6"/>
      <c r="H143" s="6"/>
      <c r="I143" s="102">
        <f t="shared" si="24"/>
        <v>5000000</v>
      </c>
      <c r="J143" s="112">
        <v>5000000</v>
      </c>
      <c r="K143" s="112">
        <v>5000000</v>
      </c>
      <c r="L143" s="102">
        <f t="shared" si="25"/>
        <v>0</v>
      </c>
      <c r="M143" s="113">
        <f t="shared" si="26"/>
        <v>0</v>
      </c>
      <c r="N143" s="66"/>
      <c r="O143" s="10"/>
      <c r="P143" s="10"/>
      <c r="Q143" s="10"/>
      <c r="R143" s="10"/>
      <c r="S143" s="10"/>
    </row>
    <row r="144" spans="1:19" s="116" customFormat="1" ht="17.25" customHeight="1">
      <c r="A144" s="247"/>
      <c r="B144" s="250"/>
      <c r="C144" s="115" t="s">
        <v>330</v>
      </c>
      <c r="D144" s="107">
        <f>SUM(D142:D143)</f>
        <v>12000000</v>
      </c>
      <c r="E144" s="107">
        <f>SUM(E142:E143)</f>
        <v>0</v>
      </c>
      <c r="F144" s="107">
        <f>SUM(F142:F143)</f>
        <v>14000000</v>
      </c>
      <c r="G144" s="107">
        <f>SUM(G142:G143)</f>
        <v>0</v>
      </c>
      <c r="H144" s="107">
        <f>SUM(H142:H143)</f>
        <v>0</v>
      </c>
      <c r="I144" s="98">
        <f t="shared" si="24"/>
        <v>26000000</v>
      </c>
      <c r="J144" s="107">
        <f>SUM(J142:J143)</f>
        <v>26000000</v>
      </c>
      <c r="K144" s="107">
        <f>SUM(K142:K143)</f>
        <v>26000000</v>
      </c>
      <c r="L144" s="98">
        <f t="shared" si="25"/>
        <v>0</v>
      </c>
      <c r="M144" s="113">
        <f t="shared" si="26"/>
        <v>0</v>
      </c>
      <c r="N144" s="10"/>
      <c r="O144" s="10"/>
      <c r="P144" s="10"/>
      <c r="Q144" s="10"/>
      <c r="R144" s="10"/>
      <c r="S144" s="10"/>
    </row>
    <row r="145" spans="1:19" ht="12.75">
      <c r="A145" s="245" t="s">
        <v>138</v>
      </c>
      <c r="B145" s="248" t="s">
        <v>41</v>
      </c>
      <c r="C145" s="111" t="s">
        <v>328</v>
      </c>
      <c r="D145" s="111">
        <v>10000000</v>
      </c>
      <c r="E145" s="6"/>
      <c r="F145" s="6"/>
      <c r="G145" s="6"/>
      <c r="H145" s="6"/>
      <c r="I145" s="102">
        <f t="shared" si="24"/>
        <v>10000000</v>
      </c>
      <c r="J145" s="112">
        <v>10000000</v>
      </c>
      <c r="K145" s="112">
        <v>10000000</v>
      </c>
      <c r="L145" s="102">
        <f t="shared" si="25"/>
        <v>0</v>
      </c>
      <c r="M145" s="113">
        <f t="shared" si="26"/>
        <v>0</v>
      </c>
      <c r="N145" s="66"/>
      <c r="O145" s="10"/>
      <c r="P145" s="10"/>
      <c r="Q145" s="10"/>
      <c r="R145" s="10"/>
      <c r="S145" s="10"/>
    </row>
    <row r="146" spans="1:19" ht="18.75" customHeight="1">
      <c r="A146" s="246"/>
      <c r="B146" s="249"/>
      <c r="C146" s="111" t="s">
        <v>329</v>
      </c>
      <c r="D146" s="111">
        <v>1000000</v>
      </c>
      <c r="E146" s="111">
        <v>38000000</v>
      </c>
      <c r="F146" s="6"/>
      <c r="G146" s="6"/>
      <c r="H146" s="6"/>
      <c r="I146" s="102">
        <f t="shared" si="24"/>
        <v>39000000</v>
      </c>
      <c r="J146" s="112">
        <v>38998137</v>
      </c>
      <c r="K146" s="112">
        <v>19998655</v>
      </c>
      <c r="L146" s="102">
        <f t="shared" si="25"/>
        <v>19001345</v>
      </c>
      <c r="M146" s="113">
        <f t="shared" si="26"/>
        <v>18999482</v>
      </c>
      <c r="N146" s="10" t="s">
        <v>278</v>
      </c>
      <c r="O146" s="10">
        <v>5</v>
      </c>
      <c r="P146" s="10">
        <v>10</v>
      </c>
      <c r="Q146" s="66" t="s">
        <v>279</v>
      </c>
      <c r="R146" s="10">
        <v>2</v>
      </c>
      <c r="S146" s="10">
        <v>5</v>
      </c>
    </row>
    <row r="147" spans="1:19" s="116" customFormat="1" ht="12.75">
      <c r="A147" s="247"/>
      <c r="B147" s="250"/>
      <c r="C147" s="115" t="s">
        <v>330</v>
      </c>
      <c r="D147" s="107">
        <f>SUM(D145:D146)</f>
        <v>11000000</v>
      </c>
      <c r="E147" s="107">
        <f>SUM(E145:E146)</f>
        <v>38000000</v>
      </c>
      <c r="F147" s="107">
        <f>SUM(F145:F146)</f>
        <v>0</v>
      </c>
      <c r="G147" s="107">
        <f>SUM(G145:G146)</f>
        <v>0</v>
      </c>
      <c r="H147" s="107">
        <f>SUM(H145:H146)</f>
        <v>0</v>
      </c>
      <c r="I147" s="98">
        <f t="shared" si="24"/>
        <v>49000000</v>
      </c>
      <c r="J147" s="107">
        <f>SUM(J145:J146)</f>
        <v>48998137</v>
      </c>
      <c r="K147" s="107">
        <f>SUM(K145:K146)</f>
        <v>29998655</v>
      </c>
      <c r="L147" s="98">
        <f t="shared" si="25"/>
        <v>19001345</v>
      </c>
      <c r="M147" s="108">
        <f t="shared" si="26"/>
        <v>18999482</v>
      </c>
      <c r="N147" s="8"/>
      <c r="O147" s="8"/>
      <c r="P147" s="8"/>
      <c r="Q147" s="8"/>
      <c r="R147" s="8"/>
      <c r="S147" s="8"/>
    </row>
    <row r="148" spans="1:19" ht="12.75">
      <c r="A148" s="245" t="s">
        <v>139</v>
      </c>
      <c r="B148" s="248" t="s">
        <v>42</v>
      </c>
      <c r="C148" s="111" t="s">
        <v>328</v>
      </c>
      <c r="D148" s="111">
        <v>8000000</v>
      </c>
      <c r="E148" s="112">
        <v>3533825</v>
      </c>
      <c r="F148" s="6"/>
      <c r="G148" s="6"/>
      <c r="H148" s="112">
        <v>8000000</v>
      </c>
      <c r="I148" s="102">
        <f t="shared" si="24"/>
        <v>3533825</v>
      </c>
      <c r="J148" s="112">
        <f>1392000+2206512-64687</f>
        <v>3533825</v>
      </c>
      <c r="K148" s="112">
        <f>1392000+2206512-64687</f>
        <v>3533825</v>
      </c>
      <c r="L148" s="102">
        <f t="shared" si="25"/>
        <v>0</v>
      </c>
      <c r="M148" s="113">
        <f t="shared" si="26"/>
        <v>0</v>
      </c>
      <c r="N148" s="6"/>
      <c r="O148" s="6"/>
      <c r="P148" s="6"/>
      <c r="Q148" s="6"/>
      <c r="R148" s="6"/>
      <c r="S148" s="6"/>
    </row>
    <row r="149" spans="1:19" ht="12.75">
      <c r="A149" s="246"/>
      <c r="B149" s="249"/>
      <c r="C149" s="111" t="s">
        <v>329</v>
      </c>
      <c r="D149" s="111">
        <v>2000000</v>
      </c>
      <c r="E149" s="112">
        <v>3142005</v>
      </c>
      <c r="F149" s="6"/>
      <c r="G149" s="6"/>
      <c r="H149" s="112">
        <v>77318</v>
      </c>
      <c r="I149" s="102">
        <f t="shared" si="24"/>
        <v>5064687</v>
      </c>
      <c r="J149" s="112">
        <v>5064687</v>
      </c>
      <c r="K149" s="112">
        <v>5064687</v>
      </c>
      <c r="L149" s="102">
        <f t="shared" si="25"/>
        <v>0</v>
      </c>
      <c r="M149" s="113">
        <f t="shared" si="26"/>
        <v>0</v>
      </c>
      <c r="N149" s="112"/>
      <c r="O149" s="6"/>
      <c r="P149" s="6"/>
      <c r="Q149" s="6"/>
      <c r="R149" s="6"/>
      <c r="S149" s="6"/>
    </row>
    <row r="150" spans="1:19" ht="12.75">
      <c r="A150" s="246"/>
      <c r="B150" s="249"/>
      <c r="C150" s="111" t="s">
        <v>382</v>
      </c>
      <c r="D150" s="111"/>
      <c r="E150" s="112">
        <v>1280661</v>
      </c>
      <c r="F150" s="6"/>
      <c r="G150" s="6"/>
      <c r="H150" s="112"/>
      <c r="I150" s="102">
        <f t="shared" si="24"/>
        <v>1280661</v>
      </c>
      <c r="J150" s="112">
        <v>1276560</v>
      </c>
      <c r="K150" s="112">
        <v>1276560</v>
      </c>
      <c r="L150" s="102">
        <f t="shared" si="25"/>
        <v>4101</v>
      </c>
      <c r="M150" s="113">
        <f t="shared" si="26"/>
        <v>0</v>
      </c>
      <c r="N150" s="6"/>
      <c r="O150" s="6"/>
      <c r="P150" s="6"/>
      <c r="Q150" s="6"/>
      <c r="R150" s="6"/>
      <c r="S150" s="6"/>
    </row>
    <row r="151" spans="1:19" s="116" customFormat="1" ht="12.75">
      <c r="A151" s="247"/>
      <c r="B151" s="250"/>
      <c r="C151" s="115" t="s">
        <v>330</v>
      </c>
      <c r="D151" s="107">
        <f>SUM(D148:D150)</f>
        <v>10000000</v>
      </c>
      <c r="E151" s="107">
        <f>SUM(E148:E150)</f>
        <v>7956491</v>
      </c>
      <c r="F151" s="107">
        <f>SUM(F148:F150)</f>
        <v>0</v>
      </c>
      <c r="G151" s="107">
        <f>SUM(G148:G150)</f>
        <v>0</v>
      </c>
      <c r="H151" s="107">
        <f>SUM(H148:H150)</f>
        <v>8077318</v>
      </c>
      <c r="I151" s="98">
        <f t="shared" si="24"/>
        <v>9879173</v>
      </c>
      <c r="J151" s="107">
        <f>SUM(J148:J150)</f>
        <v>9875072</v>
      </c>
      <c r="K151" s="107">
        <f>SUM(K148:K150)</f>
        <v>9875072</v>
      </c>
      <c r="L151" s="98">
        <f t="shared" si="25"/>
        <v>4101</v>
      </c>
      <c r="M151" s="113">
        <f t="shared" si="26"/>
        <v>0</v>
      </c>
      <c r="N151" s="8"/>
      <c r="O151" s="8"/>
      <c r="P151" s="8"/>
      <c r="Q151" s="8"/>
      <c r="R151" s="8"/>
      <c r="S151" s="8"/>
    </row>
    <row r="152" spans="1:19" ht="12.75">
      <c r="A152" s="245" t="s">
        <v>140</v>
      </c>
      <c r="B152" s="263" t="s">
        <v>43</v>
      </c>
      <c r="C152" s="111" t="s">
        <v>328</v>
      </c>
      <c r="D152" s="111">
        <v>10000000</v>
      </c>
      <c r="E152" s="122"/>
      <c r="F152" s="6"/>
      <c r="G152" s="6"/>
      <c r="H152" s="6"/>
      <c r="I152" s="102">
        <f aca="true" t="shared" si="39" ref="I152:I223">+D152+E152+F152-G152-H152</f>
        <v>10000000</v>
      </c>
      <c r="J152" s="112">
        <v>10000000</v>
      </c>
      <c r="K152" s="112">
        <v>9625295</v>
      </c>
      <c r="L152" s="102">
        <f aca="true" t="shared" si="40" ref="L152:L223">+I152-K152</f>
        <v>374705</v>
      </c>
      <c r="M152" s="113">
        <f aca="true" t="shared" si="41" ref="M152:M223">+J152-K152</f>
        <v>374705</v>
      </c>
      <c r="N152" s="6"/>
      <c r="O152" s="6"/>
      <c r="P152" s="6"/>
      <c r="Q152" s="6"/>
      <c r="R152" s="6"/>
      <c r="S152" s="6"/>
    </row>
    <row r="153" spans="1:19" ht="12.75">
      <c r="A153" s="246"/>
      <c r="B153" s="264"/>
      <c r="C153" s="111" t="s">
        <v>329</v>
      </c>
      <c r="D153" s="111">
        <v>1230000</v>
      </c>
      <c r="E153" s="112">
        <v>5000000</v>
      </c>
      <c r="F153" s="6"/>
      <c r="G153" s="6"/>
      <c r="H153" s="6"/>
      <c r="I153" s="102">
        <f t="shared" si="39"/>
        <v>6230000</v>
      </c>
      <c r="J153" s="112">
        <v>6230000</v>
      </c>
      <c r="K153" s="112"/>
      <c r="L153" s="102">
        <f t="shared" si="40"/>
        <v>6230000</v>
      </c>
      <c r="M153" s="113">
        <f t="shared" si="41"/>
        <v>6230000</v>
      </c>
      <c r="N153" s="6"/>
      <c r="O153" s="6"/>
      <c r="P153" s="6"/>
      <c r="Q153" s="6"/>
      <c r="R153" s="6"/>
      <c r="S153" s="6"/>
    </row>
    <row r="154" spans="1:19" s="116" customFormat="1" ht="12.75">
      <c r="A154" s="247"/>
      <c r="B154" s="265"/>
      <c r="C154" s="115" t="s">
        <v>330</v>
      </c>
      <c r="D154" s="107">
        <f>SUM(D152:D153)</f>
        <v>11230000</v>
      </c>
      <c r="E154" s="107">
        <f aca="true" t="shared" si="42" ref="E154:K154">SUM(E152:E153)</f>
        <v>5000000</v>
      </c>
      <c r="F154" s="107">
        <f t="shared" si="42"/>
        <v>0</v>
      </c>
      <c r="G154" s="107">
        <f t="shared" si="42"/>
        <v>0</v>
      </c>
      <c r="H154" s="107">
        <f t="shared" si="42"/>
        <v>0</v>
      </c>
      <c r="I154" s="98">
        <f t="shared" si="39"/>
        <v>16230000</v>
      </c>
      <c r="J154" s="107">
        <f t="shared" si="42"/>
        <v>16230000</v>
      </c>
      <c r="K154" s="107">
        <f t="shared" si="42"/>
        <v>9625295</v>
      </c>
      <c r="L154" s="98">
        <f t="shared" si="40"/>
        <v>6604705</v>
      </c>
      <c r="M154" s="108">
        <f t="shared" si="41"/>
        <v>6604705</v>
      </c>
      <c r="N154" s="8"/>
      <c r="O154" s="8"/>
      <c r="P154" s="8"/>
      <c r="Q154" s="8"/>
      <c r="R154" s="8"/>
      <c r="S154" s="8"/>
    </row>
    <row r="155" spans="1:19" ht="12.75">
      <c r="A155" s="245" t="s">
        <v>141</v>
      </c>
      <c r="B155" s="263" t="s">
        <v>44</v>
      </c>
      <c r="C155" s="111" t="s">
        <v>328</v>
      </c>
      <c r="D155" s="111">
        <v>2241142</v>
      </c>
      <c r="E155" s="112"/>
      <c r="F155" s="112">
        <v>2000000</v>
      </c>
      <c r="G155" s="6"/>
      <c r="H155" s="6"/>
      <c r="I155" s="102">
        <f t="shared" si="39"/>
        <v>4241142</v>
      </c>
      <c r="J155" s="112">
        <v>4241142</v>
      </c>
      <c r="K155" s="112">
        <f>1600000+538700</f>
        <v>2138700</v>
      </c>
      <c r="L155" s="102">
        <f t="shared" si="40"/>
        <v>2102442</v>
      </c>
      <c r="M155" s="113">
        <f t="shared" si="41"/>
        <v>2102442</v>
      </c>
      <c r="N155" s="6"/>
      <c r="O155" s="6"/>
      <c r="P155" s="6"/>
      <c r="Q155" s="6"/>
      <c r="R155" s="6"/>
      <c r="S155" s="6"/>
    </row>
    <row r="156" spans="1:19" ht="12.75">
      <c r="A156" s="246"/>
      <c r="B156" s="264"/>
      <c r="C156" s="111" t="s">
        <v>329</v>
      </c>
      <c r="D156" s="111">
        <v>2791887</v>
      </c>
      <c r="E156" s="112"/>
      <c r="F156" s="6"/>
      <c r="G156" s="6"/>
      <c r="H156" s="6"/>
      <c r="I156" s="102">
        <f t="shared" si="39"/>
        <v>2791887</v>
      </c>
      <c r="J156" s="112">
        <v>2791887</v>
      </c>
      <c r="K156" s="112"/>
      <c r="L156" s="102">
        <f t="shared" si="40"/>
        <v>2791887</v>
      </c>
      <c r="M156" s="113">
        <f t="shared" si="41"/>
        <v>2791887</v>
      </c>
      <c r="N156" s="6"/>
      <c r="O156" s="6"/>
      <c r="P156" s="6"/>
      <c r="Q156" s="6"/>
      <c r="R156" s="6"/>
      <c r="S156" s="6"/>
    </row>
    <row r="157" spans="1:19" s="116" customFormat="1" ht="12.75">
      <c r="A157" s="247"/>
      <c r="B157" s="265"/>
      <c r="C157" s="115" t="s">
        <v>330</v>
      </c>
      <c r="D157" s="107">
        <f>SUM(D155:D156)</f>
        <v>5033029</v>
      </c>
      <c r="E157" s="107">
        <f aca="true" t="shared" si="43" ref="E157:K157">SUM(E155:E156)</f>
        <v>0</v>
      </c>
      <c r="F157" s="107">
        <f t="shared" si="43"/>
        <v>2000000</v>
      </c>
      <c r="G157" s="107">
        <f t="shared" si="43"/>
        <v>0</v>
      </c>
      <c r="H157" s="107">
        <f t="shared" si="43"/>
        <v>0</v>
      </c>
      <c r="I157" s="98">
        <f t="shared" si="39"/>
        <v>7033029</v>
      </c>
      <c r="J157" s="107">
        <f t="shared" si="43"/>
        <v>7033029</v>
      </c>
      <c r="K157" s="107">
        <f t="shared" si="43"/>
        <v>2138700</v>
      </c>
      <c r="L157" s="98">
        <f t="shared" si="40"/>
        <v>4894329</v>
      </c>
      <c r="M157" s="108">
        <f t="shared" si="41"/>
        <v>4894329</v>
      </c>
      <c r="N157" s="119"/>
      <c r="O157" s="8"/>
      <c r="P157" s="8"/>
      <c r="Q157" s="8"/>
      <c r="R157" s="8"/>
      <c r="S157" s="8"/>
    </row>
    <row r="158" spans="1:19" ht="12.75">
      <c r="A158" s="245" t="s">
        <v>383</v>
      </c>
      <c r="B158" s="263" t="s">
        <v>45</v>
      </c>
      <c r="C158" s="111" t="s">
        <v>328</v>
      </c>
      <c r="D158" s="111">
        <v>0</v>
      </c>
      <c r="E158" s="112">
        <f>464065</f>
        <v>464065</v>
      </c>
      <c r="F158" s="112">
        <v>2000000</v>
      </c>
      <c r="G158" s="6"/>
      <c r="H158" s="6"/>
      <c r="I158" s="102">
        <f t="shared" si="39"/>
        <v>2464065</v>
      </c>
      <c r="J158" s="112">
        <v>2464065</v>
      </c>
      <c r="K158" s="112">
        <f>5441510-2977445</f>
        <v>2464065</v>
      </c>
      <c r="L158" s="102">
        <f t="shared" si="40"/>
        <v>0</v>
      </c>
      <c r="M158" s="113">
        <f t="shared" si="41"/>
        <v>0</v>
      </c>
      <c r="N158" s="6"/>
      <c r="O158" s="6"/>
      <c r="P158" s="6"/>
      <c r="Q158" s="6"/>
      <c r="R158" s="6"/>
      <c r="S158" s="6"/>
    </row>
    <row r="159" spans="1:19" ht="12.75">
      <c r="A159" s="246"/>
      <c r="B159" s="264"/>
      <c r="C159" s="111" t="s">
        <v>329</v>
      </c>
      <c r="D159" s="111"/>
      <c r="E159" s="112">
        <v>5000000</v>
      </c>
      <c r="F159" s="112">
        <v>77318</v>
      </c>
      <c r="G159" s="6"/>
      <c r="H159" s="6"/>
      <c r="I159" s="102">
        <f t="shared" si="39"/>
        <v>5077318</v>
      </c>
      <c r="J159" s="112">
        <v>5077318</v>
      </c>
      <c r="K159" s="112">
        <v>2977445</v>
      </c>
      <c r="L159" s="102">
        <f t="shared" si="40"/>
        <v>2099873</v>
      </c>
      <c r="M159" s="113">
        <f t="shared" si="41"/>
        <v>2099873</v>
      </c>
      <c r="N159" s="118"/>
      <c r="O159" s="6"/>
      <c r="P159" s="6"/>
      <c r="Q159" s="6"/>
      <c r="R159" s="6"/>
      <c r="S159" s="6"/>
    </row>
    <row r="160" spans="1:19" s="116" customFormat="1" ht="12.75">
      <c r="A160" s="247"/>
      <c r="B160" s="265"/>
      <c r="C160" s="115" t="s">
        <v>330</v>
      </c>
      <c r="D160" s="107">
        <f>SUM(D158:D159)</f>
        <v>0</v>
      </c>
      <c r="E160" s="107">
        <f>SUM(E158:E159)</f>
        <v>5464065</v>
      </c>
      <c r="F160" s="107">
        <f>SUM(F158:F159)</f>
        <v>2077318</v>
      </c>
      <c r="G160" s="107">
        <f>SUM(G158:G159)</f>
        <v>0</v>
      </c>
      <c r="H160" s="107">
        <f>SUM(H158:H159)</f>
        <v>0</v>
      </c>
      <c r="I160" s="98">
        <f t="shared" si="39"/>
        <v>7541383</v>
      </c>
      <c r="J160" s="107">
        <f>SUM(J158:J159)</f>
        <v>7541383</v>
      </c>
      <c r="K160" s="107">
        <f>SUM(K158:K159)</f>
        <v>5441510</v>
      </c>
      <c r="L160" s="98">
        <f t="shared" si="40"/>
        <v>2099873</v>
      </c>
      <c r="M160" s="108">
        <f t="shared" si="41"/>
        <v>2099873</v>
      </c>
      <c r="N160" s="8"/>
      <c r="O160" s="8"/>
      <c r="P160" s="8"/>
      <c r="Q160" s="8"/>
      <c r="R160" s="8"/>
      <c r="S160" s="8"/>
    </row>
    <row r="161" spans="1:19" s="116" customFormat="1" ht="12.75">
      <c r="A161" s="144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19"/>
      <c r="O161" s="8"/>
      <c r="P161" s="8"/>
      <c r="Q161" s="8"/>
      <c r="R161" s="8"/>
      <c r="S161" s="8"/>
    </row>
    <row r="162" spans="1:19" s="100" customFormat="1" ht="15">
      <c r="A162" s="95" t="s">
        <v>142</v>
      </c>
      <c r="B162" s="141" t="s">
        <v>46</v>
      </c>
      <c r="C162" s="141"/>
      <c r="D162" s="106">
        <f>+D166+D169+D173+D176+D180+D183</f>
        <v>112880857</v>
      </c>
      <c r="E162" s="106">
        <f>+E166+E169+E173+E176+E180+E183+E186</f>
        <v>77969191</v>
      </c>
      <c r="F162" s="106">
        <f>+F166+F169+F173+F176+F180+F183+F186</f>
        <v>34785000</v>
      </c>
      <c r="G162" s="106">
        <f>+G166+G169+G173+G176+G180+G183+G186</f>
        <v>0</v>
      </c>
      <c r="H162" s="106">
        <f>+H166+H169+H173+H176+H180+H183+H186</f>
        <v>41785000</v>
      </c>
      <c r="I162" s="98">
        <f t="shared" si="39"/>
        <v>183850048</v>
      </c>
      <c r="J162" s="107">
        <f>+J166+J169+J173+J176+J180+J183+J186</f>
        <v>174891386</v>
      </c>
      <c r="K162" s="107">
        <f>+K166+K169+K173+K176+K180+K183+K186</f>
        <v>162391407</v>
      </c>
      <c r="L162" s="98">
        <f t="shared" si="40"/>
        <v>21458641</v>
      </c>
      <c r="M162" s="108">
        <f t="shared" si="41"/>
        <v>12499979</v>
      </c>
      <c r="N162" s="64"/>
      <c r="O162" s="64"/>
      <c r="P162" s="64"/>
      <c r="Q162" s="64"/>
      <c r="R162" s="64"/>
      <c r="S162" s="64"/>
    </row>
    <row r="163" spans="1:19" ht="21.75">
      <c r="A163" s="237" t="s">
        <v>143</v>
      </c>
      <c r="B163" s="239" t="s">
        <v>47</v>
      </c>
      <c r="C163" s="111" t="s">
        <v>328</v>
      </c>
      <c r="D163" s="111">
        <v>8000000</v>
      </c>
      <c r="E163" s="112">
        <f>2650368</f>
        <v>2650368</v>
      </c>
      <c r="F163" s="112">
        <f>14000000+11430000</f>
        <v>25430000</v>
      </c>
      <c r="G163" s="6"/>
      <c r="H163" s="112"/>
      <c r="I163" s="102">
        <f t="shared" si="39"/>
        <v>36080368</v>
      </c>
      <c r="J163" s="146">
        <v>36080368</v>
      </c>
      <c r="K163" s="146">
        <f>8150000+24840000+11100000+5500000+13000000+3000000-29509632</f>
        <v>36080368</v>
      </c>
      <c r="L163" s="102">
        <f t="shared" si="40"/>
        <v>0</v>
      </c>
      <c r="M163" s="113">
        <f t="shared" si="41"/>
        <v>0</v>
      </c>
      <c r="N163" s="66"/>
      <c r="O163" s="10"/>
      <c r="P163" s="10"/>
      <c r="Q163" s="66" t="s">
        <v>280</v>
      </c>
      <c r="R163" s="10">
        <v>3</v>
      </c>
      <c r="S163" s="10">
        <v>3</v>
      </c>
    </row>
    <row r="164" spans="1:19" ht="12.75">
      <c r="A164" s="238"/>
      <c r="B164" s="240"/>
      <c r="C164" s="111" t="s">
        <v>329</v>
      </c>
      <c r="D164" s="111">
        <v>10000000</v>
      </c>
      <c r="E164" s="112">
        <v>25000000</v>
      </c>
      <c r="F164" s="112"/>
      <c r="G164" s="6"/>
      <c r="H164" s="112">
        <v>753000</v>
      </c>
      <c r="I164" s="102">
        <f t="shared" si="39"/>
        <v>34247000</v>
      </c>
      <c r="J164" s="146">
        <v>34247000</v>
      </c>
      <c r="K164" s="146">
        <v>34247000</v>
      </c>
      <c r="L164" s="102">
        <f t="shared" si="40"/>
        <v>0</v>
      </c>
      <c r="M164" s="113">
        <f t="shared" si="41"/>
        <v>0</v>
      </c>
      <c r="N164" s="10" t="s">
        <v>281</v>
      </c>
      <c r="O164" s="10">
        <v>4</v>
      </c>
      <c r="P164" s="10">
        <v>8</v>
      </c>
      <c r="Q164" s="10" t="s">
        <v>282</v>
      </c>
      <c r="R164" s="10">
        <v>15</v>
      </c>
      <c r="S164" s="10">
        <v>16</v>
      </c>
    </row>
    <row r="165" spans="1:19" ht="12.75">
      <c r="A165" s="238"/>
      <c r="B165" s="240"/>
      <c r="C165" s="111" t="s">
        <v>369</v>
      </c>
      <c r="D165" s="111">
        <v>2950000</v>
      </c>
      <c r="E165" s="112">
        <v>2989632</v>
      </c>
      <c r="F165" s="112"/>
      <c r="G165" s="6"/>
      <c r="H165" s="6"/>
      <c r="I165" s="102">
        <f t="shared" si="39"/>
        <v>5939632</v>
      </c>
      <c r="J165" s="146">
        <v>608832</v>
      </c>
      <c r="K165" s="146">
        <v>608832</v>
      </c>
      <c r="L165" s="102">
        <f t="shared" si="40"/>
        <v>5330800</v>
      </c>
      <c r="M165" s="113">
        <f t="shared" si="41"/>
        <v>0</v>
      </c>
      <c r="N165" s="10" t="s">
        <v>283</v>
      </c>
      <c r="O165" s="10">
        <v>2</v>
      </c>
      <c r="P165" s="10">
        <v>2</v>
      </c>
      <c r="Q165" s="10"/>
      <c r="R165" s="10"/>
      <c r="S165" s="10"/>
    </row>
    <row r="166" spans="1:19" s="116" customFormat="1" ht="12.75">
      <c r="A166" s="224"/>
      <c r="B166" s="241"/>
      <c r="C166" s="115" t="s">
        <v>330</v>
      </c>
      <c r="D166" s="107">
        <f>SUM(D163:D165)</f>
        <v>20950000</v>
      </c>
      <c r="E166" s="107">
        <f>SUM(E163:E165)</f>
        <v>30640000</v>
      </c>
      <c r="F166" s="107">
        <f>SUM(F163:F165)</f>
        <v>25430000</v>
      </c>
      <c r="G166" s="107">
        <f>SUM(G163:G165)</f>
        <v>0</v>
      </c>
      <c r="H166" s="107">
        <f>SUM(H163:H165)</f>
        <v>753000</v>
      </c>
      <c r="I166" s="98">
        <f t="shared" si="39"/>
        <v>76267000</v>
      </c>
      <c r="J166" s="107">
        <f>SUM(J163:J165)</f>
        <v>70936200</v>
      </c>
      <c r="K166" s="107">
        <f>SUM(K163:K165)</f>
        <v>70936200</v>
      </c>
      <c r="L166" s="98">
        <f t="shared" si="40"/>
        <v>5330800</v>
      </c>
      <c r="M166" s="108">
        <f t="shared" si="41"/>
        <v>0</v>
      </c>
      <c r="N166" s="10"/>
      <c r="O166" s="10"/>
      <c r="P166" s="10"/>
      <c r="Q166" s="10"/>
      <c r="R166" s="10"/>
      <c r="S166" s="10"/>
    </row>
    <row r="167" spans="1:19" ht="21.75">
      <c r="A167" s="237" t="s">
        <v>144</v>
      </c>
      <c r="B167" s="251" t="s">
        <v>48</v>
      </c>
      <c r="C167" s="111" t="s">
        <v>328</v>
      </c>
      <c r="D167" s="111">
        <v>14930857</v>
      </c>
      <c r="E167" s="6"/>
      <c r="F167" s="112">
        <v>785000</v>
      </c>
      <c r="G167" s="6"/>
      <c r="H167" s="6"/>
      <c r="I167" s="102">
        <f t="shared" si="39"/>
        <v>15715857</v>
      </c>
      <c r="J167" s="112">
        <v>15715857</v>
      </c>
      <c r="K167" s="112">
        <v>15715857</v>
      </c>
      <c r="L167" s="102">
        <f t="shared" si="40"/>
        <v>0</v>
      </c>
      <c r="M167" s="113">
        <f t="shared" si="41"/>
        <v>0</v>
      </c>
      <c r="N167" s="66" t="s">
        <v>284</v>
      </c>
      <c r="O167" s="10">
        <v>50</v>
      </c>
      <c r="P167" s="10">
        <v>60</v>
      </c>
      <c r="Q167" s="10"/>
      <c r="R167" s="10"/>
      <c r="S167" s="10"/>
    </row>
    <row r="168" spans="1:19" ht="12.75">
      <c r="A168" s="238"/>
      <c r="B168" s="252"/>
      <c r="C168" s="111" t="s">
        <v>329</v>
      </c>
      <c r="D168" s="111">
        <v>20000000</v>
      </c>
      <c r="E168" s="6"/>
      <c r="F168" s="6"/>
      <c r="G168" s="6"/>
      <c r="H168" s="6"/>
      <c r="I168" s="102">
        <f t="shared" si="39"/>
        <v>20000000</v>
      </c>
      <c r="J168" s="112">
        <v>18497143</v>
      </c>
      <c r="K168" s="112">
        <f>20000000-1502857</f>
        <v>18497143</v>
      </c>
      <c r="L168" s="102">
        <f>+I168-K168</f>
        <v>1502857</v>
      </c>
      <c r="M168" s="113">
        <f t="shared" si="41"/>
        <v>0</v>
      </c>
      <c r="N168" s="10"/>
      <c r="O168" s="10"/>
      <c r="P168" s="10"/>
      <c r="Q168" s="10"/>
      <c r="R168" s="10"/>
      <c r="S168" s="10"/>
    </row>
    <row r="169" spans="1:19" s="116" customFormat="1" ht="12.75">
      <c r="A169" s="224"/>
      <c r="B169" s="253"/>
      <c r="C169" s="115" t="s">
        <v>330</v>
      </c>
      <c r="D169" s="107">
        <f>SUM(D167:D168)</f>
        <v>34930857</v>
      </c>
      <c r="E169" s="107">
        <f aca="true" t="shared" si="44" ref="E169:K169">SUM(E167:E168)</f>
        <v>0</v>
      </c>
      <c r="F169" s="107">
        <f t="shared" si="44"/>
        <v>785000</v>
      </c>
      <c r="G169" s="107">
        <f t="shared" si="44"/>
        <v>0</v>
      </c>
      <c r="H169" s="107">
        <f t="shared" si="44"/>
        <v>0</v>
      </c>
      <c r="I169" s="98">
        <f t="shared" si="39"/>
        <v>35715857</v>
      </c>
      <c r="J169" s="107">
        <f t="shared" si="44"/>
        <v>34213000</v>
      </c>
      <c r="K169" s="107">
        <f t="shared" si="44"/>
        <v>34213000</v>
      </c>
      <c r="L169" s="98">
        <f t="shared" si="40"/>
        <v>1502857</v>
      </c>
      <c r="M169" s="108">
        <f t="shared" si="41"/>
        <v>0</v>
      </c>
      <c r="N169" s="119"/>
      <c r="O169" s="8"/>
      <c r="P169" s="8"/>
      <c r="Q169" s="8"/>
      <c r="R169" s="8"/>
      <c r="S169" s="8"/>
    </row>
    <row r="170" spans="1:19" ht="12.75">
      <c r="A170" s="237" t="s">
        <v>145</v>
      </c>
      <c r="B170" s="239" t="s">
        <v>49</v>
      </c>
      <c r="C170" s="111" t="s">
        <v>328</v>
      </c>
      <c r="D170" s="111">
        <v>4000000</v>
      </c>
      <c r="E170" s="112"/>
      <c r="F170" s="112">
        <v>1570000</v>
      </c>
      <c r="G170" s="6"/>
      <c r="H170" s="6"/>
      <c r="I170" s="102">
        <f t="shared" si="39"/>
        <v>5570000</v>
      </c>
      <c r="J170" s="112">
        <v>5570000</v>
      </c>
      <c r="K170" s="112">
        <v>5570000</v>
      </c>
      <c r="L170" s="102">
        <f t="shared" si="40"/>
        <v>0</v>
      </c>
      <c r="M170" s="113">
        <f t="shared" si="41"/>
        <v>0</v>
      </c>
      <c r="N170" s="147"/>
      <c r="O170" s="6"/>
      <c r="P170" s="6"/>
      <c r="Q170" s="6"/>
      <c r="R170" s="6"/>
      <c r="S170" s="6"/>
    </row>
    <row r="171" spans="1:19" ht="12.75">
      <c r="A171" s="238"/>
      <c r="B171" s="240"/>
      <c r="C171" s="111" t="s">
        <v>329</v>
      </c>
      <c r="D171" s="111">
        <v>1000000</v>
      </c>
      <c r="E171" s="112"/>
      <c r="F171" s="6"/>
      <c r="G171" s="6"/>
      <c r="H171" s="6"/>
      <c r="I171" s="102">
        <f t="shared" si="39"/>
        <v>1000000</v>
      </c>
      <c r="J171" s="112">
        <v>1000000</v>
      </c>
      <c r="K171" s="112">
        <v>1000000</v>
      </c>
      <c r="L171" s="102">
        <f t="shared" si="40"/>
        <v>0</v>
      </c>
      <c r="M171" s="113">
        <f t="shared" si="41"/>
        <v>0</v>
      </c>
      <c r="N171" s="6"/>
      <c r="O171" s="6"/>
      <c r="P171" s="6"/>
      <c r="Q171" s="6"/>
      <c r="R171" s="6"/>
      <c r="S171" s="6"/>
    </row>
    <row r="172" spans="1:19" ht="12.75">
      <c r="A172" s="238"/>
      <c r="B172" s="240"/>
      <c r="C172" s="111" t="s">
        <v>384</v>
      </c>
      <c r="D172" s="111"/>
      <c r="E172" s="112">
        <v>1564228</v>
      </c>
      <c r="F172" s="6"/>
      <c r="G172" s="6"/>
      <c r="H172" s="6"/>
      <c r="I172" s="102">
        <f t="shared" si="39"/>
        <v>1564228</v>
      </c>
      <c r="J172" s="112">
        <v>1564228</v>
      </c>
      <c r="K172" s="112">
        <v>1564228</v>
      </c>
      <c r="L172" s="102">
        <f t="shared" si="40"/>
        <v>0</v>
      </c>
      <c r="M172" s="113">
        <f t="shared" si="41"/>
        <v>0</v>
      </c>
      <c r="N172" s="6"/>
      <c r="O172" s="6"/>
      <c r="P172" s="6"/>
      <c r="Q172" s="6"/>
      <c r="R172" s="6"/>
      <c r="S172" s="6"/>
    </row>
    <row r="173" spans="1:19" s="116" customFormat="1" ht="12.75">
      <c r="A173" s="224"/>
      <c r="B173" s="241"/>
      <c r="C173" s="115" t="s">
        <v>330</v>
      </c>
      <c r="D173" s="107">
        <f>SUM(D170:D172)</f>
        <v>5000000</v>
      </c>
      <c r="E173" s="107">
        <f>SUM(E170:E172)</f>
        <v>1564228</v>
      </c>
      <c r="F173" s="107">
        <f>SUM(F170:F172)</f>
        <v>1570000</v>
      </c>
      <c r="G173" s="107">
        <f>SUM(G170:G172)</f>
        <v>0</v>
      </c>
      <c r="H173" s="107">
        <f>SUM(H170:H172)</f>
        <v>0</v>
      </c>
      <c r="I173" s="98">
        <f t="shared" si="39"/>
        <v>8134228</v>
      </c>
      <c r="J173" s="107">
        <f>SUM(J170:J172)</f>
        <v>8134228</v>
      </c>
      <c r="K173" s="107">
        <f>SUM(K170:K172)</f>
        <v>8134228</v>
      </c>
      <c r="L173" s="98">
        <f>+I173-K173</f>
        <v>0</v>
      </c>
      <c r="M173" s="113">
        <f t="shared" si="41"/>
        <v>0</v>
      </c>
      <c r="N173" s="8"/>
      <c r="O173" s="8"/>
      <c r="P173" s="8"/>
      <c r="Q173" s="8"/>
      <c r="R173" s="8"/>
      <c r="S173" s="8"/>
    </row>
    <row r="174" spans="1:19" ht="12.75">
      <c r="A174" s="237" t="s">
        <v>146</v>
      </c>
      <c r="B174" s="242" t="s">
        <v>50</v>
      </c>
      <c r="C174" s="111" t="s">
        <v>328</v>
      </c>
      <c r="D174" s="111">
        <v>1000000</v>
      </c>
      <c r="E174" s="122"/>
      <c r="F174" s="6"/>
      <c r="G174" s="6"/>
      <c r="H174" s="112"/>
      <c r="I174" s="102">
        <f t="shared" si="39"/>
        <v>1000000</v>
      </c>
      <c r="J174" s="112">
        <v>1000000</v>
      </c>
      <c r="K174" s="112">
        <v>1000000</v>
      </c>
      <c r="L174" s="102">
        <f t="shared" si="40"/>
        <v>0</v>
      </c>
      <c r="M174" s="113">
        <f t="shared" si="41"/>
        <v>0</v>
      </c>
      <c r="N174" s="6"/>
      <c r="O174" s="6"/>
      <c r="P174" s="6"/>
      <c r="Q174" s="6"/>
      <c r="R174" s="6"/>
      <c r="S174" s="6"/>
    </row>
    <row r="175" spans="1:19" ht="12.75">
      <c r="A175" s="238"/>
      <c r="B175" s="243"/>
      <c r="C175" s="111" t="s">
        <v>329</v>
      </c>
      <c r="D175" s="111">
        <v>4000000</v>
      </c>
      <c r="E175" s="112">
        <v>5000000</v>
      </c>
      <c r="F175" s="6"/>
      <c r="G175" s="6"/>
      <c r="H175" s="6">
        <v>32000</v>
      </c>
      <c r="I175" s="102">
        <f t="shared" si="39"/>
        <v>8968000</v>
      </c>
      <c r="J175" s="112">
        <f>5468000+3500000</f>
        <v>8968000</v>
      </c>
      <c r="K175" s="112">
        <f>5468000+3500000</f>
        <v>8968000</v>
      </c>
      <c r="L175" s="102">
        <f t="shared" si="40"/>
        <v>0</v>
      </c>
      <c r="M175" s="113">
        <f t="shared" si="41"/>
        <v>0</v>
      </c>
      <c r="N175" s="6"/>
      <c r="O175" s="6"/>
      <c r="P175" s="6"/>
      <c r="Q175" s="6"/>
      <c r="R175" s="6"/>
      <c r="S175" s="6"/>
    </row>
    <row r="176" spans="1:19" s="116" customFormat="1" ht="12.75">
      <c r="A176" s="224"/>
      <c r="B176" s="244"/>
      <c r="C176" s="115" t="s">
        <v>330</v>
      </c>
      <c r="D176" s="107">
        <f>SUM(D174:D175)</f>
        <v>5000000</v>
      </c>
      <c r="E176" s="107">
        <f aca="true" t="shared" si="45" ref="E176:K176">SUM(E174:E175)</f>
        <v>5000000</v>
      </c>
      <c r="F176" s="107">
        <f t="shared" si="45"/>
        <v>0</v>
      </c>
      <c r="G176" s="107">
        <f t="shared" si="45"/>
        <v>0</v>
      </c>
      <c r="H176" s="107">
        <f t="shared" si="45"/>
        <v>32000</v>
      </c>
      <c r="I176" s="98">
        <f t="shared" si="39"/>
        <v>9968000</v>
      </c>
      <c r="J176" s="107">
        <f t="shared" si="45"/>
        <v>9968000</v>
      </c>
      <c r="K176" s="107">
        <f t="shared" si="45"/>
        <v>9968000</v>
      </c>
      <c r="L176" s="98">
        <f t="shared" si="40"/>
        <v>0</v>
      </c>
      <c r="M176" s="113">
        <f t="shared" si="41"/>
        <v>0</v>
      </c>
      <c r="N176" s="8"/>
      <c r="O176" s="8"/>
      <c r="P176" s="8"/>
      <c r="Q176" s="8"/>
      <c r="R176" s="8"/>
      <c r="S176" s="8"/>
    </row>
    <row r="177" spans="1:19" ht="12.75">
      <c r="A177" s="237" t="s">
        <v>147</v>
      </c>
      <c r="B177" s="242" t="s">
        <v>51</v>
      </c>
      <c r="C177" s="111" t="s">
        <v>328</v>
      </c>
      <c r="D177" s="148">
        <v>10000000</v>
      </c>
      <c r="E177" s="122"/>
      <c r="F177" s="112">
        <v>3000000</v>
      </c>
      <c r="G177" s="6"/>
      <c r="H177" s="6"/>
      <c r="I177" s="102">
        <f t="shared" si="39"/>
        <v>13000000</v>
      </c>
      <c r="J177" s="112">
        <f>10000000+3000000</f>
        <v>13000000</v>
      </c>
      <c r="K177" s="112">
        <f>10000000+3000000</f>
        <v>13000000</v>
      </c>
      <c r="L177" s="102">
        <f t="shared" si="40"/>
        <v>0</v>
      </c>
      <c r="M177" s="113">
        <f t="shared" si="41"/>
        <v>0</v>
      </c>
      <c r="N177" s="6"/>
      <c r="O177" s="6"/>
      <c r="P177" s="6"/>
      <c r="Q177" s="6"/>
      <c r="R177" s="6"/>
      <c r="S177" s="6"/>
    </row>
    <row r="178" spans="1:19" ht="12.75">
      <c r="A178" s="238"/>
      <c r="B178" s="243"/>
      <c r="C178" s="111" t="s">
        <v>329</v>
      </c>
      <c r="D178" s="148"/>
      <c r="E178" s="112"/>
      <c r="F178" s="112">
        <v>4000000</v>
      </c>
      <c r="G178" s="6"/>
      <c r="H178" s="6"/>
      <c r="I178" s="102">
        <f t="shared" si="39"/>
        <v>4000000</v>
      </c>
      <c r="J178" s="112">
        <f>1130000+2870000</f>
        <v>4000000</v>
      </c>
      <c r="K178" s="112">
        <f>1130000+2870000</f>
        <v>4000000</v>
      </c>
      <c r="L178" s="102">
        <f t="shared" si="40"/>
        <v>0</v>
      </c>
      <c r="M178" s="113">
        <f t="shared" si="41"/>
        <v>0</v>
      </c>
      <c r="N178" s="6"/>
      <c r="O178" s="6"/>
      <c r="P178" s="6"/>
      <c r="Q178" s="6"/>
      <c r="R178" s="6"/>
      <c r="S178" s="6"/>
    </row>
    <row r="179" spans="1:19" ht="12.75">
      <c r="A179" s="238"/>
      <c r="B179" s="243"/>
      <c r="C179" s="111" t="s">
        <v>384</v>
      </c>
      <c r="D179" s="148"/>
      <c r="E179" s="112">
        <f>4764963+7000000</f>
        <v>11764963</v>
      </c>
      <c r="F179" s="6"/>
      <c r="G179" s="6"/>
      <c r="H179" s="6"/>
      <c r="I179" s="102">
        <f t="shared" si="39"/>
        <v>11764963</v>
      </c>
      <c r="J179" s="112">
        <f>6130000+3510000</f>
        <v>9640000</v>
      </c>
      <c r="K179" s="112">
        <f>6130000+3510000</f>
        <v>9640000</v>
      </c>
      <c r="L179" s="102">
        <f>+I179-K179</f>
        <v>2124963</v>
      </c>
      <c r="M179" s="113">
        <f t="shared" si="41"/>
        <v>0</v>
      </c>
      <c r="N179" s="112"/>
      <c r="O179" s="6"/>
      <c r="P179" s="6"/>
      <c r="Q179" s="6"/>
      <c r="R179" s="6"/>
      <c r="S179" s="6"/>
    </row>
    <row r="180" spans="1:19" s="116" customFormat="1" ht="12.75">
      <c r="A180" s="224"/>
      <c r="B180" s="244"/>
      <c r="C180" s="115" t="s">
        <v>330</v>
      </c>
      <c r="D180" s="149">
        <f>SUM(D177:D179)</f>
        <v>10000000</v>
      </c>
      <c r="E180" s="149">
        <f aca="true" t="shared" si="46" ref="E180:K180">SUM(E177:E179)</f>
        <v>11764963</v>
      </c>
      <c r="F180" s="149">
        <f t="shared" si="46"/>
        <v>7000000</v>
      </c>
      <c r="G180" s="149">
        <f t="shared" si="46"/>
        <v>0</v>
      </c>
      <c r="H180" s="149">
        <f t="shared" si="46"/>
        <v>0</v>
      </c>
      <c r="I180" s="98">
        <f t="shared" si="39"/>
        <v>28764963</v>
      </c>
      <c r="J180" s="149">
        <f t="shared" si="46"/>
        <v>26640000</v>
      </c>
      <c r="K180" s="149">
        <f t="shared" si="46"/>
        <v>26640000</v>
      </c>
      <c r="L180" s="98">
        <f t="shared" si="40"/>
        <v>2124963</v>
      </c>
      <c r="M180" s="108">
        <f t="shared" si="41"/>
        <v>0</v>
      </c>
      <c r="N180" s="8"/>
      <c r="O180" s="8"/>
      <c r="P180" s="8"/>
      <c r="Q180" s="8"/>
      <c r="R180" s="8"/>
      <c r="S180" s="8"/>
    </row>
    <row r="181" spans="1:19" ht="12.75">
      <c r="A181" s="237" t="s">
        <v>148</v>
      </c>
      <c r="B181" s="242" t="s">
        <v>385</v>
      </c>
      <c r="C181" s="111" t="s">
        <v>328</v>
      </c>
      <c r="D181" s="148">
        <v>37000000</v>
      </c>
      <c r="E181" s="122"/>
      <c r="F181" s="6"/>
      <c r="G181" s="6"/>
      <c r="H181" s="112">
        <f>21000000+16000000</f>
        <v>37000000</v>
      </c>
      <c r="I181" s="102">
        <f t="shared" si="39"/>
        <v>0</v>
      </c>
      <c r="J181" s="6"/>
      <c r="K181" s="6"/>
      <c r="L181" s="102">
        <f t="shared" si="40"/>
        <v>0</v>
      </c>
      <c r="M181" s="113">
        <f t="shared" si="41"/>
        <v>0</v>
      </c>
      <c r="N181" s="6"/>
      <c r="O181" s="6"/>
      <c r="P181" s="6"/>
      <c r="Q181" s="6"/>
      <c r="R181" s="6"/>
      <c r="S181" s="6"/>
    </row>
    <row r="182" spans="1:19" ht="12.75">
      <c r="A182" s="238"/>
      <c r="B182" s="243"/>
      <c r="C182" s="111" t="s">
        <v>329</v>
      </c>
      <c r="D182" s="148"/>
      <c r="E182" s="112">
        <v>4000000</v>
      </c>
      <c r="F182" s="6"/>
      <c r="G182" s="6"/>
      <c r="H182" s="112">
        <v>4000000</v>
      </c>
      <c r="I182" s="102">
        <f t="shared" si="39"/>
        <v>0</v>
      </c>
      <c r="J182" s="6"/>
      <c r="K182" s="6"/>
      <c r="L182" s="102">
        <f t="shared" si="40"/>
        <v>0</v>
      </c>
      <c r="M182" s="113">
        <f t="shared" si="41"/>
        <v>0</v>
      </c>
      <c r="N182" s="6"/>
      <c r="O182" s="6"/>
      <c r="P182" s="6"/>
      <c r="Q182" s="6"/>
      <c r="R182" s="6"/>
      <c r="S182" s="6"/>
    </row>
    <row r="183" spans="1:19" s="116" customFormat="1" ht="12.75">
      <c r="A183" s="224"/>
      <c r="B183" s="244"/>
      <c r="C183" s="115" t="s">
        <v>330</v>
      </c>
      <c r="D183" s="149">
        <f>SUM(D181:D182)</f>
        <v>37000000</v>
      </c>
      <c r="E183" s="149">
        <f aca="true" t="shared" si="47" ref="E183:K183">SUM(E181:E182)</f>
        <v>4000000</v>
      </c>
      <c r="F183" s="149">
        <f t="shared" si="47"/>
        <v>0</v>
      </c>
      <c r="G183" s="149">
        <f t="shared" si="47"/>
        <v>0</v>
      </c>
      <c r="H183" s="149">
        <f t="shared" si="47"/>
        <v>41000000</v>
      </c>
      <c r="I183" s="98">
        <f t="shared" si="39"/>
        <v>0</v>
      </c>
      <c r="J183" s="149">
        <f t="shared" si="47"/>
        <v>0</v>
      </c>
      <c r="K183" s="149">
        <f t="shared" si="47"/>
        <v>0</v>
      </c>
      <c r="L183" s="98">
        <f t="shared" si="40"/>
        <v>0</v>
      </c>
      <c r="M183" s="113">
        <f t="shared" si="41"/>
        <v>0</v>
      </c>
      <c r="N183" s="8"/>
      <c r="O183" s="8"/>
      <c r="P183" s="8"/>
      <c r="Q183" s="8"/>
      <c r="R183" s="8"/>
      <c r="S183" s="8"/>
    </row>
    <row r="184" spans="1:19" s="116" customFormat="1" ht="12.75">
      <c r="A184" s="245" t="s">
        <v>386</v>
      </c>
      <c r="B184" s="266" t="s">
        <v>387</v>
      </c>
      <c r="C184" s="107" t="s">
        <v>328</v>
      </c>
      <c r="D184" s="107"/>
      <c r="E184" s="107"/>
      <c r="F184" s="107"/>
      <c r="G184" s="107"/>
      <c r="H184" s="107"/>
      <c r="I184" s="98">
        <f>+D184+E184+F184-G184-H184</f>
        <v>0</v>
      </c>
      <c r="J184" s="107"/>
      <c r="K184" s="107"/>
      <c r="L184" s="98">
        <f t="shared" si="40"/>
        <v>0</v>
      </c>
      <c r="M184" s="113">
        <f t="shared" si="41"/>
        <v>0</v>
      </c>
      <c r="N184" s="8"/>
      <c r="O184" s="8"/>
      <c r="P184" s="8"/>
      <c r="Q184" s="8"/>
      <c r="R184" s="8"/>
      <c r="S184" s="8"/>
    </row>
    <row r="185" spans="1:19" ht="12.75">
      <c r="A185" s="246"/>
      <c r="B185" s="267"/>
      <c r="C185" s="111" t="s">
        <v>329</v>
      </c>
      <c r="D185" s="111"/>
      <c r="E185" s="111">
        <v>25000000</v>
      </c>
      <c r="F185" s="111"/>
      <c r="G185" s="111"/>
      <c r="H185" s="111"/>
      <c r="I185" s="102">
        <f>+D185+E185+F185-G185-H185</f>
        <v>25000000</v>
      </c>
      <c r="J185" s="111">
        <v>24999958</v>
      </c>
      <c r="K185" s="111">
        <v>12499979</v>
      </c>
      <c r="L185" s="102">
        <f t="shared" si="40"/>
        <v>12500021</v>
      </c>
      <c r="M185" s="113">
        <f t="shared" si="41"/>
        <v>12499979</v>
      </c>
      <c r="N185" s="6"/>
      <c r="O185" s="6"/>
      <c r="P185" s="6"/>
      <c r="Q185" s="6"/>
      <c r="R185" s="6"/>
      <c r="S185" s="6"/>
    </row>
    <row r="186" spans="1:19" s="116" customFormat="1" ht="12.75">
      <c r="A186" s="247"/>
      <c r="B186" s="268"/>
      <c r="C186" s="115" t="s">
        <v>330</v>
      </c>
      <c r="D186" s="107">
        <f>+D184+D185</f>
        <v>0</v>
      </c>
      <c r="E186" s="107">
        <f>+E184+E185</f>
        <v>25000000</v>
      </c>
      <c r="F186" s="107">
        <f>+F184+F185</f>
        <v>0</v>
      </c>
      <c r="G186" s="107">
        <f>+G184+G185</f>
        <v>0</v>
      </c>
      <c r="H186" s="107">
        <f>+H184+H185</f>
        <v>0</v>
      </c>
      <c r="I186" s="98">
        <f>+D186+E186+F186-G186-H186</f>
        <v>25000000</v>
      </c>
      <c r="J186" s="107">
        <f>+J184+J185</f>
        <v>24999958</v>
      </c>
      <c r="K186" s="107">
        <f>+K184+K185</f>
        <v>12499979</v>
      </c>
      <c r="L186" s="98">
        <f t="shared" si="40"/>
        <v>12500021</v>
      </c>
      <c r="M186" s="108">
        <f>+J186-K186</f>
        <v>12499979</v>
      </c>
      <c r="N186" s="8"/>
      <c r="O186" s="8"/>
      <c r="P186" s="8"/>
      <c r="Q186" s="8"/>
      <c r="R186" s="8"/>
      <c r="S186" s="8"/>
    </row>
    <row r="187" spans="1:19" s="100" customFormat="1" ht="57">
      <c r="A187" s="95" t="s">
        <v>149</v>
      </c>
      <c r="B187" s="150" t="s">
        <v>54</v>
      </c>
      <c r="C187" s="132"/>
      <c r="D187" s="106">
        <f>+D190+D193</f>
        <v>40000000</v>
      </c>
      <c r="E187" s="106">
        <f aca="true" t="shared" si="48" ref="E187:K187">+E190+E193</f>
        <v>40000000</v>
      </c>
      <c r="F187" s="106">
        <f t="shared" si="48"/>
        <v>7020198</v>
      </c>
      <c r="G187" s="106">
        <f t="shared" si="48"/>
        <v>0</v>
      </c>
      <c r="H187" s="106">
        <f t="shared" si="48"/>
        <v>51243884</v>
      </c>
      <c r="I187" s="98">
        <f t="shared" si="39"/>
        <v>35776314</v>
      </c>
      <c r="J187" s="107">
        <f t="shared" si="48"/>
        <v>35776314</v>
      </c>
      <c r="K187" s="107">
        <f t="shared" si="48"/>
        <v>35776314</v>
      </c>
      <c r="L187" s="98">
        <f t="shared" si="40"/>
        <v>0</v>
      </c>
      <c r="M187" s="113">
        <f t="shared" si="41"/>
        <v>0</v>
      </c>
      <c r="N187" s="64"/>
      <c r="O187" s="64"/>
      <c r="P187" s="64"/>
      <c r="Q187" s="64"/>
      <c r="R187" s="64"/>
      <c r="S187" s="64"/>
    </row>
    <row r="188" spans="1:19" ht="12.75">
      <c r="A188" s="237" t="s">
        <v>150</v>
      </c>
      <c r="B188" s="237" t="s">
        <v>55</v>
      </c>
      <c r="C188" s="111" t="s">
        <v>328</v>
      </c>
      <c r="D188" s="111">
        <v>10000000</v>
      </c>
      <c r="E188" s="6"/>
      <c r="F188" s="6"/>
      <c r="G188" s="6"/>
      <c r="H188" s="112">
        <f>5000000+5000000</f>
        <v>10000000</v>
      </c>
      <c r="I188" s="102">
        <f t="shared" si="39"/>
        <v>0</v>
      </c>
      <c r="J188" s="112"/>
      <c r="K188" s="112"/>
      <c r="L188" s="102">
        <f t="shared" si="40"/>
        <v>0</v>
      </c>
      <c r="M188" s="113">
        <f t="shared" si="41"/>
        <v>0</v>
      </c>
      <c r="N188" s="6"/>
      <c r="O188" s="6"/>
      <c r="P188" s="6"/>
      <c r="Q188" s="6"/>
      <c r="R188" s="6"/>
      <c r="S188" s="6"/>
    </row>
    <row r="189" spans="1:19" ht="12.75">
      <c r="A189" s="238"/>
      <c r="B189" s="238"/>
      <c r="C189" s="111" t="s">
        <v>329</v>
      </c>
      <c r="D189" s="111"/>
      <c r="E189" s="6"/>
      <c r="F189" s="6"/>
      <c r="G189" s="6"/>
      <c r="H189" s="112"/>
      <c r="I189" s="102">
        <f t="shared" si="39"/>
        <v>0</v>
      </c>
      <c r="J189" s="112"/>
      <c r="K189" s="112"/>
      <c r="L189" s="102">
        <f t="shared" si="40"/>
        <v>0</v>
      </c>
      <c r="M189" s="113">
        <f t="shared" si="41"/>
        <v>0</v>
      </c>
      <c r="N189" s="6"/>
      <c r="O189" s="6"/>
      <c r="P189" s="6"/>
      <c r="Q189" s="6"/>
      <c r="R189" s="6"/>
      <c r="S189" s="6"/>
    </row>
    <row r="190" spans="1:19" s="116" customFormat="1" ht="12.75">
      <c r="A190" s="224"/>
      <c r="B190" s="224"/>
      <c r="C190" s="115" t="s">
        <v>330</v>
      </c>
      <c r="D190" s="107">
        <f>SUM(D188:D189)</f>
        <v>10000000</v>
      </c>
      <c r="E190" s="107">
        <f aca="true" t="shared" si="49" ref="E190:K190">SUM(E188:E189)</f>
        <v>0</v>
      </c>
      <c r="F190" s="107">
        <f t="shared" si="49"/>
        <v>0</v>
      </c>
      <c r="G190" s="107">
        <f t="shared" si="49"/>
        <v>0</v>
      </c>
      <c r="H190" s="107">
        <f t="shared" si="49"/>
        <v>10000000</v>
      </c>
      <c r="I190" s="98">
        <f t="shared" si="39"/>
        <v>0</v>
      </c>
      <c r="J190" s="107">
        <f t="shared" si="49"/>
        <v>0</v>
      </c>
      <c r="K190" s="107">
        <f t="shared" si="49"/>
        <v>0</v>
      </c>
      <c r="L190" s="98">
        <f t="shared" si="40"/>
        <v>0</v>
      </c>
      <c r="M190" s="113">
        <f t="shared" si="41"/>
        <v>0</v>
      </c>
      <c r="N190" s="8"/>
      <c r="O190" s="8"/>
      <c r="P190" s="8"/>
      <c r="Q190" s="8"/>
      <c r="R190" s="8"/>
      <c r="S190" s="8"/>
    </row>
    <row r="191" spans="1:19" ht="12.75">
      <c r="A191" s="237" t="s">
        <v>151</v>
      </c>
      <c r="B191" s="237" t="s">
        <v>56</v>
      </c>
      <c r="C191" s="111" t="s">
        <v>328</v>
      </c>
      <c r="D191" s="111">
        <v>30000000</v>
      </c>
      <c r="E191" s="6"/>
      <c r="F191" s="112">
        <f>5000000+2020198</f>
        <v>7020198</v>
      </c>
      <c r="G191" s="6"/>
      <c r="H191" s="112">
        <v>1243884</v>
      </c>
      <c r="I191" s="102">
        <f t="shared" si="39"/>
        <v>35776314</v>
      </c>
      <c r="J191" s="112">
        <v>35776314</v>
      </c>
      <c r="K191" s="112">
        <v>35776314</v>
      </c>
      <c r="L191" s="102">
        <f t="shared" si="40"/>
        <v>0</v>
      </c>
      <c r="M191" s="113">
        <f t="shared" si="41"/>
        <v>0</v>
      </c>
      <c r="N191" s="118"/>
      <c r="O191" s="6"/>
      <c r="P191" s="6"/>
      <c r="Q191" s="6"/>
      <c r="R191" s="6"/>
      <c r="S191" s="6"/>
    </row>
    <row r="192" spans="1:19" ht="12.75">
      <c r="A192" s="238"/>
      <c r="B192" s="238"/>
      <c r="C192" s="111" t="s">
        <v>329</v>
      </c>
      <c r="D192" s="111"/>
      <c r="E192" s="112">
        <v>40000000</v>
      </c>
      <c r="F192" s="6"/>
      <c r="G192" s="6"/>
      <c r="H192" s="112">
        <v>40000000</v>
      </c>
      <c r="I192" s="102">
        <f t="shared" si="39"/>
        <v>0</v>
      </c>
      <c r="J192" s="112"/>
      <c r="K192" s="112"/>
      <c r="L192" s="102">
        <f t="shared" si="40"/>
        <v>0</v>
      </c>
      <c r="M192" s="113">
        <f t="shared" si="41"/>
        <v>0</v>
      </c>
      <c r="N192" s="6"/>
      <c r="O192" s="6"/>
      <c r="P192" s="6"/>
      <c r="Q192" s="6"/>
      <c r="R192" s="6"/>
      <c r="S192" s="6"/>
    </row>
    <row r="193" spans="1:19" s="116" customFormat="1" ht="12.75">
      <c r="A193" s="224"/>
      <c r="B193" s="224"/>
      <c r="C193" s="115" t="s">
        <v>330</v>
      </c>
      <c r="D193" s="107">
        <f>SUM(D191:D192)</f>
        <v>30000000</v>
      </c>
      <c r="E193" s="107">
        <f aca="true" t="shared" si="50" ref="E193:K193">SUM(E191:E192)</f>
        <v>40000000</v>
      </c>
      <c r="F193" s="107">
        <f t="shared" si="50"/>
        <v>7020198</v>
      </c>
      <c r="G193" s="107">
        <f t="shared" si="50"/>
        <v>0</v>
      </c>
      <c r="H193" s="107">
        <f t="shared" si="50"/>
        <v>41243884</v>
      </c>
      <c r="I193" s="102">
        <f t="shared" si="39"/>
        <v>35776314</v>
      </c>
      <c r="J193" s="107">
        <f t="shared" si="50"/>
        <v>35776314</v>
      </c>
      <c r="K193" s="107">
        <f t="shared" si="50"/>
        <v>35776314</v>
      </c>
      <c r="L193" s="98">
        <f t="shared" si="40"/>
        <v>0</v>
      </c>
      <c r="M193" s="113">
        <f t="shared" si="41"/>
        <v>0</v>
      </c>
      <c r="N193" s="8"/>
      <c r="O193" s="8"/>
      <c r="P193" s="8"/>
      <c r="Q193" s="8"/>
      <c r="R193" s="8"/>
      <c r="S193" s="8"/>
    </row>
    <row r="194" spans="1:19" ht="12.75">
      <c r="A194" s="101"/>
      <c r="B194" s="111"/>
      <c r="C194" s="111"/>
      <c r="D194" s="111"/>
      <c r="E194" s="111"/>
      <c r="F194" s="111"/>
      <c r="G194" s="111"/>
      <c r="H194" s="111"/>
      <c r="I194" s="102">
        <f t="shared" si="39"/>
        <v>0</v>
      </c>
      <c r="J194" s="111"/>
      <c r="K194" s="111"/>
      <c r="L194" s="102">
        <f t="shared" si="40"/>
        <v>0</v>
      </c>
      <c r="M194" s="113">
        <f t="shared" si="41"/>
        <v>0</v>
      </c>
      <c r="N194" s="6"/>
      <c r="O194" s="6"/>
      <c r="P194" s="6"/>
      <c r="Q194" s="6"/>
      <c r="R194" s="6"/>
      <c r="S194" s="6"/>
    </row>
    <row r="195" spans="1:19" s="100" customFormat="1" ht="15">
      <c r="A195" s="95" t="s">
        <v>388</v>
      </c>
      <c r="B195" s="96" t="s">
        <v>58</v>
      </c>
      <c r="C195" s="96"/>
      <c r="D195" s="106">
        <f>+D198+D201</f>
        <v>90000000</v>
      </c>
      <c r="E195" s="106">
        <f>+E198+E201+E204</f>
        <v>167296054.04</v>
      </c>
      <c r="F195" s="106">
        <f>+F198+F201+F204</f>
        <v>19287099</v>
      </c>
      <c r="G195" s="106">
        <f>+G198+G201+G204</f>
        <v>0</v>
      </c>
      <c r="H195" s="106">
        <f>+H198+H201+H204</f>
        <v>104000000</v>
      </c>
      <c r="I195" s="98">
        <f t="shared" si="39"/>
        <v>172583153.03999996</v>
      </c>
      <c r="J195" s="107">
        <f>+J198+J201+J204</f>
        <v>172583153</v>
      </c>
      <c r="K195" s="107">
        <f>+K198+K201+K204</f>
        <v>0</v>
      </c>
      <c r="L195" s="98">
        <f t="shared" si="40"/>
        <v>172583153.03999996</v>
      </c>
      <c r="M195" s="108">
        <f t="shared" si="41"/>
        <v>172583153</v>
      </c>
      <c r="N195" s="64"/>
      <c r="O195" s="64"/>
      <c r="P195" s="64"/>
      <c r="Q195" s="64"/>
      <c r="R195" s="64"/>
      <c r="S195" s="64"/>
    </row>
    <row r="196" spans="1:19" ht="12.75">
      <c r="A196" s="242" t="s">
        <v>389</v>
      </c>
      <c r="B196" s="251" t="s">
        <v>59</v>
      </c>
      <c r="C196" s="111" t="s">
        <v>328</v>
      </c>
      <c r="D196" s="111">
        <v>50000000</v>
      </c>
      <c r="E196" s="122"/>
      <c r="F196" s="6"/>
      <c r="G196" s="6"/>
      <c r="H196" s="112">
        <v>50000000</v>
      </c>
      <c r="I196" s="102">
        <f t="shared" si="39"/>
        <v>0</v>
      </c>
      <c r="J196" s="6"/>
      <c r="K196" s="6"/>
      <c r="L196" s="102">
        <f t="shared" si="40"/>
        <v>0</v>
      </c>
      <c r="M196" s="113">
        <f t="shared" si="41"/>
        <v>0</v>
      </c>
      <c r="N196" s="6"/>
      <c r="O196" s="6"/>
      <c r="P196" s="6"/>
      <c r="Q196" s="6"/>
      <c r="R196" s="6"/>
      <c r="S196" s="6"/>
    </row>
    <row r="197" spans="1:19" ht="12.75">
      <c r="A197" s="243"/>
      <c r="B197" s="252"/>
      <c r="C197" s="111" t="s">
        <v>329</v>
      </c>
      <c r="D197" s="111"/>
      <c r="E197" s="112">
        <v>14000000</v>
      </c>
      <c r="F197" s="112">
        <v>19287099</v>
      </c>
      <c r="G197" s="6"/>
      <c r="H197" s="112">
        <v>14000000</v>
      </c>
      <c r="I197" s="102">
        <f t="shared" si="39"/>
        <v>19287099</v>
      </c>
      <c r="J197" s="102">
        <v>19287099</v>
      </c>
      <c r="K197" s="102"/>
      <c r="L197" s="102">
        <f t="shared" si="40"/>
        <v>19287099</v>
      </c>
      <c r="M197" s="113">
        <f t="shared" si="41"/>
        <v>19287099</v>
      </c>
      <c r="N197" s="6"/>
      <c r="O197" s="6"/>
      <c r="P197" s="6"/>
      <c r="Q197" s="6"/>
      <c r="R197" s="6"/>
      <c r="S197" s="6"/>
    </row>
    <row r="198" spans="1:19" s="116" customFormat="1" ht="12.75">
      <c r="A198" s="244"/>
      <c r="B198" s="253"/>
      <c r="C198" s="115" t="s">
        <v>330</v>
      </c>
      <c r="D198" s="107">
        <f>SUM(D196:D197)</f>
        <v>50000000</v>
      </c>
      <c r="E198" s="107">
        <f>SUM(E196:E197)</f>
        <v>14000000</v>
      </c>
      <c r="F198" s="107">
        <f>SUM(F196:F197)</f>
        <v>19287099</v>
      </c>
      <c r="G198" s="107">
        <f>SUM(G196:G197)</f>
        <v>0</v>
      </c>
      <c r="H198" s="107">
        <f>SUM(H196:H197)</f>
        <v>64000000</v>
      </c>
      <c r="I198" s="98">
        <f t="shared" si="39"/>
        <v>19287099</v>
      </c>
      <c r="J198" s="107">
        <f>SUM(J196:J197)</f>
        <v>19287099</v>
      </c>
      <c r="K198" s="107">
        <f>SUM(K196:K197)</f>
        <v>0</v>
      </c>
      <c r="L198" s="98">
        <f t="shared" si="40"/>
        <v>19287099</v>
      </c>
      <c r="M198" s="113">
        <f t="shared" si="41"/>
        <v>19287099</v>
      </c>
      <c r="N198" s="10" t="s">
        <v>285</v>
      </c>
      <c r="O198" s="10"/>
      <c r="P198" s="10"/>
      <c r="Q198" s="10" t="s">
        <v>286</v>
      </c>
      <c r="R198" s="10">
        <v>950</v>
      </c>
      <c r="S198" s="10">
        <v>982</v>
      </c>
    </row>
    <row r="199" spans="1:19" ht="21.75">
      <c r="A199" s="242" t="s">
        <v>390</v>
      </c>
      <c r="B199" s="239" t="s">
        <v>60</v>
      </c>
      <c r="C199" s="111" t="s">
        <v>328</v>
      </c>
      <c r="D199" s="111">
        <v>40000000</v>
      </c>
      <c r="E199" s="6"/>
      <c r="F199" s="6"/>
      <c r="G199" s="6"/>
      <c r="H199" s="112">
        <f>10000000+30000000</f>
        <v>40000000</v>
      </c>
      <c r="I199" s="102">
        <f t="shared" si="39"/>
        <v>0</v>
      </c>
      <c r="J199" s="6"/>
      <c r="K199" s="6"/>
      <c r="L199" s="102">
        <f t="shared" si="40"/>
        <v>0</v>
      </c>
      <c r="M199" s="113">
        <f t="shared" si="41"/>
        <v>0</v>
      </c>
      <c r="N199" s="66" t="s">
        <v>287</v>
      </c>
      <c r="O199" s="10"/>
      <c r="P199" s="10"/>
      <c r="Q199" s="10" t="s">
        <v>288</v>
      </c>
      <c r="R199" s="67">
        <f>950/1300*100</f>
        <v>73.07692307692307</v>
      </c>
      <c r="S199" s="67">
        <f>0.756153846153846*100</f>
        <v>75.6153846153846</v>
      </c>
    </row>
    <row r="200" spans="1:19" ht="12.75">
      <c r="A200" s="243"/>
      <c r="B200" s="240"/>
      <c r="C200" s="111" t="s">
        <v>329</v>
      </c>
      <c r="D200" s="111"/>
      <c r="E200" s="6"/>
      <c r="F200" s="6"/>
      <c r="G200" s="6"/>
      <c r="H200" s="112"/>
      <c r="I200" s="102">
        <f t="shared" si="39"/>
        <v>0</v>
      </c>
      <c r="J200" s="6"/>
      <c r="K200" s="6"/>
      <c r="L200" s="102">
        <f t="shared" si="40"/>
        <v>0</v>
      </c>
      <c r="M200" s="113">
        <f t="shared" si="41"/>
        <v>0</v>
      </c>
      <c r="N200" s="6"/>
      <c r="O200" s="6"/>
      <c r="P200" s="6"/>
      <c r="Q200" s="6"/>
      <c r="R200" s="6"/>
      <c r="S200" s="6"/>
    </row>
    <row r="201" spans="1:19" s="116" customFormat="1" ht="12.75">
      <c r="A201" s="244"/>
      <c r="B201" s="241"/>
      <c r="C201" s="115" t="s">
        <v>330</v>
      </c>
      <c r="D201" s="107">
        <f>SUM(D199:D200)</f>
        <v>40000000</v>
      </c>
      <c r="E201" s="107">
        <f aca="true" t="shared" si="51" ref="E201:K201">SUM(E199:E200)</f>
        <v>0</v>
      </c>
      <c r="F201" s="107">
        <f t="shared" si="51"/>
        <v>0</v>
      </c>
      <c r="G201" s="107">
        <f t="shared" si="51"/>
        <v>0</v>
      </c>
      <c r="H201" s="107">
        <f t="shared" si="51"/>
        <v>40000000</v>
      </c>
      <c r="I201" s="98">
        <f t="shared" si="39"/>
        <v>0</v>
      </c>
      <c r="J201" s="107">
        <f t="shared" si="51"/>
        <v>0</v>
      </c>
      <c r="K201" s="107">
        <f t="shared" si="51"/>
        <v>0</v>
      </c>
      <c r="L201" s="98">
        <f t="shared" si="40"/>
        <v>0</v>
      </c>
      <c r="M201" s="113">
        <f t="shared" si="41"/>
        <v>0</v>
      </c>
      <c r="N201" s="8"/>
      <c r="O201" s="8"/>
      <c r="P201" s="8"/>
      <c r="Q201" s="8"/>
      <c r="R201" s="8"/>
      <c r="S201" s="8"/>
    </row>
    <row r="202" spans="1:19" s="116" customFormat="1" ht="12.75">
      <c r="A202" s="242" t="s">
        <v>391</v>
      </c>
      <c r="B202" s="239" t="s">
        <v>392</v>
      </c>
      <c r="C202" s="111" t="s">
        <v>328</v>
      </c>
      <c r="D202" s="111"/>
      <c r="E202" s="6"/>
      <c r="F202" s="6"/>
      <c r="G202" s="6"/>
      <c r="H202" s="112"/>
      <c r="I202" s="102">
        <f>+D202+E202+F202-G202-H202</f>
        <v>0</v>
      </c>
      <c r="J202" s="6"/>
      <c r="K202" s="6"/>
      <c r="L202" s="102">
        <f>+I202-K202</f>
        <v>0</v>
      </c>
      <c r="M202" s="113">
        <f>+J202-K202</f>
        <v>0</v>
      </c>
      <c r="N202" s="8"/>
      <c r="O202" s="8"/>
      <c r="P202" s="8"/>
      <c r="Q202" s="8"/>
      <c r="R202" s="8"/>
      <c r="S202" s="8"/>
    </row>
    <row r="203" spans="1:19" s="116" customFormat="1" ht="12.75">
      <c r="A203" s="243"/>
      <c r="B203" s="240"/>
      <c r="C203" s="111" t="s">
        <v>393</v>
      </c>
      <c r="D203" s="111"/>
      <c r="E203" s="112">
        <v>153296054.04</v>
      </c>
      <c r="F203" s="6"/>
      <c r="G203" s="6"/>
      <c r="H203" s="112"/>
      <c r="I203" s="102">
        <f>+D203+E203+F203-G203-H203</f>
        <v>153296054.04</v>
      </c>
      <c r="J203" s="102">
        <v>153296054</v>
      </c>
      <c r="K203" s="6"/>
      <c r="L203" s="102">
        <f>+I203-K203</f>
        <v>153296054.04</v>
      </c>
      <c r="M203" s="113">
        <f>+J203-K203</f>
        <v>153296054</v>
      </c>
      <c r="N203" s="8"/>
      <c r="O203" s="8"/>
      <c r="P203" s="8"/>
      <c r="Q203" s="8"/>
      <c r="R203" s="8"/>
      <c r="S203" s="8"/>
    </row>
    <row r="204" spans="1:19" s="116" customFormat="1" ht="12.75">
      <c r="A204" s="244"/>
      <c r="B204" s="241"/>
      <c r="C204" s="115" t="s">
        <v>330</v>
      </c>
      <c r="D204" s="107">
        <f>SUM(D202:D203)</f>
        <v>0</v>
      </c>
      <c r="E204" s="107">
        <f>SUM(E202:E203)</f>
        <v>153296054.04</v>
      </c>
      <c r="F204" s="107">
        <f>SUM(F202:F203)</f>
        <v>0</v>
      </c>
      <c r="G204" s="107">
        <f>SUM(G202:G203)</f>
        <v>0</v>
      </c>
      <c r="H204" s="107">
        <f>SUM(H202:H203)</f>
        <v>0</v>
      </c>
      <c r="I204" s="98">
        <f>+D204+E204+F204-G204-H204</f>
        <v>153296054.04</v>
      </c>
      <c r="J204" s="107">
        <f>SUM(J202:J203)</f>
        <v>153296054</v>
      </c>
      <c r="K204" s="107">
        <f>SUM(K202:K203)</f>
        <v>0</v>
      </c>
      <c r="L204" s="98">
        <f>+I204-K204</f>
        <v>153296054.04</v>
      </c>
      <c r="M204" s="108">
        <f>+J204-K204</f>
        <v>153296054</v>
      </c>
      <c r="N204" s="8"/>
      <c r="O204" s="8"/>
      <c r="P204" s="8"/>
      <c r="Q204" s="8"/>
      <c r="R204" s="8"/>
      <c r="S204" s="8"/>
    </row>
    <row r="205" spans="1:19" ht="9" customHeight="1">
      <c r="A205" s="129"/>
      <c r="B205" s="151"/>
      <c r="C205" s="151"/>
      <c r="D205" s="111"/>
      <c r="E205" s="6"/>
      <c r="F205" s="6"/>
      <c r="G205" s="6"/>
      <c r="H205" s="112"/>
      <c r="I205" s="102">
        <f t="shared" si="39"/>
        <v>0</v>
      </c>
      <c r="J205" s="6"/>
      <c r="K205" s="6"/>
      <c r="L205" s="102">
        <f t="shared" si="40"/>
        <v>0</v>
      </c>
      <c r="M205" s="113">
        <f t="shared" si="41"/>
        <v>0</v>
      </c>
      <c r="N205" s="6"/>
      <c r="O205" s="6"/>
      <c r="P205" s="6"/>
      <c r="Q205" s="6"/>
      <c r="R205" s="6"/>
      <c r="S205" s="6"/>
    </row>
    <row r="206" spans="1:19" s="100" customFormat="1" ht="15">
      <c r="A206" s="95" t="s">
        <v>394</v>
      </c>
      <c r="B206" s="141" t="s">
        <v>153</v>
      </c>
      <c r="C206" s="141"/>
      <c r="D206" s="106">
        <f>+D209+D213+D216+D219+D223+D226</f>
        <v>105000000</v>
      </c>
      <c r="E206" s="106">
        <f aca="true" t="shared" si="52" ref="E206:K206">+E209+E213+E216+E219+E223+E226</f>
        <v>59067240</v>
      </c>
      <c r="F206" s="106">
        <f t="shared" si="52"/>
        <v>24200000</v>
      </c>
      <c r="G206" s="106">
        <f t="shared" si="52"/>
        <v>0</v>
      </c>
      <c r="H206" s="106">
        <f t="shared" si="52"/>
        <v>31665598</v>
      </c>
      <c r="I206" s="98">
        <f t="shared" si="39"/>
        <v>156601642</v>
      </c>
      <c r="J206" s="107">
        <f t="shared" si="52"/>
        <v>154721840</v>
      </c>
      <c r="K206" s="107">
        <f t="shared" si="52"/>
        <v>151077961</v>
      </c>
      <c r="L206" s="98">
        <f t="shared" si="40"/>
        <v>5523681</v>
      </c>
      <c r="M206" s="108">
        <f t="shared" si="41"/>
        <v>3643879</v>
      </c>
      <c r="N206" s="64"/>
      <c r="O206" s="64"/>
      <c r="P206" s="64"/>
      <c r="Q206" s="64"/>
      <c r="R206" s="64"/>
      <c r="S206" s="64"/>
    </row>
    <row r="207" spans="1:19" ht="21.75">
      <c r="A207" s="237" t="s">
        <v>395</v>
      </c>
      <c r="B207" s="239" t="s">
        <v>61</v>
      </c>
      <c r="C207" s="111" t="s">
        <v>328</v>
      </c>
      <c r="D207" s="111">
        <v>20000000</v>
      </c>
      <c r="E207" s="6"/>
      <c r="F207" s="6"/>
      <c r="G207" s="6"/>
      <c r="H207" s="112">
        <f>15000000+5000000</f>
        <v>20000000</v>
      </c>
      <c r="I207" s="102">
        <f t="shared" si="39"/>
        <v>0</v>
      </c>
      <c r="J207" s="112"/>
      <c r="K207" s="112"/>
      <c r="L207" s="102">
        <f t="shared" si="40"/>
        <v>0</v>
      </c>
      <c r="M207" s="113">
        <f t="shared" si="41"/>
        <v>0</v>
      </c>
      <c r="N207" s="66" t="s">
        <v>289</v>
      </c>
      <c r="O207" s="10"/>
      <c r="P207" s="10"/>
      <c r="Q207" s="10" t="s">
        <v>290</v>
      </c>
      <c r="R207" s="67">
        <f>900/1300*100</f>
        <v>69.23076923076923</v>
      </c>
      <c r="S207" s="67">
        <f>900/1300*100</f>
        <v>69.23076923076923</v>
      </c>
    </row>
    <row r="208" spans="1:19" ht="21.75">
      <c r="A208" s="238"/>
      <c r="B208" s="240"/>
      <c r="C208" s="111" t="s">
        <v>329</v>
      </c>
      <c r="D208" s="111"/>
      <c r="E208" s="6"/>
      <c r="F208" s="6"/>
      <c r="G208" s="6"/>
      <c r="H208" s="112"/>
      <c r="I208" s="102">
        <f t="shared" si="39"/>
        <v>0</v>
      </c>
      <c r="J208" s="112"/>
      <c r="K208" s="112"/>
      <c r="L208" s="102">
        <f t="shared" si="40"/>
        <v>0</v>
      </c>
      <c r="M208" s="113">
        <f t="shared" si="41"/>
        <v>0</v>
      </c>
      <c r="N208" s="66" t="s">
        <v>291</v>
      </c>
      <c r="O208" s="10"/>
      <c r="P208" s="10"/>
      <c r="Q208" s="10" t="s">
        <v>292</v>
      </c>
      <c r="R208" s="10">
        <v>900</v>
      </c>
      <c r="S208" s="10">
        <v>900</v>
      </c>
    </row>
    <row r="209" spans="1:19" s="116" customFormat="1" ht="19.5">
      <c r="A209" s="224"/>
      <c r="B209" s="241"/>
      <c r="C209" s="115" t="s">
        <v>330</v>
      </c>
      <c r="D209" s="107">
        <f>SUM(D207:D208)</f>
        <v>20000000</v>
      </c>
      <c r="E209" s="107">
        <f aca="true" t="shared" si="53" ref="E209:K209">SUM(E207:E208)</f>
        <v>0</v>
      </c>
      <c r="F209" s="107">
        <f t="shared" si="53"/>
        <v>0</v>
      </c>
      <c r="G209" s="107">
        <f t="shared" si="53"/>
        <v>0</v>
      </c>
      <c r="H209" s="107">
        <f t="shared" si="53"/>
        <v>20000000</v>
      </c>
      <c r="I209" s="98">
        <f t="shared" si="39"/>
        <v>0</v>
      </c>
      <c r="J209" s="107">
        <f t="shared" si="53"/>
        <v>0</v>
      </c>
      <c r="K209" s="107">
        <f t="shared" si="53"/>
        <v>0</v>
      </c>
      <c r="L209" s="98">
        <f t="shared" si="40"/>
        <v>0</v>
      </c>
      <c r="M209" s="113">
        <f t="shared" si="41"/>
        <v>0</v>
      </c>
      <c r="N209" s="152"/>
      <c r="O209" s="8"/>
      <c r="P209" s="8"/>
      <c r="Q209" s="8"/>
      <c r="R209" s="8"/>
      <c r="S209" s="8"/>
    </row>
    <row r="210" spans="1:19" ht="12.75">
      <c r="A210" s="237" t="s">
        <v>396</v>
      </c>
      <c r="B210" s="251" t="s">
        <v>62</v>
      </c>
      <c r="C210" s="111" t="s">
        <v>328</v>
      </c>
      <c r="D210" s="111">
        <v>40000000</v>
      </c>
      <c r="E210" s="6"/>
      <c r="F210" s="112">
        <v>5000000</v>
      </c>
      <c r="G210" s="6"/>
      <c r="H210" s="6"/>
      <c r="I210" s="102">
        <f t="shared" si="39"/>
        <v>45000000</v>
      </c>
      <c r="J210" s="112">
        <v>45000000</v>
      </c>
      <c r="K210" s="112">
        <v>45000000</v>
      </c>
      <c r="L210" s="102">
        <f t="shared" si="40"/>
        <v>0</v>
      </c>
      <c r="M210" s="113">
        <f t="shared" si="41"/>
        <v>0</v>
      </c>
      <c r="N210" s="147"/>
      <c r="O210" s="6"/>
      <c r="P210" s="6"/>
      <c r="Q210" s="6"/>
      <c r="R210" s="6"/>
      <c r="S210" s="6"/>
    </row>
    <row r="211" spans="1:19" ht="12.75">
      <c r="A211" s="238"/>
      <c r="B211" s="252"/>
      <c r="C211" s="111" t="s">
        <v>329</v>
      </c>
      <c r="D211" s="111"/>
      <c r="E211" s="6"/>
      <c r="F211" s="6"/>
      <c r="G211" s="6"/>
      <c r="H211" s="6"/>
      <c r="I211" s="102">
        <f t="shared" si="39"/>
        <v>0</v>
      </c>
      <c r="J211" s="112"/>
      <c r="K211" s="112"/>
      <c r="L211" s="102">
        <f t="shared" si="40"/>
        <v>0</v>
      </c>
      <c r="M211" s="113">
        <f t="shared" si="41"/>
        <v>0</v>
      </c>
      <c r="N211" s="6"/>
      <c r="O211" s="6"/>
      <c r="P211" s="6"/>
      <c r="Q211" s="6"/>
      <c r="R211" s="6"/>
      <c r="S211" s="6"/>
    </row>
    <row r="212" spans="1:19" ht="12.75">
      <c r="A212" s="238"/>
      <c r="B212" s="252"/>
      <c r="C212" s="111" t="s">
        <v>384</v>
      </c>
      <c r="D212" s="111"/>
      <c r="E212" s="112">
        <v>5000000</v>
      </c>
      <c r="F212" s="6"/>
      <c r="G212" s="6"/>
      <c r="H212" s="6"/>
      <c r="I212" s="102">
        <f t="shared" si="39"/>
        <v>5000000</v>
      </c>
      <c r="J212" s="112">
        <v>5000000</v>
      </c>
      <c r="K212" s="112">
        <v>5000000</v>
      </c>
      <c r="L212" s="102"/>
      <c r="M212" s="113"/>
      <c r="N212" s="112"/>
      <c r="O212" s="6"/>
      <c r="P212" s="6"/>
      <c r="Q212" s="6"/>
      <c r="R212" s="6"/>
      <c r="S212" s="6"/>
    </row>
    <row r="213" spans="1:19" s="116" customFormat="1" ht="12.75">
      <c r="A213" s="224"/>
      <c r="B213" s="253"/>
      <c r="C213" s="115" t="s">
        <v>330</v>
      </c>
      <c r="D213" s="107">
        <f>SUM(D210:D212)</f>
        <v>40000000</v>
      </c>
      <c r="E213" s="107">
        <f>SUM(E210:E212)</f>
        <v>5000000</v>
      </c>
      <c r="F213" s="107">
        <f>SUM(F210:F212)</f>
        <v>5000000</v>
      </c>
      <c r="G213" s="107">
        <f>SUM(G210:G212)</f>
        <v>0</v>
      </c>
      <c r="H213" s="107">
        <f>SUM(H210:H212)</f>
        <v>0</v>
      </c>
      <c r="I213" s="98">
        <f t="shared" si="39"/>
        <v>50000000</v>
      </c>
      <c r="J213" s="107">
        <f>SUM(J210:J212)</f>
        <v>50000000</v>
      </c>
      <c r="K213" s="107">
        <f>SUM(K210:K212)</f>
        <v>50000000</v>
      </c>
      <c r="L213" s="98">
        <f t="shared" si="40"/>
        <v>0</v>
      </c>
      <c r="M213" s="108">
        <f t="shared" si="41"/>
        <v>0</v>
      </c>
      <c r="N213" s="8"/>
      <c r="O213" s="8"/>
      <c r="P213" s="8"/>
      <c r="Q213" s="8"/>
      <c r="R213" s="8"/>
      <c r="S213" s="8"/>
    </row>
    <row r="214" spans="1:19" ht="15">
      <c r="A214" s="237" t="s">
        <v>397</v>
      </c>
      <c r="B214" s="251" t="s">
        <v>63</v>
      </c>
      <c r="C214" s="111" t="s">
        <v>328</v>
      </c>
      <c r="D214" s="111">
        <v>10000000</v>
      </c>
      <c r="E214" s="6"/>
      <c r="F214" s="6"/>
      <c r="G214" s="6"/>
      <c r="H214" s="153">
        <f>2000000+445400</f>
        <v>2445400</v>
      </c>
      <c r="I214" s="102">
        <f t="shared" si="39"/>
        <v>7554600</v>
      </c>
      <c r="J214" s="112">
        <v>7554600</v>
      </c>
      <c r="K214" s="112">
        <v>7554600</v>
      </c>
      <c r="L214" s="102">
        <f t="shared" si="40"/>
        <v>0</v>
      </c>
      <c r="M214" s="113">
        <f t="shared" si="41"/>
        <v>0</v>
      </c>
      <c r="N214" s="6"/>
      <c r="O214" s="6"/>
      <c r="P214" s="6"/>
      <c r="Q214" s="6"/>
      <c r="R214" s="6"/>
      <c r="S214" s="6"/>
    </row>
    <row r="215" spans="1:19" ht="12.75">
      <c r="A215" s="238"/>
      <c r="B215" s="252"/>
      <c r="C215" s="111" t="s">
        <v>329</v>
      </c>
      <c r="D215" s="111"/>
      <c r="E215" s="6"/>
      <c r="F215" s="6"/>
      <c r="G215" s="6"/>
      <c r="H215" s="6"/>
      <c r="I215" s="102">
        <f t="shared" si="39"/>
        <v>0</v>
      </c>
      <c r="J215" s="112"/>
      <c r="K215" s="112"/>
      <c r="L215" s="102">
        <f t="shared" si="40"/>
        <v>0</v>
      </c>
      <c r="M215" s="113">
        <f t="shared" si="41"/>
        <v>0</v>
      </c>
      <c r="N215" s="6"/>
      <c r="O215" s="6"/>
      <c r="P215" s="6"/>
      <c r="Q215" s="6"/>
      <c r="R215" s="6"/>
      <c r="S215" s="6"/>
    </row>
    <row r="216" spans="1:19" s="116" customFormat="1" ht="12.75">
      <c r="A216" s="224"/>
      <c r="B216" s="253"/>
      <c r="C216" s="115" t="s">
        <v>330</v>
      </c>
      <c r="D216" s="107">
        <f>SUM(D214:D215)</f>
        <v>10000000</v>
      </c>
      <c r="E216" s="107">
        <f aca="true" t="shared" si="54" ref="E216:K216">SUM(E214:E215)</f>
        <v>0</v>
      </c>
      <c r="F216" s="107">
        <f t="shared" si="54"/>
        <v>0</v>
      </c>
      <c r="G216" s="107">
        <f t="shared" si="54"/>
        <v>0</v>
      </c>
      <c r="H216" s="107">
        <f t="shared" si="54"/>
        <v>2445400</v>
      </c>
      <c r="I216" s="98">
        <f t="shared" si="39"/>
        <v>7554600</v>
      </c>
      <c r="J216" s="107">
        <f t="shared" si="54"/>
        <v>7554600</v>
      </c>
      <c r="K216" s="107">
        <f t="shared" si="54"/>
        <v>7554600</v>
      </c>
      <c r="L216" s="98">
        <f t="shared" si="40"/>
        <v>0</v>
      </c>
      <c r="M216" s="113">
        <f t="shared" si="41"/>
        <v>0</v>
      </c>
      <c r="N216" s="8"/>
      <c r="O216" s="8"/>
      <c r="P216" s="8"/>
      <c r="Q216" s="8"/>
      <c r="R216" s="8"/>
      <c r="S216" s="8"/>
    </row>
    <row r="217" spans="1:19" ht="12.75">
      <c r="A217" s="237" t="s">
        <v>398</v>
      </c>
      <c r="B217" s="242" t="s">
        <v>64</v>
      </c>
      <c r="C217" s="111" t="s">
        <v>328</v>
      </c>
      <c r="D217" s="111">
        <v>15000000</v>
      </c>
      <c r="E217" s="6"/>
      <c r="F217" s="6"/>
      <c r="G217" s="6"/>
      <c r="H217" s="112">
        <f>7200000+2020198</f>
        <v>9220198</v>
      </c>
      <c r="I217" s="102">
        <f t="shared" si="39"/>
        <v>5779802</v>
      </c>
      <c r="J217" s="112">
        <v>3900000</v>
      </c>
      <c r="K217" s="112">
        <v>3900000</v>
      </c>
      <c r="L217" s="102">
        <f t="shared" si="40"/>
        <v>1879802</v>
      </c>
      <c r="M217" s="113">
        <f t="shared" si="41"/>
        <v>0</v>
      </c>
      <c r="N217" s="6"/>
      <c r="O217" s="6"/>
      <c r="P217" s="6"/>
      <c r="Q217" s="6"/>
      <c r="R217" s="6"/>
      <c r="S217" s="6"/>
    </row>
    <row r="218" spans="1:19" ht="12.75">
      <c r="A218" s="238"/>
      <c r="B218" s="243"/>
      <c r="C218" s="111" t="s">
        <v>329</v>
      </c>
      <c r="D218" s="111"/>
      <c r="E218" s="6"/>
      <c r="F218" s="6"/>
      <c r="G218" s="6"/>
      <c r="H218" s="6"/>
      <c r="I218" s="102">
        <f t="shared" si="39"/>
        <v>0</v>
      </c>
      <c r="J218" s="112"/>
      <c r="K218" s="112"/>
      <c r="L218" s="102">
        <f t="shared" si="40"/>
        <v>0</v>
      </c>
      <c r="M218" s="113">
        <f t="shared" si="41"/>
        <v>0</v>
      </c>
      <c r="N218" s="6"/>
      <c r="O218" s="6"/>
      <c r="P218" s="6"/>
      <c r="Q218" s="6"/>
      <c r="R218" s="6"/>
      <c r="S218" s="6"/>
    </row>
    <row r="219" spans="1:19" s="116" customFormat="1" ht="12.75">
      <c r="A219" s="224"/>
      <c r="B219" s="244"/>
      <c r="C219" s="115" t="s">
        <v>330</v>
      </c>
      <c r="D219" s="107">
        <f>SUM(D217:D218)</f>
        <v>15000000</v>
      </c>
      <c r="E219" s="107">
        <f aca="true" t="shared" si="55" ref="E219:K219">SUM(E217:E218)</f>
        <v>0</v>
      </c>
      <c r="F219" s="107">
        <f t="shared" si="55"/>
        <v>0</v>
      </c>
      <c r="G219" s="107">
        <f t="shared" si="55"/>
        <v>0</v>
      </c>
      <c r="H219" s="107">
        <f t="shared" si="55"/>
        <v>9220198</v>
      </c>
      <c r="I219" s="98">
        <f t="shared" si="39"/>
        <v>5779802</v>
      </c>
      <c r="J219" s="107">
        <f t="shared" si="55"/>
        <v>3900000</v>
      </c>
      <c r="K219" s="107">
        <f t="shared" si="55"/>
        <v>3900000</v>
      </c>
      <c r="L219" s="98">
        <f t="shared" si="40"/>
        <v>1879802</v>
      </c>
      <c r="M219" s="113">
        <f t="shared" si="41"/>
        <v>0</v>
      </c>
      <c r="N219" s="8"/>
      <c r="O219" s="8"/>
      <c r="P219" s="8"/>
      <c r="Q219" s="8"/>
      <c r="R219" s="8"/>
      <c r="S219" s="8"/>
    </row>
    <row r="220" spans="1:19" ht="12.75">
      <c r="A220" s="237" t="s">
        <v>399</v>
      </c>
      <c r="B220" s="237" t="s">
        <v>65</v>
      </c>
      <c r="C220" s="111" t="s">
        <v>328</v>
      </c>
      <c r="D220" s="111">
        <v>20000000</v>
      </c>
      <c r="E220" s="112">
        <v>8867240</v>
      </c>
      <c r="F220" s="112">
        <v>7200000</v>
      </c>
      <c r="G220" s="6"/>
      <c r="H220" s="6"/>
      <c r="I220" s="102">
        <f t="shared" si="39"/>
        <v>36067240</v>
      </c>
      <c r="J220" s="112">
        <v>36067240</v>
      </c>
      <c r="K220" s="112">
        <v>36067240</v>
      </c>
      <c r="L220" s="102">
        <f t="shared" si="40"/>
        <v>0</v>
      </c>
      <c r="M220" s="113">
        <f t="shared" si="41"/>
        <v>0</v>
      </c>
      <c r="N220" s="6"/>
      <c r="O220" s="6"/>
      <c r="P220" s="6"/>
      <c r="Q220" s="6"/>
      <c r="R220" s="6"/>
      <c r="S220" s="6"/>
    </row>
    <row r="221" spans="1:19" ht="12.75">
      <c r="A221" s="238"/>
      <c r="B221" s="238"/>
      <c r="C221" s="111" t="s">
        <v>329</v>
      </c>
      <c r="D221" s="111"/>
      <c r="E221" s="112">
        <f>15000000+10000000</f>
        <v>25000000</v>
      </c>
      <c r="F221" s="6"/>
      <c r="G221" s="6"/>
      <c r="H221" s="6"/>
      <c r="I221" s="102">
        <f t="shared" si="39"/>
        <v>25000000</v>
      </c>
      <c r="J221" s="112">
        <v>25000000</v>
      </c>
      <c r="K221" s="112">
        <v>25000000</v>
      </c>
      <c r="L221" s="102">
        <f t="shared" si="40"/>
        <v>0</v>
      </c>
      <c r="M221" s="113">
        <f t="shared" si="41"/>
        <v>0</v>
      </c>
      <c r="N221" s="6"/>
      <c r="O221" s="6"/>
      <c r="P221" s="6"/>
      <c r="Q221" s="6"/>
      <c r="R221" s="6"/>
      <c r="S221" s="6"/>
    </row>
    <row r="222" spans="1:19" ht="12.75">
      <c r="A222" s="238"/>
      <c r="B222" s="238"/>
      <c r="C222" s="111" t="s">
        <v>384</v>
      </c>
      <c r="D222" s="111"/>
      <c r="E222" s="112">
        <v>15200000</v>
      </c>
      <c r="F222" s="6"/>
      <c r="G222" s="6"/>
      <c r="H222" s="6"/>
      <c r="I222" s="102">
        <f t="shared" si="39"/>
        <v>15200000</v>
      </c>
      <c r="J222" s="112">
        <v>15200000</v>
      </c>
      <c r="K222" s="112">
        <v>15200000</v>
      </c>
      <c r="L222" s="102">
        <f t="shared" si="40"/>
        <v>0</v>
      </c>
      <c r="M222" s="113"/>
      <c r="N222" s="112"/>
      <c r="O222" s="6"/>
      <c r="P222" s="6"/>
      <c r="Q222" s="6"/>
      <c r="R222" s="6"/>
      <c r="S222" s="6"/>
    </row>
    <row r="223" spans="1:19" s="116" customFormat="1" ht="12.75">
      <c r="A223" s="224"/>
      <c r="B223" s="224"/>
      <c r="C223" s="115" t="s">
        <v>330</v>
      </c>
      <c r="D223" s="107">
        <f>SUM(D220:D222)</f>
        <v>20000000</v>
      </c>
      <c r="E223" s="107">
        <f>SUM(E220:E222)</f>
        <v>49067240</v>
      </c>
      <c r="F223" s="107">
        <f>SUM(F220:F222)</f>
        <v>7200000</v>
      </c>
      <c r="G223" s="107">
        <f>SUM(G220:G222)</f>
        <v>0</v>
      </c>
      <c r="H223" s="107">
        <f>SUM(H220:H222)</f>
        <v>0</v>
      </c>
      <c r="I223" s="98">
        <f t="shared" si="39"/>
        <v>76267240</v>
      </c>
      <c r="J223" s="107">
        <f>SUM(J220:J222)</f>
        <v>76267240</v>
      </c>
      <c r="K223" s="107">
        <f>SUM(K220:K222)</f>
        <v>76267240</v>
      </c>
      <c r="L223" s="98">
        <f t="shared" si="40"/>
        <v>0</v>
      </c>
      <c r="M223" s="113">
        <f t="shared" si="41"/>
        <v>0</v>
      </c>
      <c r="N223" s="119"/>
      <c r="O223" s="8"/>
      <c r="P223" s="8"/>
      <c r="Q223" s="8"/>
      <c r="R223" s="8"/>
      <c r="S223" s="8"/>
    </row>
    <row r="224" spans="1:19" ht="12.75">
      <c r="A224" s="237" t="s">
        <v>400</v>
      </c>
      <c r="B224" s="237" t="s">
        <v>401</v>
      </c>
      <c r="C224" s="111" t="s">
        <v>328</v>
      </c>
      <c r="D224" s="107"/>
      <c r="E224" s="6"/>
      <c r="F224" s="112">
        <f>10000000+2000000</f>
        <v>12000000</v>
      </c>
      <c r="G224" s="6"/>
      <c r="H224" s="6"/>
      <c r="I224" s="102">
        <f aca="true" t="shared" si="56" ref="I224:I287">+D224+E224+F224-G224-H224</f>
        <v>12000000</v>
      </c>
      <c r="J224" s="135">
        <v>12000000</v>
      </c>
      <c r="K224" s="135">
        <v>12000000</v>
      </c>
      <c r="L224" s="102">
        <f aca="true" t="shared" si="57" ref="L224:L287">+I224-K224</f>
        <v>0</v>
      </c>
      <c r="M224" s="113">
        <f aca="true" t="shared" si="58" ref="M224:M287">+J224-K224</f>
        <v>0</v>
      </c>
      <c r="N224" s="112"/>
      <c r="O224" s="6"/>
      <c r="P224" s="6"/>
      <c r="Q224" s="6"/>
      <c r="R224" s="6"/>
      <c r="S224" s="6"/>
    </row>
    <row r="225" spans="1:19" ht="12.75">
      <c r="A225" s="238"/>
      <c r="B225" s="238"/>
      <c r="C225" s="111" t="s">
        <v>329</v>
      </c>
      <c r="D225" s="107"/>
      <c r="E225" s="112">
        <v>5000000</v>
      </c>
      <c r="F225" s="112"/>
      <c r="G225" s="6"/>
      <c r="H225" s="6"/>
      <c r="I225" s="102">
        <f t="shared" si="56"/>
        <v>5000000</v>
      </c>
      <c r="J225" s="135">
        <v>5000000</v>
      </c>
      <c r="K225" s="135">
        <v>1356121</v>
      </c>
      <c r="L225" s="102">
        <f t="shared" si="57"/>
        <v>3643879</v>
      </c>
      <c r="M225" s="113">
        <f t="shared" si="58"/>
        <v>3643879</v>
      </c>
      <c r="N225" s="6"/>
      <c r="O225" s="6"/>
      <c r="P225" s="6"/>
      <c r="Q225" s="6"/>
      <c r="R225" s="6"/>
      <c r="S225" s="6"/>
    </row>
    <row r="226" spans="1:19" s="116" customFormat="1" ht="12.75">
      <c r="A226" s="224"/>
      <c r="B226" s="224"/>
      <c r="C226" s="115" t="s">
        <v>330</v>
      </c>
      <c r="D226" s="107">
        <f>SUM(D224:D225)</f>
        <v>0</v>
      </c>
      <c r="E226" s="107">
        <f aca="true" t="shared" si="59" ref="E226:K226">SUM(E224:E225)</f>
        <v>5000000</v>
      </c>
      <c r="F226" s="107">
        <f t="shared" si="59"/>
        <v>12000000</v>
      </c>
      <c r="G226" s="107">
        <f t="shared" si="59"/>
        <v>0</v>
      </c>
      <c r="H226" s="107">
        <f t="shared" si="59"/>
        <v>0</v>
      </c>
      <c r="I226" s="98">
        <f t="shared" si="56"/>
        <v>17000000</v>
      </c>
      <c r="J226" s="107">
        <f t="shared" si="59"/>
        <v>17000000</v>
      </c>
      <c r="K226" s="107">
        <f t="shared" si="59"/>
        <v>13356121</v>
      </c>
      <c r="L226" s="98">
        <f t="shared" si="57"/>
        <v>3643879</v>
      </c>
      <c r="M226" s="108">
        <f t="shared" si="58"/>
        <v>3643879</v>
      </c>
      <c r="N226" s="8"/>
      <c r="O226" s="8"/>
      <c r="P226" s="8"/>
      <c r="Q226" s="8"/>
      <c r="R226" s="8"/>
      <c r="S226" s="8"/>
    </row>
    <row r="227" spans="1:19" ht="7.5" customHeight="1">
      <c r="A227" s="101"/>
      <c r="B227" s="101"/>
      <c r="C227" s="101"/>
      <c r="D227" s="107"/>
      <c r="E227" s="6"/>
      <c r="F227" s="112"/>
      <c r="G227" s="6"/>
      <c r="H227" s="6"/>
      <c r="I227" s="102">
        <f t="shared" si="56"/>
        <v>0</v>
      </c>
      <c r="J227" s="6"/>
      <c r="K227" s="6"/>
      <c r="L227" s="102">
        <f t="shared" si="57"/>
        <v>0</v>
      </c>
      <c r="M227" s="113">
        <f t="shared" si="58"/>
        <v>0</v>
      </c>
      <c r="N227" s="6"/>
      <c r="O227" s="6"/>
      <c r="P227" s="6"/>
      <c r="Q227" s="6"/>
      <c r="R227" s="6"/>
      <c r="S227" s="6"/>
    </row>
    <row r="228" spans="1:19" s="100" customFormat="1" ht="15">
      <c r="A228" s="95" t="s">
        <v>402</v>
      </c>
      <c r="B228" s="96" t="s">
        <v>67</v>
      </c>
      <c r="C228" s="96"/>
      <c r="D228" s="106">
        <f>+D231+D234+D237+D241</f>
        <v>120000000</v>
      </c>
      <c r="E228" s="106">
        <f aca="true" t="shared" si="60" ref="E228:K228">+E231+E234+E237+E241</f>
        <v>321909594.31</v>
      </c>
      <c r="F228" s="106">
        <f t="shared" si="60"/>
        <v>91379785</v>
      </c>
      <c r="G228" s="106">
        <f t="shared" si="60"/>
        <v>0</v>
      </c>
      <c r="H228" s="106">
        <f t="shared" si="60"/>
        <v>20000000</v>
      </c>
      <c r="I228" s="98">
        <f t="shared" si="56"/>
        <v>513289379.31</v>
      </c>
      <c r="J228" s="107">
        <f t="shared" si="60"/>
        <v>513288428</v>
      </c>
      <c r="K228" s="107">
        <f t="shared" si="60"/>
        <v>234728870</v>
      </c>
      <c r="L228" s="98">
        <f t="shared" si="57"/>
        <v>278560509.31</v>
      </c>
      <c r="M228" s="108">
        <f t="shared" si="58"/>
        <v>278559558</v>
      </c>
      <c r="N228" s="64"/>
      <c r="O228" s="64"/>
      <c r="P228" s="64"/>
      <c r="Q228" s="64"/>
      <c r="R228" s="64"/>
      <c r="S228" s="64"/>
    </row>
    <row r="229" spans="1:19" ht="21.75">
      <c r="A229" s="237" t="s">
        <v>403</v>
      </c>
      <c r="B229" s="237" t="s">
        <v>68</v>
      </c>
      <c r="C229" s="111" t="s">
        <v>328</v>
      </c>
      <c r="D229" s="111">
        <v>20000000</v>
      </c>
      <c r="E229" s="122"/>
      <c r="F229" s="112">
        <f>58586000+1243884</f>
        <v>59829884</v>
      </c>
      <c r="G229" s="6"/>
      <c r="H229" s="6"/>
      <c r="I229" s="102">
        <f t="shared" si="56"/>
        <v>79829884</v>
      </c>
      <c r="J229" s="112">
        <v>79829884</v>
      </c>
      <c r="K229" s="112">
        <f>74331359-52</f>
        <v>74331307</v>
      </c>
      <c r="L229" s="102">
        <f t="shared" si="57"/>
        <v>5498577</v>
      </c>
      <c r="M229" s="113">
        <f t="shared" si="58"/>
        <v>5498577</v>
      </c>
      <c r="N229" s="66" t="s">
        <v>293</v>
      </c>
      <c r="O229" s="10">
        <v>60</v>
      </c>
      <c r="P229" s="10">
        <v>70</v>
      </c>
      <c r="Q229" s="66" t="s">
        <v>294</v>
      </c>
      <c r="R229" s="10"/>
      <c r="S229" s="10"/>
    </row>
    <row r="230" spans="1:19" ht="12.75">
      <c r="A230" s="238"/>
      <c r="B230" s="238"/>
      <c r="C230" s="111" t="s">
        <v>329</v>
      </c>
      <c r="D230" s="111"/>
      <c r="E230" s="112">
        <f>10000000+75000000</f>
        <v>85000000</v>
      </c>
      <c r="F230" s="112">
        <f>14000000+17549901</f>
        <v>31549901</v>
      </c>
      <c r="G230" s="6"/>
      <c r="H230" s="6"/>
      <c r="I230" s="102">
        <f t="shared" si="56"/>
        <v>116549901</v>
      </c>
      <c r="J230" s="112">
        <f>116549901-53</f>
        <v>116549848</v>
      </c>
      <c r="K230" s="112"/>
      <c r="L230" s="102"/>
      <c r="M230" s="113">
        <f t="shared" si="58"/>
        <v>116549848</v>
      </c>
      <c r="N230" s="10"/>
      <c r="O230" s="10"/>
      <c r="P230" s="10"/>
      <c r="Q230" s="10" t="s">
        <v>295</v>
      </c>
      <c r="R230" s="10">
        <v>0.5</v>
      </c>
      <c r="S230" s="10">
        <v>0.4</v>
      </c>
    </row>
    <row r="231" spans="1:19" s="116" customFormat="1" ht="12.75">
      <c r="A231" s="224"/>
      <c r="B231" s="224"/>
      <c r="C231" s="115" t="s">
        <v>330</v>
      </c>
      <c r="D231" s="107">
        <f>SUM(D229:D230)</f>
        <v>20000000</v>
      </c>
      <c r="E231" s="107">
        <f aca="true" t="shared" si="61" ref="E231:K231">SUM(E229:E230)</f>
        <v>85000000</v>
      </c>
      <c r="F231" s="107">
        <f t="shared" si="61"/>
        <v>91379785</v>
      </c>
      <c r="G231" s="107">
        <f t="shared" si="61"/>
        <v>0</v>
      </c>
      <c r="H231" s="107">
        <f t="shared" si="61"/>
        <v>0</v>
      </c>
      <c r="I231" s="98">
        <f t="shared" si="56"/>
        <v>196379785</v>
      </c>
      <c r="J231" s="107">
        <f>SUM(J229:J230)</f>
        <v>196379732</v>
      </c>
      <c r="K231" s="107">
        <f t="shared" si="61"/>
        <v>74331307</v>
      </c>
      <c r="L231" s="98">
        <f t="shared" si="57"/>
        <v>122048478</v>
      </c>
      <c r="M231" s="108">
        <f t="shared" si="58"/>
        <v>122048425</v>
      </c>
      <c r="N231" s="119"/>
      <c r="O231" s="8"/>
      <c r="P231" s="8"/>
      <c r="Q231" s="8"/>
      <c r="R231" s="8"/>
      <c r="S231" s="8"/>
    </row>
    <row r="232" spans="1:19" ht="12.75">
      <c r="A232" s="237" t="s">
        <v>404</v>
      </c>
      <c r="B232" s="237" t="s">
        <v>69</v>
      </c>
      <c r="C232" s="111" t="s">
        <v>328</v>
      </c>
      <c r="D232" s="111">
        <v>30000000</v>
      </c>
      <c r="E232" s="112"/>
      <c r="F232" s="6"/>
      <c r="G232" s="6"/>
      <c r="H232" s="6"/>
      <c r="I232" s="102">
        <f t="shared" si="56"/>
        <v>30000000</v>
      </c>
      <c r="J232" s="112">
        <v>30000000</v>
      </c>
      <c r="K232" s="112">
        <f>+J232-374444</f>
        <v>29625556</v>
      </c>
      <c r="L232" s="102">
        <f t="shared" si="57"/>
        <v>374444</v>
      </c>
      <c r="M232" s="113">
        <f t="shared" si="58"/>
        <v>374444</v>
      </c>
      <c r="N232" s="6"/>
      <c r="O232" s="6"/>
      <c r="P232" s="6"/>
      <c r="Q232" s="6"/>
      <c r="R232" s="6"/>
      <c r="S232" s="6"/>
    </row>
    <row r="233" spans="1:19" ht="12.75">
      <c r="A233" s="238"/>
      <c r="B233" s="238"/>
      <c r="C233" s="111" t="s">
        <v>329</v>
      </c>
      <c r="D233" s="111"/>
      <c r="E233" s="112">
        <v>76419717</v>
      </c>
      <c r="F233" s="6"/>
      <c r="G233" s="6"/>
      <c r="H233" s="6"/>
      <c r="I233" s="102">
        <f t="shared" si="56"/>
        <v>76419717</v>
      </c>
      <c r="J233" s="112">
        <v>76419717</v>
      </c>
      <c r="K233" s="112"/>
      <c r="L233" s="102">
        <f t="shared" si="57"/>
        <v>76419717</v>
      </c>
      <c r="M233" s="113">
        <f t="shared" si="58"/>
        <v>76419717</v>
      </c>
      <c r="N233" s="118"/>
      <c r="O233" s="6"/>
      <c r="P233" s="6"/>
      <c r="Q233" s="6"/>
      <c r="R233" s="6"/>
      <c r="S233" s="6"/>
    </row>
    <row r="234" spans="1:19" s="116" customFormat="1" ht="12.75">
      <c r="A234" s="224"/>
      <c r="B234" s="224"/>
      <c r="C234" s="115" t="s">
        <v>330</v>
      </c>
      <c r="D234" s="107">
        <f>SUM(D232:D233)</f>
        <v>30000000</v>
      </c>
      <c r="E234" s="107">
        <f aca="true" t="shared" si="62" ref="E234:K234">SUM(E232:E233)</f>
        <v>76419717</v>
      </c>
      <c r="F234" s="107">
        <f t="shared" si="62"/>
        <v>0</v>
      </c>
      <c r="G234" s="107">
        <f t="shared" si="62"/>
        <v>0</v>
      </c>
      <c r="H234" s="107">
        <f t="shared" si="62"/>
        <v>0</v>
      </c>
      <c r="I234" s="98">
        <f t="shared" si="56"/>
        <v>106419717</v>
      </c>
      <c r="J234" s="107">
        <f t="shared" si="62"/>
        <v>106419717</v>
      </c>
      <c r="K234" s="107">
        <f t="shared" si="62"/>
        <v>29625556</v>
      </c>
      <c r="L234" s="98">
        <f t="shared" si="57"/>
        <v>76794161</v>
      </c>
      <c r="M234" s="108">
        <f t="shared" si="58"/>
        <v>76794161</v>
      </c>
      <c r="N234" s="8"/>
      <c r="O234" s="8"/>
      <c r="P234" s="8"/>
      <c r="Q234" s="8"/>
      <c r="R234" s="8"/>
      <c r="S234" s="8"/>
    </row>
    <row r="235" spans="1:19" ht="12.75">
      <c r="A235" s="237" t="s">
        <v>405</v>
      </c>
      <c r="B235" s="237" t="s">
        <v>70</v>
      </c>
      <c r="C235" s="111" t="s">
        <v>328</v>
      </c>
      <c r="D235" s="111">
        <v>70000000</v>
      </c>
      <c r="E235" s="112">
        <v>346147</v>
      </c>
      <c r="F235" s="6"/>
      <c r="G235" s="6"/>
      <c r="H235" s="112">
        <v>20000000</v>
      </c>
      <c r="I235" s="102">
        <f t="shared" si="56"/>
        <v>50346147</v>
      </c>
      <c r="J235" s="112">
        <v>50346147</v>
      </c>
      <c r="K235" s="112">
        <v>50346147</v>
      </c>
      <c r="L235" s="102">
        <f t="shared" si="57"/>
        <v>0</v>
      </c>
      <c r="M235" s="113">
        <f t="shared" si="58"/>
        <v>0</v>
      </c>
      <c r="N235" s="147"/>
      <c r="O235" s="6"/>
      <c r="P235" s="6"/>
      <c r="Q235" s="6"/>
      <c r="R235" s="6"/>
      <c r="S235" s="6"/>
    </row>
    <row r="236" spans="1:19" ht="12.75">
      <c r="A236" s="238"/>
      <c r="B236" s="238"/>
      <c r="C236" s="111" t="s">
        <v>329</v>
      </c>
      <c r="D236" s="111"/>
      <c r="E236" s="112">
        <v>10000000</v>
      </c>
      <c r="F236" s="6"/>
      <c r="G236" s="6"/>
      <c r="H236" s="112"/>
      <c r="I236" s="102">
        <f t="shared" si="56"/>
        <v>10000000</v>
      </c>
      <c r="J236" s="112">
        <f>4751102+5248000</f>
        <v>9999102</v>
      </c>
      <c r="K236" s="112">
        <f>4751102+5248000</f>
        <v>9999102</v>
      </c>
      <c r="L236" s="102">
        <f t="shared" si="57"/>
        <v>898</v>
      </c>
      <c r="M236" s="113">
        <f t="shared" si="58"/>
        <v>0</v>
      </c>
      <c r="N236" s="6"/>
      <c r="O236" s="6"/>
      <c r="P236" s="6"/>
      <c r="Q236" s="6"/>
      <c r="R236" s="6"/>
      <c r="S236" s="6"/>
    </row>
    <row r="237" spans="1:19" s="116" customFormat="1" ht="12.75">
      <c r="A237" s="224"/>
      <c r="B237" s="224"/>
      <c r="C237" s="115" t="s">
        <v>330</v>
      </c>
      <c r="D237" s="107">
        <f>SUM(D235:D236)</f>
        <v>70000000</v>
      </c>
      <c r="E237" s="107">
        <f aca="true" t="shared" si="63" ref="E237:K237">SUM(E235:E236)</f>
        <v>10346147</v>
      </c>
      <c r="F237" s="107">
        <f t="shared" si="63"/>
        <v>0</v>
      </c>
      <c r="G237" s="107">
        <f t="shared" si="63"/>
        <v>0</v>
      </c>
      <c r="H237" s="107">
        <f t="shared" si="63"/>
        <v>20000000</v>
      </c>
      <c r="I237" s="98">
        <f t="shared" si="56"/>
        <v>60346147</v>
      </c>
      <c r="J237" s="107">
        <f t="shared" si="63"/>
        <v>60345249</v>
      </c>
      <c r="K237" s="107">
        <f t="shared" si="63"/>
        <v>60345249</v>
      </c>
      <c r="L237" s="98">
        <f t="shared" si="57"/>
        <v>898</v>
      </c>
      <c r="M237" s="113">
        <f t="shared" si="58"/>
        <v>0</v>
      </c>
      <c r="N237" s="8"/>
      <c r="O237" s="8"/>
      <c r="P237" s="8"/>
      <c r="Q237" s="8"/>
      <c r="R237" s="8"/>
      <c r="S237" s="8"/>
    </row>
    <row r="238" spans="1:19" ht="12.75">
      <c r="A238" s="237" t="s">
        <v>406</v>
      </c>
      <c r="B238" s="237" t="s">
        <v>407</v>
      </c>
      <c r="C238" s="111" t="s">
        <v>328</v>
      </c>
      <c r="D238" s="107"/>
      <c r="E238" s="122"/>
      <c r="F238" s="6"/>
      <c r="G238" s="6"/>
      <c r="H238" s="6"/>
      <c r="I238" s="102">
        <f t="shared" si="56"/>
        <v>0</v>
      </c>
      <c r="J238" s="112"/>
      <c r="K238" s="112"/>
      <c r="L238" s="102">
        <f>+I238-K238</f>
        <v>0</v>
      </c>
      <c r="M238" s="113">
        <f>+J238-K238</f>
        <v>0</v>
      </c>
      <c r="N238" s="6"/>
      <c r="O238" s="6"/>
      <c r="P238" s="6"/>
      <c r="Q238" s="6"/>
      <c r="R238" s="6"/>
      <c r="S238" s="6"/>
    </row>
    <row r="239" spans="1:19" ht="12.75">
      <c r="A239" s="238"/>
      <c r="B239" s="238"/>
      <c r="C239" s="111" t="s">
        <v>329</v>
      </c>
      <c r="D239" s="107"/>
      <c r="E239" s="112"/>
      <c r="F239" s="6"/>
      <c r="G239" s="6"/>
      <c r="H239" s="6"/>
      <c r="I239" s="102">
        <f t="shared" si="56"/>
        <v>0</v>
      </c>
      <c r="J239" s="112"/>
      <c r="K239" s="112"/>
      <c r="L239" s="102">
        <f t="shared" si="57"/>
        <v>0</v>
      </c>
      <c r="M239" s="113">
        <f t="shared" si="58"/>
        <v>0</v>
      </c>
      <c r="N239" s="6"/>
      <c r="O239" s="6"/>
      <c r="P239" s="6"/>
      <c r="Q239" s="6"/>
      <c r="R239" s="6"/>
      <c r="S239" s="6"/>
    </row>
    <row r="240" spans="1:19" ht="12.75">
      <c r="A240" s="238"/>
      <c r="B240" s="238"/>
      <c r="C240" s="111" t="s">
        <v>408</v>
      </c>
      <c r="D240" s="107"/>
      <c r="E240" s="112">
        <f>7643730.31+142500000</f>
        <v>150143730.31</v>
      </c>
      <c r="F240" s="6"/>
      <c r="G240" s="6"/>
      <c r="H240" s="6"/>
      <c r="I240" s="102">
        <f t="shared" si="56"/>
        <v>150143730.31</v>
      </c>
      <c r="J240" s="112">
        <v>150143730</v>
      </c>
      <c r="K240" s="112">
        <v>70426758</v>
      </c>
      <c r="L240" s="102">
        <f>+I240-K240</f>
        <v>79716972.31</v>
      </c>
      <c r="M240" s="113">
        <f>+J240-K240</f>
        <v>79716972</v>
      </c>
      <c r="N240" s="6"/>
      <c r="O240" s="6"/>
      <c r="P240" s="6"/>
      <c r="Q240" s="6"/>
      <c r="R240" s="6"/>
      <c r="S240" s="6"/>
    </row>
    <row r="241" spans="1:19" s="116" customFormat="1" ht="12.75">
      <c r="A241" s="224"/>
      <c r="B241" s="224"/>
      <c r="C241" s="115" t="s">
        <v>330</v>
      </c>
      <c r="D241" s="107">
        <f>SUM(D238:D240)</f>
        <v>0</v>
      </c>
      <c r="E241" s="107">
        <f>SUM(E238:E240)</f>
        <v>150143730.31</v>
      </c>
      <c r="F241" s="107">
        <f>SUM(F238:F240)</f>
        <v>0</v>
      </c>
      <c r="G241" s="107">
        <f>SUM(G238:G240)</f>
        <v>0</v>
      </c>
      <c r="H241" s="107">
        <f>SUM(H238:H240)</f>
        <v>0</v>
      </c>
      <c r="I241" s="98">
        <f t="shared" si="56"/>
        <v>150143730.31</v>
      </c>
      <c r="J241" s="107">
        <f>SUM(J238:J240)</f>
        <v>150143730</v>
      </c>
      <c r="K241" s="107">
        <f>SUM(K238:K240)</f>
        <v>70426758</v>
      </c>
      <c r="L241" s="98">
        <f t="shared" si="57"/>
        <v>79716972.31</v>
      </c>
      <c r="M241" s="108">
        <f t="shared" si="58"/>
        <v>79716972</v>
      </c>
      <c r="N241" s="8"/>
      <c r="O241" s="8"/>
      <c r="P241" s="8"/>
      <c r="Q241" s="8"/>
      <c r="R241" s="8"/>
      <c r="S241" s="8"/>
    </row>
    <row r="242" spans="1:19" ht="10.5" customHeight="1">
      <c r="A242" s="101"/>
      <c r="B242" s="101"/>
      <c r="C242" s="101"/>
      <c r="D242" s="107"/>
      <c r="E242" s="112"/>
      <c r="F242" s="6"/>
      <c r="G242" s="6"/>
      <c r="H242" s="6"/>
      <c r="I242" s="102">
        <f t="shared" si="56"/>
        <v>0</v>
      </c>
      <c r="J242" s="112"/>
      <c r="K242" s="112"/>
      <c r="L242" s="102">
        <f t="shared" si="57"/>
        <v>0</v>
      </c>
      <c r="M242" s="113">
        <f t="shared" si="58"/>
        <v>0</v>
      </c>
      <c r="N242" s="6"/>
      <c r="O242" s="6"/>
      <c r="P242" s="6"/>
      <c r="Q242" s="6"/>
      <c r="R242" s="6"/>
      <c r="S242" s="6"/>
    </row>
    <row r="243" spans="1:19" s="100" customFormat="1" ht="15">
      <c r="A243" s="95" t="s">
        <v>409</v>
      </c>
      <c r="B243" s="96" t="s">
        <v>410</v>
      </c>
      <c r="C243" s="96"/>
      <c r="D243" s="106">
        <f>+D246+D249+D252</f>
        <v>58104979</v>
      </c>
      <c r="E243" s="106">
        <f aca="true" t="shared" si="64" ref="E243:K243">+E246+E249+E252</f>
        <v>0</v>
      </c>
      <c r="F243" s="106">
        <f t="shared" si="64"/>
        <v>0</v>
      </c>
      <c r="G243" s="106">
        <f t="shared" si="64"/>
        <v>0</v>
      </c>
      <c r="H243" s="106">
        <f t="shared" si="64"/>
        <v>1000000</v>
      </c>
      <c r="I243" s="98">
        <f t="shared" si="56"/>
        <v>57104979</v>
      </c>
      <c r="J243" s="107">
        <f t="shared" si="64"/>
        <v>57104979</v>
      </c>
      <c r="K243" s="107">
        <f t="shared" si="64"/>
        <v>43880140</v>
      </c>
      <c r="L243" s="98">
        <f t="shared" si="57"/>
        <v>13224839</v>
      </c>
      <c r="M243" s="108">
        <f t="shared" si="58"/>
        <v>13224839</v>
      </c>
      <c r="N243" s="64"/>
      <c r="O243" s="64"/>
      <c r="P243" s="64"/>
      <c r="Q243" s="64"/>
      <c r="R243" s="64"/>
      <c r="S243" s="64"/>
    </row>
    <row r="244" spans="1:19" ht="12.75">
      <c r="A244" s="242" t="s">
        <v>411</v>
      </c>
      <c r="B244" s="242" t="s">
        <v>88</v>
      </c>
      <c r="C244" s="111" t="s">
        <v>328</v>
      </c>
      <c r="D244" s="111">
        <v>0</v>
      </c>
      <c r="E244" s="6"/>
      <c r="F244" s="6"/>
      <c r="G244" s="6"/>
      <c r="H244" s="6"/>
      <c r="I244" s="102">
        <f t="shared" si="56"/>
        <v>0</v>
      </c>
      <c r="J244" s="112"/>
      <c r="K244" s="112"/>
      <c r="L244" s="102">
        <f t="shared" si="57"/>
        <v>0</v>
      </c>
      <c r="M244" s="113">
        <f t="shared" si="58"/>
        <v>0</v>
      </c>
      <c r="N244" s="6"/>
      <c r="O244" s="6"/>
      <c r="P244" s="6"/>
      <c r="Q244" s="6"/>
      <c r="R244" s="6"/>
      <c r="S244" s="6"/>
    </row>
    <row r="245" spans="1:19" ht="12.75">
      <c r="A245" s="243"/>
      <c r="B245" s="243"/>
      <c r="C245" s="111" t="s">
        <v>329</v>
      </c>
      <c r="D245" s="111">
        <v>3000000</v>
      </c>
      <c r="E245" s="6"/>
      <c r="F245" s="6"/>
      <c r="G245" s="6"/>
      <c r="H245" s="6"/>
      <c r="I245" s="102">
        <f t="shared" si="56"/>
        <v>3000000</v>
      </c>
      <c r="J245" s="112">
        <v>3000000</v>
      </c>
      <c r="K245" s="112">
        <v>3000000</v>
      </c>
      <c r="L245" s="102">
        <f t="shared" si="57"/>
        <v>0</v>
      </c>
      <c r="M245" s="113">
        <f t="shared" si="58"/>
        <v>0</v>
      </c>
      <c r="N245" s="112"/>
      <c r="O245" s="6"/>
      <c r="P245" s="6"/>
      <c r="Q245" s="6"/>
      <c r="R245" s="6"/>
      <c r="S245" s="6"/>
    </row>
    <row r="246" spans="1:19" s="116" customFormat="1" ht="12.75">
      <c r="A246" s="244"/>
      <c r="B246" s="244"/>
      <c r="C246" s="115" t="s">
        <v>330</v>
      </c>
      <c r="D246" s="107">
        <f>SUM(D244:D245)</f>
        <v>3000000</v>
      </c>
      <c r="E246" s="107">
        <f aca="true" t="shared" si="65" ref="E246:K246">SUM(E244:E245)</f>
        <v>0</v>
      </c>
      <c r="F246" s="107">
        <f t="shared" si="65"/>
        <v>0</v>
      </c>
      <c r="G246" s="107">
        <f t="shared" si="65"/>
        <v>0</v>
      </c>
      <c r="H246" s="107">
        <f t="shared" si="65"/>
        <v>0</v>
      </c>
      <c r="I246" s="98">
        <f t="shared" si="56"/>
        <v>3000000</v>
      </c>
      <c r="J246" s="107">
        <f t="shared" si="65"/>
        <v>3000000</v>
      </c>
      <c r="K246" s="107">
        <f t="shared" si="65"/>
        <v>3000000</v>
      </c>
      <c r="L246" s="98">
        <f t="shared" si="57"/>
        <v>0</v>
      </c>
      <c r="M246" s="113">
        <f t="shared" si="58"/>
        <v>0</v>
      </c>
      <c r="N246" s="8"/>
      <c r="O246" s="8"/>
      <c r="P246" s="8"/>
      <c r="Q246" s="8"/>
      <c r="R246" s="8"/>
      <c r="S246" s="8"/>
    </row>
    <row r="247" spans="1:19" ht="13.5" customHeight="1">
      <c r="A247" s="242" t="s">
        <v>412</v>
      </c>
      <c r="B247" s="251" t="s">
        <v>413</v>
      </c>
      <c r="C247" s="111" t="s">
        <v>328</v>
      </c>
      <c r="D247" s="111">
        <v>25000000</v>
      </c>
      <c r="E247" s="6"/>
      <c r="F247" s="6"/>
      <c r="G247" s="6"/>
      <c r="H247" s="112">
        <v>1000000</v>
      </c>
      <c r="I247" s="102">
        <f t="shared" si="56"/>
        <v>24000000</v>
      </c>
      <c r="J247" s="112">
        <v>24000000</v>
      </c>
      <c r="K247" s="112">
        <v>24000000</v>
      </c>
      <c r="L247" s="102">
        <f t="shared" si="57"/>
        <v>0</v>
      </c>
      <c r="M247" s="113">
        <f t="shared" si="58"/>
        <v>0</v>
      </c>
      <c r="N247" s="6"/>
      <c r="O247" s="6"/>
      <c r="P247" s="6"/>
      <c r="Q247" s="6"/>
      <c r="R247" s="6"/>
      <c r="S247" s="6"/>
    </row>
    <row r="248" spans="1:19" ht="12" customHeight="1">
      <c r="A248" s="243"/>
      <c r="B248" s="252"/>
      <c r="C248" s="111" t="s">
        <v>329</v>
      </c>
      <c r="D248" s="111"/>
      <c r="E248" s="6"/>
      <c r="F248" s="6"/>
      <c r="G248" s="6"/>
      <c r="H248" s="6"/>
      <c r="I248" s="102">
        <f t="shared" si="56"/>
        <v>0</v>
      </c>
      <c r="J248" s="112"/>
      <c r="K248" s="112"/>
      <c r="L248" s="102">
        <f t="shared" si="57"/>
        <v>0</v>
      </c>
      <c r="M248" s="113">
        <f t="shared" si="58"/>
        <v>0</v>
      </c>
      <c r="N248" s="6"/>
      <c r="O248" s="6"/>
      <c r="P248" s="6"/>
      <c r="Q248" s="6"/>
      <c r="R248" s="6"/>
      <c r="S248" s="6"/>
    </row>
    <row r="249" spans="1:19" s="116" customFormat="1" ht="12" customHeight="1">
      <c r="A249" s="244"/>
      <c r="B249" s="253"/>
      <c r="C249" s="115" t="s">
        <v>330</v>
      </c>
      <c r="D249" s="107">
        <f>SUM(D247:D248)</f>
        <v>25000000</v>
      </c>
      <c r="E249" s="107">
        <f aca="true" t="shared" si="66" ref="E249:K249">SUM(E247:E248)</f>
        <v>0</v>
      </c>
      <c r="F249" s="107">
        <f t="shared" si="66"/>
        <v>0</v>
      </c>
      <c r="G249" s="107">
        <f t="shared" si="66"/>
        <v>0</v>
      </c>
      <c r="H249" s="107">
        <f t="shared" si="66"/>
        <v>1000000</v>
      </c>
      <c r="I249" s="98">
        <f t="shared" si="56"/>
        <v>24000000</v>
      </c>
      <c r="J249" s="107">
        <f t="shared" si="66"/>
        <v>24000000</v>
      </c>
      <c r="K249" s="107">
        <f t="shared" si="66"/>
        <v>24000000</v>
      </c>
      <c r="L249" s="98">
        <f t="shared" si="57"/>
        <v>0</v>
      </c>
      <c r="M249" s="113">
        <f t="shared" si="58"/>
        <v>0</v>
      </c>
      <c r="N249" s="140"/>
      <c r="O249" s="8"/>
      <c r="P249" s="8"/>
      <c r="Q249" s="8"/>
      <c r="R249" s="8"/>
      <c r="S249" s="8"/>
    </row>
    <row r="250" spans="1:19" ht="12.75">
      <c r="A250" s="242" t="s">
        <v>414</v>
      </c>
      <c r="B250" s="242" t="s">
        <v>415</v>
      </c>
      <c r="C250" s="111" t="s">
        <v>328</v>
      </c>
      <c r="D250" s="111">
        <v>30104979</v>
      </c>
      <c r="E250" s="6"/>
      <c r="F250" s="6"/>
      <c r="G250" s="6"/>
      <c r="H250" s="6"/>
      <c r="I250" s="102">
        <f t="shared" si="56"/>
        <v>30104979</v>
      </c>
      <c r="J250" s="112">
        <f>6000000+8399830+2480310+13224839</f>
        <v>30104979</v>
      </c>
      <c r="K250" s="112">
        <f>6000000+4423268+3976562+2480310</f>
        <v>16880140</v>
      </c>
      <c r="L250" s="102">
        <f t="shared" si="57"/>
        <v>13224839</v>
      </c>
      <c r="M250" s="113">
        <f t="shared" si="58"/>
        <v>13224839</v>
      </c>
      <c r="N250" s="6"/>
      <c r="O250" s="6"/>
      <c r="P250" s="6"/>
      <c r="Q250" s="6"/>
      <c r="R250" s="6"/>
      <c r="S250" s="6"/>
    </row>
    <row r="251" spans="1:19" ht="12.75">
      <c r="A251" s="243"/>
      <c r="B251" s="243"/>
      <c r="C251" s="111" t="s">
        <v>329</v>
      </c>
      <c r="D251" s="111"/>
      <c r="E251" s="6"/>
      <c r="F251" s="6"/>
      <c r="G251" s="6"/>
      <c r="H251" s="6"/>
      <c r="I251" s="102">
        <f t="shared" si="56"/>
        <v>0</v>
      </c>
      <c r="J251" s="112"/>
      <c r="K251" s="112"/>
      <c r="L251" s="102">
        <f t="shared" si="57"/>
        <v>0</v>
      </c>
      <c r="M251" s="113">
        <f t="shared" si="58"/>
        <v>0</v>
      </c>
      <c r="N251" s="6"/>
      <c r="O251" s="6"/>
      <c r="P251" s="6"/>
      <c r="Q251" s="6"/>
      <c r="R251" s="6"/>
      <c r="S251" s="6"/>
    </row>
    <row r="252" spans="1:19" s="116" customFormat="1" ht="12.75">
      <c r="A252" s="244"/>
      <c r="B252" s="244"/>
      <c r="C252" s="115" t="s">
        <v>330</v>
      </c>
      <c r="D252" s="107">
        <f>SUM(D250:D251)</f>
        <v>30104979</v>
      </c>
      <c r="E252" s="107">
        <f aca="true" t="shared" si="67" ref="E252:K252">SUM(E250:E251)</f>
        <v>0</v>
      </c>
      <c r="F252" s="107">
        <f t="shared" si="67"/>
        <v>0</v>
      </c>
      <c r="G252" s="107">
        <f t="shared" si="67"/>
        <v>0</v>
      </c>
      <c r="H252" s="107">
        <f t="shared" si="67"/>
        <v>0</v>
      </c>
      <c r="I252" s="98">
        <f t="shared" si="56"/>
        <v>30104979</v>
      </c>
      <c r="J252" s="107">
        <f t="shared" si="67"/>
        <v>30104979</v>
      </c>
      <c r="K252" s="107">
        <f t="shared" si="67"/>
        <v>16880140</v>
      </c>
      <c r="L252" s="98">
        <f t="shared" si="57"/>
        <v>13224839</v>
      </c>
      <c r="M252" s="108">
        <f t="shared" si="58"/>
        <v>13224839</v>
      </c>
      <c r="N252" s="8"/>
      <c r="O252" s="8"/>
      <c r="P252" s="8"/>
      <c r="Q252" s="8"/>
      <c r="R252" s="8"/>
      <c r="S252" s="8"/>
    </row>
    <row r="253" spans="1:19" s="100" customFormat="1" ht="31.5" customHeight="1">
      <c r="A253" s="95" t="s">
        <v>416</v>
      </c>
      <c r="B253" s="154" t="s">
        <v>78</v>
      </c>
      <c r="C253" s="141"/>
      <c r="D253" s="106">
        <f>+D257+D260</f>
        <v>14000000</v>
      </c>
      <c r="E253" s="106">
        <f aca="true" t="shared" si="68" ref="E253:K253">+E257+E260</f>
        <v>2524750</v>
      </c>
      <c r="F253" s="106">
        <f t="shared" si="68"/>
        <v>0</v>
      </c>
      <c r="G253" s="106">
        <f t="shared" si="68"/>
        <v>0</v>
      </c>
      <c r="H253" s="106">
        <f t="shared" si="68"/>
        <v>0</v>
      </c>
      <c r="I253" s="98">
        <f t="shared" si="56"/>
        <v>16524750</v>
      </c>
      <c r="J253" s="107">
        <f t="shared" si="68"/>
        <v>16524750</v>
      </c>
      <c r="K253" s="107">
        <f t="shared" si="68"/>
        <v>16524750</v>
      </c>
      <c r="L253" s="98">
        <f t="shared" si="57"/>
        <v>0</v>
      </c>
      <c r="M253" s="113">
        <f t="shared" si="58"/>
        <v>0</v>
      </c>
      <c r="N253" s="64"/>
      <c r="O253" s="64"/>
      <c r="P253" s="64"/>
      <c r="Q253" s="64"/>
      <c r="R253" s="64"/>
      <c r="S253" s="64"/>
    </row>
    <row r="254" spans="1:19" ht="12.75">
      <c r="A254" s="101"/>
      <c r="B254" s="129"/>
      <c r="C254" s="129"/>
      <c r="D254" s="111"/>
      <c r="E254" s="6"/>
      <c r="F254" s="6"/>
      <c r="G254" s="6"/>
      <c r="H254" s="6"/>
      <c r="I254" s="102">
        <f t="shared" si="56"/>
        <v>0</v>
      </c>
      <c r="J254" s="6"/>
      <c r="K254" s="6"/>
      <c r="L254" s="102">
        <f t="shared" si="57"/>
        <v>0</v>
      </c>
      <c r="M254" s="113">
        <f t="shared" si="58"/>
        <v>0</v>
      </c>
      <c r="N254" s="6"/>
      <c r="O254" s="6"/>
      <c r="P254" s="6"/>
      <c r="Q254" s="6"/>
      <c r="R254" s="6"/>
      <c r="S254" s="6"/>
    </row>
    <row r="255" spans="1:19" ht="12.75">
      <c r="A255" s="245" t="s">
        <v>417</v>
      </c>
      <c r="B255" s="248" t="s">
        <v>76</v>
      </c>
      <c r="C255" s="111" t="s">
        <v>328</v>
      </c>
      <c r="D255" s="111">
        <v>9000000</v>
      </c>
      <c r="E255" s="6"/>
      <c r="F255" s="6"/>
      <c r="G255" s="6"/>
      <c r="H255" s="6"/>
      <c r="I255" s="102">
        <f t="shared" si="56"/>
        <v>9000000</v>
      </c>
      <c r="J255" s="112">
        <v>9000000</v>
      </c>
      <c r="K255" s="112">
        <v>9000000</v>
      </c>
      <c r="L255" s="102">
        <f t="shared" si="57"/>
        <v>0</v>
      </c>
      <c r="M255" s="113">
        <f t="shared" si="58"/>
        <v>0</v>
      </c>
      <c r="N255" s="10" t="s">
        <v>296</v>
      </c>
      <c r="O255" s="10">
        <v>0</v>
      </c>
      <c r="P255" s="10">
        <v>8</v>
      </c>
      <c r="Q255" s="6"/>
      <c r="R255" s="6"/>
      <c r="S255" s="6"/>
    </row>
    <row r="256" spans="1:19" ht="12.75">
      <c r="A256" s="246"/>
      <c r="B256" s="249"/>
      <c r="C256" s="111" t="s">
        <v>329</v>
      </c>
      <c r="D256" s="111"/>
      <c r="E256" s="6"/>
      <c r="F256" s="6"/>
      <c r="G256" s="6"/>
      <c r="H256" s="6"/>
      <c r="I256" s="102">
        <f t="shared" si="56"/>
        <v>0</v>
      </c>
      <c r="J256" s="112"/>
      <c r="K256" s="112"/>
      <c r="L256" s="102">
        <f t="shared" si="57"/>
        <v>0</v>
      </c>
      <c r="M256" s="113">
        <f t="shared" si="58"/>
        <v>0</v>
      </c>
      <c r="N256" s="10" t="s">
        <v>297</v>
      </c>
      <c r="O256" s="6">
        <v>0</v>
      </c>
      <c r="P256" s="6">
        <v>0</v>
      </c>
      <c r="Q256" s="6"/>
      <c r="R256" s="6"/>
      <c r="S256" s="6"/>
    </row>
    <row r="257" spans="1:19" s="116" customFormat="1" ht="12.75">
      <c r="A257" s="247"/>
      <c r="B257" s="250"/>
      <c r="C257" s="115" t="s">
        <v>330</v>
      </c>
      <c r="D257" s="107">
        <f>SUM(D255:D256)</f>
        <v>9000000</v>
      </c>
      <c r="E257" s="107">
        <f aca="true" t="shared" si="69" ref="E257:K257">SUM(E255:E256)</f>
        <v>0</v>
      </c>
      <c r="F257" s="107">
        <f t="shared" si="69"/>
        <v>0</v>
      </c>
      <c r="G257" s="107">
        <f t="shared" si="69"/>
        <v>0</v>
      </c>
      <c r="H257" s="107">
        <f t="shared" si="69"/>
        <v>0</v>
      </c>
      <c r="I257" s="98">
        <f t="shared" si="56"/>
        <v>9000000</v>
      </c>
      <c r="J257" s="107">
        <f t="shared" si="69"/>
        <v>9000000</v>
      </c>
      <c r="K257" s="107">
        <f t="shared" si="69"/>
        <v>9000000</v>
      </c>
      <c r="L257" s="98">
        <f t="shared" si="57"/>
        <v>0</v>
      </c>
      <c r="M257" s="113">
        <f t="shared" si="58"/>
        <v>0</v>
      </c>
      <c r="N257" s="10" t="s">
        <v>298</v>
      </c>
      <c r="O257" s="10">
        <v>0</v>
      </c>
      <c r="P257" s="10">
        <v>1</v>
      </c>
      <c r="Q257" s="8"/>
      <c r="R257" s="8"/>
      <c r="S257" s="8"/>
    </row>
    <row r="258" spans="1:19" ht="12.75">
      <c r="A258" s="237" t="s">
        <v>418</v>
      </c>
      <c r="B258" s="237" t="s">
        <v>77</v>
      </c>
      <c r="C258" s="111" t="s">
        <v>328</v>
      </c>
      <c r="D258" s="111">
        <v>5000000</v>
      </c>
      <c r="E258" s="135">
        <v>2524750</v>
      </c>
      <c r="F258" s="6"/>
      <c r="G258" s="6"/>
      <c r="H258" s="6"/>
      <c r="I258" s="102">
        <f t="shared" si="56"/>
        <v>7524750</v>
      </c>
      <c r="J258" s="112">
        <v>7524750</v>
      </c>
      <c r="K258" s="112">
        <v>7524750</v>
      </c>
      <c r="L258" s="102">
        <f t="shared" si="57"/>
        <v>0</v>
      </c>
      <c r="M258" s="113">
        <f t="shared" si="58"/>
        <v>0</v>
      </c>
      <c r="N258" s="6"/>
      <c r="O258" s="6"/>
      <c r="P258" s="6"/>
      <c r="Q258" s="6"/>
      <c r="R258" s="6"/>
      <c r="S258" s="6"/>
    </row>
    <row r="259" spans="1:19" ht="12.75">
      <c r="A259" s="238"/>
      <c r="B259" s="238"/>
      <c r="C259" s="111" t="s">
        <v>329</v>
      </c>
      <c r="D259" s="111"/>
      <c r="E259" s="135"/>
      <c r="F259" s="6"/>
      <c r="G259" s="6"/>
      <c r="H259" s="6"/>
      <c r="I259" s="102">
        <f t="shared" si="56"/>
        <v>0</v>
      </c>
      <c r="J259" s="112"/>
      <c r="K259" s="112"/>
      <c r="L259" s="102">
        <f t="shared" si="57"/>
        <v>0</v>
      </c>
      <c r="M259" s="113">
        <f t="shared" si="58"/>
        <v>0</v>
      </c>
      <c r="N259" s="112"/>
      <c r="O259" s="6"/>
      <c r="P259" s="6"/>
      <c r="Q259" s="6"/>
      <c r="R259" s="6"/>
      <c r="S259" s="6"/>
    </row>
    <row r="260" spans="1:19" s="116" customFormat="1" ht="12.75">
      <c r="A260" s="224"/>
      <c r="B260" s="224"/>
      <c r="C260" s="115" t="s">
        <v>330</v>
      </c>
      <c r="D260" s="107">
        <f>SUM(D258:D259)</f>
        <v>5000000</v>
      </c>
      <c r="E260" s="107">
        <f aca="true" t="shared" si="70" ref="E260:K260">SUM(E258:E259)</f>
        <v>2524750</v>
      </c>
      <c r="F260" s="107">
        <f t="shared" si="70"/>
        <v>0</v>
      </c>
      <c r="G260" s="107">
        <f t="shared" si="70"/>
        <v>0</v>
      </c>
      <c r="H260" s="107">
        <f t="shared" si="70"/>
        <v>0</v>
      </c>
      <c r="I260" s="98">
        <f t="shared" si="56"/>
        <v>7524750</v>
      </c>
      <c r="J260" s="107">
        <f t="shared" si="70"/>
        <v>7524750</v>
      </c>
      <c r="K260" s="107">
        <f t="shared" si="70"/>
        <v>7524750</v>
      </c>
      <c r="L260" s="98">
        <f t="shared" si="57"/>
        <v>0</v>
      </c>
      <c r="M260" s="113">
        <f t="shared" si="58"/>
        <v>0</v>
      </c>
      <c r="N260" s="8"/>
      <c r="O260" s="8"/>
      <c r="P260" s="8"/>
      <c r="Q260" s="8"/>
      <c r="R260" s="8"/>
      <c r="S260" s="8"/>
    </row>
    <row r="261" spans="1:19" ht="12.75">
      <c r="A261" s="101"/>
      <c r="B261" s="111"/>
      <c r="C261" s="111"/>
      <c r="D261" s="111"/>
      <c r="E261" s="6"/>
      <c r="F261" s="6"/>
      <c r="G261" s="6"/>
      <c r="H261" s="6"/>
      <c r="I261" s="102">
        <f t="shared" si="56"/>
        <v>0</v>
      </c>
      <c r="J261" s="6"/>
      <c r="K261" s="6"/>
      <c r="L261" s="102">
        <f t="shared" si="57"/>
        <v>0</v>
      </c>
      <c r="M261" s="113">
        <f t="shared" si="58"/>
        <v>0</v>
      </c>
      <c r="N261" s="6"/>
      <c r="O261" s="6"/>
      <c r="P261" s="6"/>
      <c r="Q261" s="6"/>
      <c r="R261" s="6"/>
      <c r="S261" s="6"/>
    </row>
    <row r="262" spans="1:19" s="100" customFormat="1" ht="15">
      <c r="A262" s="95" t="s">
        <v>419</v>
      </c>
      <c r="B262" s="96" t="s">
        <v>420</v>
      </c>
      <c r="C262" s="96"/>
      <c r="D262" s="106">
        <f>+D265</f>
        <v>0</v>
      </c>
      <c r="E262" s="106">
        <v>0</v>
      </c>
      <c r="F262" s="106">
        <v>0</v>
      </c>
      <c r="G262" s="106">
        <v>0</v>
      </c>
      <c r="H262" s="106">
        <v>0</v>
      </c>
      <c r="I262" s="102">
        <f t="shared" si="56"/>
        <v>0</v>
      </c>
      <c r="J262" s="107">
        <v>0</v>
      </c>
      <c r="K262" s="107">
        <v>0</v>
      </c>
      <c r="L262" s="102">
        <f t="shared" si="57"/>
        <v>0</v>
      </c>
      <c r="M262" s="113">
        <f t="shared" si="58"/>
        <v>0</v>
      </c>
      <c r="N262" s="64"/>
      <c r="O262" s="64"/>
      <c r="P262" s="64"/>
      <c r="Q262" s="64"/>
      <c r="R262" s="64"/>
      <c r="S262" s="64"/>
    </row>
    <row r="263" spans="1:19" ht="15.75" customHeight="1">
      <c r="A263" s="237" t="s">
        <v>421</v>
      </c>
      <c r="B263" s="237" t="s">
        <v>422</v>
      </c>
      <c r="C263" s="111" t="s">
        <v>328</v>
      </c>
      <c r="D263" s="111">
        <v>0</v>
      </c>
      <c r="E263" s="6"/>
      <c r="F263" s="6"/>
      <c r="G263" s="6"/>
      <c r="H263" s="6"/>
      <c r="I263" s="102">
        <f t="shared" si="56"/>
        <v>0</v>
      </c>
      <c r="J263" s="6"/>
      <c r="K263" s="6"/>
      <c r="L263" s="102">
        <f t="shared" si="57"/>
        <v>0</v>
      </c>
      <c r="M263" s="113">
        <f t="shared" si="58"/>
        <v>0</v>
      </c>
      <c r="N263" s="66" t="s">
        <v>299</v>
      </c>
      <c r="O263" s="10">
        <v>180</v>
      </c>
      <c r="P263" s="10">
        <v>240</v>
      </c>
      <c r="Q263" s="6"/>
      <c r="R263" s="6"/>
      <c r="S263" s="6"/>
    </row>
    <row r="264" spans="1:19" ht="15.75" customHeight="1">
      <c r="A264" s="238"/>
      <c r="B264" s="238"/>
      <c r="C264" s="111" t="s">
        <v>329</v>
      </c>
      <c r="D264" s="111"/>
      <c r="E264" s="6"/>
      <c r="F264" s="6"/>
      <c r="G264" s="6"/>
      <c r="H264" s="6"/>
      <c r="I264" s="102">
        <f t="shared" si="56"/>
        <v>0</v>
      </c>
      <c r="J264" s="6"/>
      <c r="K264" s="6"/>
      <c r="L264" s="102">
        <f t="shared" si="57"/>
        <v>0</v>
      </c>
      <c r="M264" s="113">
        <f t="shared" si="58"/>
        <v>0</v>
      </c>
      <c r="N264" s="6"/>
      <c r="O264" s="6"/>
      <c r="P264" s="6"/>
      <c r="Q264" s="6"/>
      <c r="R264" s="6"/>
      <c r="S264" s="6"/>
    </row>
    <row r="265" spans="1:19" s="116" customFormat="1" ht="15.75" customHeight="1">
      <c r="A265" s="224"/>
      <c r="B265" s="224"/>
      <c r="C265" s="115" t="s">
        <v>330</v>
      </c>
      <c r="D265" s="107">
        <f>SUM(D263:D264)</f>
        <v>0</v>
      </c>
      <c r="E265" s="107">
        <f aca="true" t="shared" si="71" ref="E265:K265">SUM(E263:E264)</f>
        <v>0</v>
      </c>
      <c r="F265" s="107">
        <f t="shared" si="71"/>
        <v>0</v>
      </c>
      <c r="G265" s="107">
        <f t="shared" si="71"/>
        <v>0</v>
      </c>
      <c r="H265" s="107">
        <f t="shared" si="71"/>
        <v>0</v>
      </c>
      <c r="I265" s="98">
        <f t="shared" si="56"/>
        <v>0</v>
      </c>
      <c r="J265" s="107">
        <f t="shared" si="71"/>
        <v>0</v>
      </c>
      <c r="K265" s="107">
        <f t="shared" si="71"/>
        <v>0</v>
      </c>
      <c r="L265" s="98">
        <f t="shared" si="57"/>
        <v>0</v>
      </c>
      <c r="M265" s="113">
        <f t="shared" si="58"/>
        <v>0</v>
      </c>
      <c r="N265" s="8"/>
      <c r="O265" s="8"/>
      <c r="P265" s="8"/>
      <c r="Q265" s="8"/>
      <c r="R265" s="8"/>
      <c r="S265" s="8"/>
    </row>
    <row r="266" spans="1:19" s="100" customFormat="1" ht="30">
      <c r="A266" s="95" t="s">
        <v>423</v>
      </c>
      <c r="B266" s="154" t="s">
        <v>424</v>
      </c>
      <c r="C266" s="141"/>
      <c r="D266" s="106">
        <f>+D269+D273+D277+D280+D283+D286+D289+D292+D295</f>
        <v>75053238</v>
      </c>
      <c r="E266" s="106">
        <f>+E269+E273+E277+E280+E283+E286+E289+E292+E295</f>
        <v>36971058</v>
      </c>
      <c r="F266" s="106">
        <f>+F269+F273+F277+F280+F283+F286+F289+F292+F295</f>
        <v>5259792</v>
      </c>
      <c r="G266" s="106">
        <f>+G269+G273+G277+G280+G283+G286+G289+G292+G295</f>
        <v>0</v>
      </c>
      <c r="H266" s="106">
        <f>+H269+H273+H277+H280+H283+H286+H289+H292+H295</f>
        <v>6061026</v>
      </c>
      <c r="I266" s="98">
        <f t="shared" si="56"/>
        <v>111223062</v>
      </c>
      <c r="J266" s="107">
        <f>+J269+J273+J277+J280+J283+J286+J289+J292+J295</f>
        <v>108044078</v>
      </c>
      <c r="K266" s="107">
        <f>+K269+K273+K277+K280+K283+K286+K289+K292+K295</f>
        <v>99800124</v>
      </c>
      <c r="L266" s="98">
        <f t="shared" si="57"/>
        <v>11422938</v>
      </c>
      <c r="M266" s="108">
        <f t="shared" si="58"/>
        <v>8243954</v>
      </c>
      <c r="N266" s="64"/>
      <c r="O266" s="64"/>
      <c r="P266" s="64"/>
      <c r="Q266" s="64"/>
      <c r="R266" s="64"/>
      <c r="S266" s="64"/>
    </row>
    <row r="267" spans="1:19" ht="12.75">
      <c r="A267" s="237" t="s">
        <v>425</v>
      </c>
      <c r="B267" s="237" t="s">
        <v>426</v>
      </c>
      <c r="C267" s="111" t="s">
        <v>328</v>
      </c>
      <c r="D267" s="102">
        <v>0</v>
      </c>
      <c r="E267" s="112">
        <f>8118954</f>
        <v>8118954</v>
      </c>
      <c r="F267" s="6"/>
      <c r="G267" s="6"/>
      <c r="H267" s="6"/>
      <c r="I267" s="102">
        <f t="shared" si="56"/>
        <v>8118954</v>
      </c>
      <c r="J267" s="102">
        <v>8118954</v>
      </c>
      <c r="K267" s="6"/>
      <c r="L267" s="102">
        <f t="shared" si="57"/>
        <v>8118954</v>
      </c>
      <c r="M267" s="113">
        <f t="shared" si="58"/>
        <v>8118954</v>
      </c>
      <c r="N267" s="6"/>
      <c r="O267" s="6"/>
      <c r="P267" s="6"/>
      <c r="Q267" s="6"/>
      <c r="R267" s="6"/>
      <c r="S267" s="6"/>
    </row>
    <row r="268" spans="1:19" ht="12.75">
      <c r="A268" s="238"/>
      <c r="B268" s="238"/>
      <c r="C268" s="111" t="s">
        <v>329</v>
      </c>
      <c r="D268" s="102"/>
      <c r="E268" s="112"/>
      <c r="F268" s="6"/>
      <c r="G268" s="6"/>
      <c r="H268" s="6"/>
      <c r="I268" s="102">
        <f t="shared" si="56"/>
        <v>0</v>
      </c>
      <c r="J268" s="6"/>
      <c r="K268" s="6"/>
      <c r="L268" s="102">
        <f t="shared" si="57"/>
        <v>0</v>
      </c>
      <c r="M268" s="113">
        <f t="shared" si="58"/>
        <v>0</v>
      </c>
      <c r="N268" s="6"/>
      <c r="O268" s="6"/>
      <c r="P268" s="6"/>
      <c r="Q268" s="6"/>
      <c r="R268" s="6"/>
      <c r="S268" s="6"/>
    </row>
    <row r="269" spans="1:19" s="116" customFormat="1" ht="12.75">
      <c r="A269" s="224"/>
      <c r="B269" s="224"/>
      <c r="C269" s="115" t="s">
        <v>330</v>
      </c>
      <c r="D269" s="98">
        <f>SUM(D267:D268)</f>
        <v>0</v>
      </c>
      <c r="E269" s="98">
        <f>SUM(E267:E268)</f>
        <v>8118954</v>
      </c>
      <c r="F269" s="98">
        <f>SUM(F267:F268)</f>
        <v>0</v>
      </c>
      <c r="G269" s="98">
        <f>SUM(G267:G268)</f>
        <v>0</v>
      </c>
      <c r="H269" s="98">
        <f>SUM(H267:H268)</f>
        <v>0</v>
      </c>
      <c r="I269" s="98">
        <f t="shared" si="56"/>
        <v>8118954</v>
      </c>
      <c r="J269" s="98">
        <f>SUM(J267:J268)</f>
        <v>8118954</v>
      </c>
      <c r="K269" s="98">
        <f>SUM(K267:K268)</f>
        <v>0</v>
      </c>
      <c r="L269" s="98">
        <f t="shared" si="57"/>
        <v>8118954</v>
      </c>
      <c r="M269" s="108">
        <f t="shared" si="58"/>
        <v>8118954</v>
      </c>
      <c r="N269" s="8"/>
      <c r="O269" s="8"/>
      <c r="P269" s="8"/>
      <c r="Q269" s="8"/>
      <c r="R269" s="8"/>
      <c r="S269" s="8"/>
    </row>
    <row r="270" spans="1:19" s="116" customFormat="1" ht="12.75">
      <c r="A270" s="91"/>
      <c r="B270" s="91"/>
      <c r="C270" s="115"/>
      <c r="D270" s="98"/>
      <c r="E270" s="98"/>
      <c r="F270" s="98"/>
      <c r="G270" s="98"/>
      <c r="H270" s="98"/>
      <c r="I270" s="98"/>
      <c r="J270" s="98"/>
      <c r="K270" s="98"/>
      <c r="L270" s="98"/>
      <c r="M270" s="113"/>
      <c r="N270" s="8"/>
      <c r="O270" s="8"/>
      <c r="P270" s="8"/>
      <c r="Q270" s="8"/>
      <c r="R270" s="8"/>
      <c r="S270" s="8"/>
    </row>
    <row r="271" spans="1:19" ht="12.75">
      <c r="A271" s="237" t="s">
        <v>427</v>
      </c>
      <c r="B271" s="242" t="s">
        <v>428</v>
      </c>
      <c r="C271" s="111" t="s">
        <v>328</v>
      </c>
      <c r="D271" s="111">
        <v>19053239</v>
      </c>
      <c r="E271" s="112">
        <f>2153998+56735</f>
        <v>2210733</v>
      </c>
      <c r="F271" s="102">
        <v>3445477</v>
      </c>
      <c r="G271" s="6"/>
      <c r="H271" s="6"/>
      <c r="I271" s="102">
        <f t="shared" si="56"/>
        <v>24709449</v>
      </c>
      <c r="J271" s="112">
        <v>24709449</v>
      </c>
      <c r="K271" s="112">
        <v>24709449</v>
      </c>
      <c r="L271" s="102">
        <f t="shared" si="57"/>
        <v>0</v>
      </c>
      <c r="M271" s="113">
        <f t="shared" si="58"/>
        <v>0</v>
      </c>
      <c r="N271" s="6"/>
      <c r="O271" s="6"/>
      <c r="P271" s="6"/>
      <c r="Q271" s="6"/>
      <c r="R271" s="6"/>
      <c r="S271" s="6"/>
    </row>
    <row r="272" spans="1:19" ht="12.75">
      <c r="A272" s="238"/>
      <c r="B272" s="243"/>
      <c r="C272" s="111" t="s">
        <v>329</v>
      </c>
      <c r="D272" s="111"/>
      <c r="E272" s="112">
        <v>3873521</v>
      </c>
      <c r="F272" s="102">
        <v>314315</v>
      </c>
      <c r="G272" s="6"/>
      <c r="H272" s="6"/>
      <c r="I272" s="102">
        <f t="shared" si="56"/>
        <v>4187836</v>
      </c>
      <c r="J272" s="112">
        <f>4187836-71549</f>
        <v>4116287</v>
      </c>
      <c r="K272" s="112">
        <f>4062836-71549</f>
        <v>3991287</v>
      </c>
      <c r="L272" s="102">
        <f t="shared" si="57"/>
        <v>196549</v>
      </c>
      <c r="M272" s="113">
        <f t="shared" si="58"/>
        <v>125000</v>
      </c>
      <c r="N272" s="6"/>
      <c r="O272" s="6"/>
      <c r="P272" s="6"/>
      <c r="Q272" s="6"/>
      <c r="R272" s="6"/>
      <c r="S272" s="6"/>
    </row>
    <row r="273" spans="1:19" s="116" customFormat="1" ht="12.75">
      <c r="A273" s="224"/>
      <c r="B273" s="244"/>
      <c r="C273" s="115" t="s">
        <v>330</v>
      </c>
      <c r="D273" s="107">
        <f>SUM(D271:D272)</f>
        <v>19053239</v>
      </c>
      <c r="E273" s="107">
        <f aca="true" t="shared" si="72" ref="E273:K273">SUM(E271:E272)</f>
        <v>6084254</v>
      </c>
      <c r="F273" s="107">
        <f t="shared" si="72"/>
        <v>3759792</v>
      </c>
      <c r="G273" s="107">
        <f t="shared" si="72"/>
        <v>0</v>
      </c>
      <c r="H273" s="107">
        <f t="shared" si="72"/>
        <v>0</v>
      </c>
      <c r="I273" s="98">
        <f t="shared" si="56"/>
        <v>28897285</v>
      </c>
      <c r="J273" s="107">
        <f t="shared" si="72"/>
        <v>28825736</v>
      </c>
      <c r="K273" s="107">
        <f t="shared" si="72"/>
        <v>28700736</v>
      </c>
      <c r="L273" s="98">
        <f t="shared" si="57"/>
        <v>196549</v>
      </c>
      <c r="M273" s="108">
        <f t="shared" si="58"/>
        <v>125000</v>
      </c>
      <c r="N273" s="8"/>
      <c r="O273" s="8"/>
      <c r="P273" s="8"/>
      <c r="Q273" s="8"/>
      <c r="R273" s="8"/>
      <c r="S273" s="8"/>
    </row>
    <row r="274" spans="1:19" ht="12.75">
      <c r="A274" s="237" t="s">
        <v>429</v>
      </c>
      <c r="B274" s="242" t="s">
        <v>83</v>
      </c>
      <c r="C274" s="111" t="s">
        <v>328</v>
      </c>
      <c r="D274" s="111">
        <v>21703152</v>
      </c>
      <c r="E274" s="122"/>
      <c r="F274" s="6"/>
      <c r="G274" s="6"/>
      <c r="H274" s="6"/>
      <c r="I274" s="102">
        <f t="shared" si="56"/>
        <v>21703152</v>
      </c>
      <c r="J274" s="112">
        <v>21703152</v>
      </c>
      <c r="K274" s="112">
        <v>21703152</v>
      </c>
      <c r="L274" s="102">
        <f t="shared" si="57"/>
        <v>0</v>
      </c>
      <c r="M274" s="113">
        <f t="shared" si="58"/>
        <v>0</v>
      </c>
      <c r="N274" s="6"/>
      <c r="O274" s="6"/>
      <c r="P274" s="6"/>
      <c r="Q274" s="6"/>
      <c r="R274" s="6"/>
      <c r="S274" s="6"/>
    </row>
    <row r="275" spans="1:19" ht="12.75">
      <c r="A275" s="238"/>
      <c r="B275" s="243"/>
      <c r="C275" s="111" t="s">
        <v>329</v>
      </c>
      <c r="D275" s="111"/>
      <c r="E275" s="135"/>
      <c r="F275" s="6"/>
      <c r="G275" s="6"/>
      <c r="H275" s="6"/>
      <c r="I275" s="102">
        <f t="shared" si="56"/>
        <v>0</v>
      </c>
      <c r="J275" s="112"/>
      <c r="K275" s="112"/>
      <c r="L275" s="102">
        <f t="shared" si="57"/>
        <v>0</v>
      </c>
      <c r="M275" s="113">
        <f t="shared" si="58"/>
        <v>0</v>
      </c>
      <c r="N275" s="6"/>
      <c r="O275" s="6"/>
      <c r="P275" s="6"/>
      <c r="Q275" s="6"/>
      <c r="R275" s="6"/>
      <c r="S275" s="6"/>
    </row>
    <row r="276" spans="1:19" ht="12.75">
      <c r="A276" s="238"/>
      <c r="B276" s="243"/>
      <c r="C276" s="111" t="s">
        <v>369</v>
      </c>
      <c r="D276" s="111">
        <v>2999999</v>
      </c>
      <c r="E276" s="135">
        <f>7234720+3704273</f>
        <v>10938993</v>
      </c>
      <c r="F276" s="6"/>
      <c r="G276" s="6"/>
      <c r="H276" s="6"/>
      <c r="I276" s="102">
        <f t="shared" si="56"/>
        <v>13938992</v>
      </c>
      <c r="J276" s="112">
        <v>11865064</v>
      </c>
      <c r="K276" s="112">
        <v>11865064</v>
      </c>
      <c r="L276" s="102">
        <f t="shared" si="57"/>
        <v>2073928</v>
      </c>
      <c r="M276" s="113">
        <f t="shared" si="58"/>
        <v>0</v>
      </c>
      <c r="N276" s="112"/>
      <c r="O276" s="6"/>
      <c r="P276" s="6"/>
      <c r="Q276" s="6"/>
      <c r="R276" s="6"/>
      <c r="S276" s="6"/>
    </row>
    <row r="277" spans="1:19" s="116" customFormat="1" ht="12.75">
      <c r="A277" s="224"/>
      <c r="B277" s="244"/>
      <c r="C277" s="115" t="s">
        <v>330</v>
      </c>
      <c r="D277" s="107">
        <f>SUM(D274:D276)</f>
        <v>24703151</v>
      </c>
      <c r="E277" s="107">
        <f aca="true" t="shared" si="73" ref="E277:K277">SUM(E274:E276)</f>
        <v>10938993</v>
      </c>
      <c r="F277" s="107">
        <f t="shared" si="73"/>
        <v>0</v>
      </c>
      <c r="G277" s="107">
        <f t="shared" si="73"/>
        <v>0</v>
      </c>
      <c r="H277" s="107">
        <f t="shared" si="73"/>
        <v>0</v>
      </c>
      <c r="I277" s="98">
        <f t="shared" si="56"/>
        <v>35642144</v>
      </c>
      <c r="J277" s="107">
        <f t="shared" si="73"/>
        <v>33568216</v>
      </c>
      <c r="K277" s="107">
        <f t="shared" si="73"/>
        <v>33568216</v>
      </c>
      <c r="L277" s="98">
        <f t="shared" si="57"/>
        <v>2073928</v>
      </c>
      <c r="M277" s="108">
        <f t="shared" si="58"/>
        <v>0</v>
      </c>
      <c r="N277" s="140"/>
      <c r="O277" s="8"/>
      <c r="P277" s="8"/>
      <c r="Q277" s="8"/>
      <c r="R277" s="8"/>
      <c r="S277" s="8"/>
    </row>
    <row r="278" spans="1:19" ht="15">
      <c r="A278" s="237" t="s">
        <v>430</v>
      </c>
      <c r="B278" s="251" t="s">
        <v>431</v>
      </c>
      <c r="C278" s="111" t="s">
        <v>328</v>
      </c>
      <c r="D278" s="111">
        <v>2000000</v>
      </c>
      <c r="E278" s="6"/>
      <c r="F278" s="6"/>
      <c r="G278" s="6"/>
      <c r="H278" s="153">
        <v>1500000</v>
      </c>
      <c r="I278" s="102">
        <f t="shared" si="56"/>
        <v>500000</v>
      </c>
      <c r="J278" s="112">
        <v>500000</v>
      </c>
      <c r="K278" s="112">
        <v>500000</v>
      </c>
      <c r="L278" s="102">
        <f t="shared" si="57"/>
        <v>0</v>
      </c>
      <c r="M278" s="113">
        <f t="shared" si="58"/>
        <v>0</v>
      </c>
      <c r="N278" s="6"/>
      <c r="O278" s="6"/>
      <c r="P278" s="6"/>
      <c r="Q278" s="6"/>
      <c r="R278" s="6"/>
      <c r="S278" s="6"/>
    </row>
    <row r="279" spans="1:19" ht="12.75">
      <c r="A279" s="238"/>
      <c r="B279" s="252"/>
      <c r="C279" s="111" t="s">
        <v>329</v>
      </c>
      <c r="D279" s="111"/>
      <c r="E279" s="6"/>
      <c r="F279" s="6"/>
      <c r="G279" s="6"/>
      <c r="H279" s="6"/>
      <c r="I279" s="102">
        <f t="shared" si="56"/>
        <v>0</v>
      </c>
      <c r="J279" s="112"/>
      <c r="K279" s="112"/>
      <c r="L279" s="102">
        <f t="shared" si="57"/>
        <v>0</v>
      </c>
      <c r="M279" s="113">
        <f t="shared" si="58"/>
        <v>0</v>
      </c>
      <c r="N279" s="6"/>
      <c r="O279" s="6"/>
      <c r="P279" s="6"/>
      <c r="Q279" s="6"/>
      <c r="R279" s="6"/>
      <c r="S279" s="6"/>
    </row>
    <row r="280" spans="1:19" s="116" customFormat="1" ht="12.75">
      <c r="A280" s="224"/>
      <c r="B280" s="253"/>
      <c r="C280" s="115" t="s">
        <v>330</v>
      </c>
      <c r="D280" s="107">
        <f>SUM(D278:D279)</f>
        <v>2000000</v>
      </c>
      <c r="E280" s="107">
        <f aca="true" t="shared" si="74" ref="E280:K280">SUM(E278:E279)</f>
        <v>0</v>
      </c>
      <c r="F280" s="107">
        <f t="shared" si="74"/>
        <v>0</v>
      </c>
      <c r="G280" s="107">
        <f t="shared" si="74"/>
        <v>0</v>
      </c>
      <c r="H280" s="107">
        <f t="shared" si="74"/>
        <v>1500000</v>
      </c>
      <c r="I280" s="98">
        <f t="shared" si="56"/>
        <v>500000</v>
      </c>
      <c r="J280" s="107">
        <f t="shared" si="74"/>
        <v>500000</v>
      </c>
      <c r="K280" s="107">
        <f t="shared" si="74"/>
        <v>500000</v>
      </c>
      <c r="L280" s="98">
        <f t="shared" si="57"/>
        <v>0</v>
      </c>
      <c r="M280" s="113">
        <f t="shared" si="58"/>
        <v>0</v>
      </c>
      <c r="N280" s="8"/>
      <c r="O280" s="8"/>
      <c r="P280" s="8"/>
      <c r="Q280" s="8"/>
      <c r="R280" s="8"/>
      <c r="S280" s="8"/>
    </row>
    <row r="281" spans="1:19" ht="12.75">
      <c r="A281" s="237" t="s">
        <v>432</v>
      </c>
      <c r="B281" s="239" t="s">
        <v>82</v>
      </c>
      <c r="C281" s="111" t="s">
        <v>328</v>
      </c>
      <c r="D281" s="111">
        <v>12296848</v>
      </c>
      <c r="E281" s="135"/>
      <c r="F281" s="135">
        <v>1500000</v>
      </c>
      <c r="G281" s="6"/>
      <c r="H281" s="6"/>
      <c r="I281" s="102">
        <f t="shared" si="56"/>
        <v>13796848</v>
      </c>
      <c r="J281" s="112">
        <v>13796848</v>
      </c>
      <c r="K281" s="112">
        <v>13796848</v>
      </c>
      <c r="L281" s="102">
        <f t="shared" si="57"/>
        <v>0</v>
      </c>
      <c r="M281" s="113">
        <f t="shared" si="58"/>
        <v>0</v>
      </c>
      <c r="N281" s="6"/>
      <c r="O281" s="6"/>
      <c r="P281" s="6"/>
      <c r="Q281" s="6"/>
      <c r="R281" s="6"/>
      <c r="S281" s="6"/>
    </row>
    <row r="282" spans="1:19" ht="12.75">
      <c r="A282" s="238"/>
      <c r="B282" s="240"/>
      <c r="C282" s="111" t="s">
        <v>329</v>
      </c>
      <c r="D282" s="111"/>
      <c r="E282" s="6"/>
      <c r="F282" s="6"/>
      <c r="G282" s="6"/>
      <c r="H282" s="6"/>
      <c r="I282" s="102">
        <f t="shared" si="56"/>
        <v>0</v>
      </c>
      <c r="J282" s="112"/>
      <c r="K282" s="112"/>
      <c r="L282" s="102">
        <f t="shared" si="57"/>
        <v>0</v>
      </c>
      <c r="M282" s="113">
        <f t="shared" si="58"/>
        <v>0</v>
      </c>
      <c r="N282" s="6"/>
      <c r="O282" s="6"/>
      <c r="P282" s="6"/>
      <c r="Q282" s="6"/>
      <c r="R282" s="6"/>
      <c r="S282" s="6"/>
    </row>
    <row r="283" spans="1:19" s="116" customFormat="1" ht="12.75">
      <c r="A283" s="224"/>
      <c r="B283" s="241"/>
      <c r="C283" s="115" t="s">
        <v>330</v>
      </c>
      <c r="D283" s="107">
        <f>SUM(D281:D282)</f>
        <v>12296848</v>
      </c>
      <c r="E283" s="107">
        <f aca="true" t="shared" si="75" ref="E283:K283">SUM(E281:E282)</f>
        <v>0</v>
      </c>
      <c r="F283" s="107">
        <f t="shared" si="75"/>
        <v>1500000</v>
      </c>
      <c r="G283" s="107">
        <f t="shared" si="75"/>
        <v>0</v>
      </c>
      <c r="H283" s="107">
        <f t="shared" si="75"/>
        <v>0</v>
      </c>
      <c r="I283" s="98">
        <f t="shared" si="56"/>
        <v>13796848</v>
      </c>
      <c r="J283" s="107">
        <f t="shared" si="75"/>
        <v>13796848</v>
      </c>
      <c r="K283" s="107">
        <f t="shared" si="75"/>
        <v>13796848</v>
      </c>
      <c r="L283" s="98">
        <f t="shared" si="57"/>
        <v>0</v>
      </c>
      <c r="M283" s="113">
        <f t="shared" si="58"/>
        <v>0</v>
      </c>
      <c r="N283" s="8"/>
      <c r="O283" s="8"/>
      <c r="P283" s="8"/>
      <c r="Q283" s="8"/>
      <c r="R283" s="8"/>
      <c r="S283" s="8"/>
    </row>
    <row r="284" spans="1:19" ht="12.75">
      <c r="A284" s="237" t="s">
        <v>433</v>
      </c>
      <c r="B284" s="251" t="s">
        <v>434</v>
      </c>
      <c r="C284" s="111" t="s">
        <v>328</v>
      </c>
      <c r="D284" s="111">
        <v>1000000</v>
      </c>
      <c r="E284" s="6"/>
      <c r="F284" s="6"/>
      <c r="G284" s="6"/>
      <c r="H284" s="112">
        <v>1000000</v>
      </c>
      <c r="I284" s="102">
        <f t="shared" si="56"/>
        <v>0</v>
      </c>
      <c r="J284" s="112"/>
      <c r="K284" s="112"/>
      <c r="L284" s="102">
        <f t="shared" si="57"/>
        <v>0</v>
      </c>
      <c r="M284" s="113">
        <f t="shared" si="58"/>
        <v>0</v>
      </c>
      <c r="N284" s="6"/>
      <c r="O284" s="6"/>
      <c r="P284" s="6"/>
      <c r="Q284" s="6"/>
      <c r="R284" s="6"/>
      <c r="S284" s="6"/>
    </row>
    <row r="285" spans="1:19" ht="12.75">
      <c r="A285" s="238"/>
      <c r="B285" s="252"/>
      <c r="C285" s="111" t="s">
        <v>329</v>
      </c>
      <c r="D285" s="111"/>
      <c r="E285" s="6"/>
      <c r="F285" s="6"/>
      <c r="G285" s="6"/>
      <c r="H285" s="6"/>
      <c r="I285" s="102">
        <f t="shared" si="56"/>
        <v>0</v>
      </c>
      <c r="J285" s="112"/>
      <c r="K285" s="112"/>
      <c r="L285" s="102">
        <f t="shared" si="57"/>
        <v>0</v>
      </c>
      <c r="M285" s="113">
        <f t="shared" si="58"/>
        <v>0</v>
      </c>
      <c r="N285" s="6"/>
      <c r="O285" s="6"/>
      <c r="P285" s="6"/>
      <c r="Q285" s="6"/>
      <c r="R285" s="6"/>
      <c r="S285" s="6"/>
    </row>
    <row r="286" spans="1:19" s="116" customFormat="1" ht="12.75">
      <c r="A286" s="224"/>
      <c r="B286" s="253"/>
      <c r="C286" s="115" t="s">
        <v>330</v>
      </c>
      <c r="D286" s="107">
        <f>SUM(D284:D285)</f>
        <v>1000000</v>
      </c>
      <c r="E286" s="107">
        <f aca="true" t="shared" si="76" ref="E286:K286">SUM(E284:E285)</f>
        <v>0</v>
      </c>
      <c r="F286" s="107">
        <f t="shared" si="76"/>
        <v>0</v>
      </c>
      <c r="G286" s="107">
        <f t="shared" si="76"/>
        <v>0</v>
      </c>
      <c r="H286" s="107">
        <f t="shared" si="76"/>
        <v>1000000</v>
      </c>
      <c r="I286" s="98">
        <f t="shared" si="56"/>
        <v>0</v>
      </c>
      <c r="J286" s="107">
        <f t="shared" si="76"/>
        <v>0</v>
      </c>
      <c r="K286" s="107">
        <f t="shared" si="76"/>
        <v>0</v>
      </c>
      <c r="L286" s="98">
        <f t="shared" si="57"/>
        <v>0</v>
      </c>
      <c r="M286" s="113">
        <f t="shared" si="58"/>
        <v>0</v>
      </c>
      <c r="N286" s="8"/>
      <c r="O286" s="8"/>
      <c r="P286" s="8"/>
      <c r="Q286" s="8"/>
      <c r="R286" s="8"/>
      <c r="S286" s="8"/>
    </row>
    <row r="287" spans="1:19" ht="12.75">
      <c r="A287" s="237" t="s">
        <v>435</v>
      </c>
      <c r="B287" s="242" t="s">
        <v>81</v>
      </c>
      <c r="C287" s="111" t="s">
        <v>328</v>
      </c>
      <c r="D287" s="111">
        <v>1000000</v>
      </c>
      <c r="E287" s="6"/>
      <c r="F287" s="6"/>
      <c r="G287" s="6"/>
      <c r="H287" s="112">
        <v>1000000</v>
      </c>
      <c r="I287" s="102">
        <f t="shared" si="56"/>
        <v>0</v>
      </c>
      <c r="J287" s="112"/>
      <c r="K287" s="112"/>
      <c r="L287" s="102">
        <f t="shared" si="57"/>
        <v>0</v>
      </c>
      <c r="M287" s="113">
        <f t="shared" si="58"/>
        <v>0</v>
      </c>
      <c r="N287" s="6"/>
      <c r="O287" s="6"/>
      <c r="P287" s="6"/>
      <c r="Q287" s="6"/>
      <c r="R287" s="6"/>
      <c r="S287" s="6"/>
    </row>
    <row r="288" spans="1:19" ht="12.75">
      <c r="A288" s="238"/>
      <c r="B288" s="243"/>
      <c r="C288" s="111" t="s">
        <v>329</v>
      </c>
      <c r="D288" s="111"/>
      <c r="E288" s="6"/>
      <c r="F288" s="6"/>
      <c r="G288" s="6"/>
      <c r="H288" s="6"/>
      <c r="I288" s="102">
        <f aca="true" t="shared" si="77" ref="I288:I330">+D288+E288+F288-G288-H288</f>
        <v>0</v>
      </c>
      <c r="J288" s="112"/>
      <c r="K288" s="112"/>
      <c r="L288" s="102">
        <f aca="true" t="shared" si="78" ref="L288:L330">+I288-K288</f>
        <v>0</v>
      </c>
      <c r="M288" s="113">
        <f aca="true" t="shared" si="79" ref="M288:M330">+J288-K288</f>
        <v>0</v>
      </c>
      <c r="N288" s="6"/>
      <c r="O288" s="6"/>
      <c r="P288" s="6"/>
      <c r="Q288" s="6"/>
      <c r="R288" s="6"/>
      <c r="S288" s="6"/>
    </row>
    <row r="289" spans="1:19" s="116" customFormat="1" ht="12.75">
      <c r="A289" s="224"/>
      <c r="B289" s="244"/>
      <c r="C289" s="115" t="s">
        <v>330</v>
      </c>
      <c r="D289" s="107">
        <f>SUM(D287:D288)</f>
        <v>1000000</v>
      </c>
      <c r="E289" s="107">
        <f aca="true" t="shared" si="80" ref="E289:K289">SUM(E287:E288)</f>
        <v>0</v>
      </c>
      <c r="F289" s="107">
        <f t="shared" si="80"/>
        <v>0</v>
      </c>
      <c r="G289" s="107">
        <f t="shared" si="80"/>
        <v>0</v>
      </c>
      <c r="H289" s="107">
        <f t="shared" si="80"/>
        <v>1000000</v>
      </c>
      <c r="I289" s="98">
        <f t="shared" si="77"/>
        <v>0</v>
      </c>
      <c r="J289" s="107">
        <f t="shared" si="80"/>
        <v>0</v>
      </c>
      <c r="K289" s="107">
        <f t="shared" si="80"/>
        <v>0</v>
      </c>
      <c r="L289" s="98">
        <f t="shared" si="78"/>
        <v>0</v>
      </c>
      <c r="M289" s="113">
        <f t="shared" si="79"/>
        <v>0</v>
      </c>
      <c r="N289" s="8"/>
      <c r="O289" s="8"/>
      <c r="P289" s="8"/>
      <c r="Q289" s="8"/>
      <c r="R289" s="8"/>
      <c r="S289" s="8"/>
    </row>
    <row r="290" spans="1:19" ht="15">
      <c r="A290" s="237" t="s">
        <v>436</v>
      </c>
      <c r="B290" s="242" t="s">
        <v>80</v>
      </c>
      <c r="C290" s="111" t="s">
        <v>328</v>
      </c>
      <c r="D290" s="111">
        <v>15000000</v>
      </c>
      <c r="E290" s="135">
        <v>6638050</v>
      </c>
      <c r="F290" s="6"/>
      <c r="G290" s="6"/>
      <c r="H290" s="153">
        <v>2561026</v>
      </c>
      <c r="I290" s="102">
        <f t="shared" si="77"/>
        <v>19077024</v>
      </c>
      <c r="J290" s="112">
        <v>18044324</v>
      </c>
      <c r="K290" s="112">
        <v>18044324</v>
      </c>
      <c r="L290" s="102">
        <f t="shared" si="78"/>
        <v>1032700</v>
      </c>
      <c r="M290" s="113">
        <f t="shared" si="79"/>
        <v>0</v>
      </c>
      <c r="N290" s="118"/>
      <c r="O290" s="6"/>
      <c r="P290" s="6"/>
      <c r="Q290" s="6"/>
      <c r="R290" s="6"/>
      <c r="S290" s="6"/>
    </row>
    <row r="291" spans="1:19" ht="12.75">
      <c r="A291" s="238"/>
      <c r="B291" s="243"/>
      <c r="C291" s="111" t="s">
        <v>329</v>
      </c>
      <c r="D291" s="111"/>
      <c r="E291" s="135"/>
      <c r="F291" s="6"/>
      <c r="G291" s="6"/>
      <c r="H291" s="6"/>
      <c r="I291" s="102">
        <f t="shared" si="77"/>
        <v>0</v>
      </c>
      <c r="J291" s="112"/>
      <c r="K291" s="112"/>
      <c r="L291" s="102">
        <f t="shared" si="78"/>
        <v>0</v>
      </c>
      <c r="M291" s="113">
        <f t="shared" si="79"/>
        <v>0</v>
      </c>
      <c r="N291" s="112"/>
      <c r="O291" s="6"/>
      <c r="P291" s="6"/>
      <c r="Q291" s="6"/>
      <c r="R291" s="6"/>
      <c r="S291" s="6"/>
    </row>
    <row r="292" spans="1:19" s="116" customFormat="1" ht="12.75">
      <c r="A292" s="224"/>
      <c r="B292" s="244"/>
      <c r="C292" s="115" t="s">
        <v>330</v>
      </c>
      <c r="D292" s="107">
        <f>SUM(D290:D291)</f>
        <v>15000000</v>
      </c>
      <c r="E292" s="107">
        <f aca="true" t="shared" si="81" ref="E292:K292">SUM(E290:E291)</f>
        <v>6638050</v>
      </c>
      <c r="F292" s="107">
        <f t="shared" si="81"/>
        <v>0</v>
      </c>
      <c r="G292" s="107">
        <f t="shared" si="81"/>
        <v>0</v>
      </c>
      <c r="H292" s="107">
        <f t="shared" si="81"/>
        <v>2561026</v>
      </c>
      <c r="I292" s="98">
        <f t="shared" si="77"/>
        <v>19077024</v>
      </c>
      <c r="J292" s="107">
        <f t="shared" si="81"/>
        <v>18044324</v>
      </c>
      <c r="K292" s="107">
        <f t="shared" si="81"/>
        <v>18044324</v>
      </c>
      <c r="L292" s="98">
        <f t="shared" si="78"/>
        <v>1032700</v>
      </c>
      <c r="M292" s="108">
        <f t="shared" si="79"/>
        <v>0</v>
      </c>
      <c r="N292" s="119"/>
      <c r="O292" s="8"/>
      <c r="P292" s="8"/>
      <c r="Q292" s="8"/>
      <c r="R292" s="8"/>
      <c r="S292" s="8"/>
    </row>
    <row r="293" spans="1:19" ht="12.75">
      <c r="A293" s="237" t="s">
        <v>437</v>
      </c>
      <c r="B293" s="251" t="s">
        <v>438</v>
      </c>
      <c r="C293" s="111" t="s">
        <v>328</v>
      </c>
      <c r="D293" s="111"/>
      <c r="E293" s="112">
        <v>5190807</v>
      </c>
      <c r="F293" s="112"/>
      <c r="G293" s="6"/>
      <c r="H293" s="6"/>
      <c r="I293" s="102">
        <f t="shared" si="77"/>
        <v>5190807</v>
      </c>
      <c r="J293" s="112">
        <v>5190000</v>
      </c>
      <c r="K293" s="112">
        <v>5190000</v>
      </c>
      <c r="L293" s="102">
        <f t="shared" si="78"/>
        <v>807</v>
      </c>
      <c r="M293" s="113">
        <f t="shared" si="79"/>
        <v>0</v>
      </c>
      <c r="N293" s="6"/>
      <c r="O293" s="6"/>
      <c r="P293" s="6"/>
      <c r="Q293" s="6"/>
      <c r="R293" s="6"/>
      <c r="S293" s="6"/>
    </row>
    <row r="294" spans="1:19" ht="12.75">
      <c r="A294" s="238"/>
      <c r="B294" s="252"/>
      <c r="C294" s="111" t="s">
        <v>329</v>
      </c>
      <c r="D294" s="111"/>
      <c r="E294" s="112"/>
      <c r="F294" s="112"/>
      <c r="G294" s="6"/>
      <c r="H294" s="6"/>
      <c r="I294" s="102">
        <f t="shared" si="77"/>
        <v>0</v>
      </c>
      <c r="J294" s="6"/>
      <c r="K294" s="6"/>
      <c r="L294" s="102">
        <f t="shared" si="78"/>
        <v>0</v>
      </c>
      <c r="M294" s="113">
        <f t="shared" si="79"/>
        <v>0</v>
      </c>
      <c r="N294" s="6"/>
      <c r="O294" s="6"/>
      <c r="P294" s="6"/>
      <c r="Q294" s="6"/>
      <c r="R294" s="6"/>
      <c r="S294" s="6"/>
    </row>
    <row r="295" spans="1:19" s="116" customFormat="1" ht="12.75">
      <c r="A295" s="224"/>
      <c r="B295" s="253"/>
      <c r="C295" s="115" t="s">
        <v>330</v>
      </c>
      <c r="D295" s="107">
        <f>SUM(D293:D294)</f>
        <v>0</v>
      </c>
      <c r="E295" s="107">
        <f aca="true" t="shared" si="82" ref="E295:K295">SUM(E293:E294)</f>
        <v>5190807</v>
      </c>
      <c r="F295" s="107">
        <f t="shared" si="82"/>
        <v>0</v>
      </c>
      <c r="G295" s="107">
        <f t="shared" si="82"/>
        <v>0</v>
      </c>
      <c r="H295" s="107">
        <f t="shared" si="82"/>
        <v>0</v>
      </c>
      <c r="I295" s="98">
        <f t="shared" si="77"/>
        <v>5190807</v>
      </c>
      <c r="J295" s="107">
        <f t="shared" si="82"/>
        <v>5190000</v>
      </c>
      <c r="K295" s="107">
        <f t="shared" si="82"/>
        <v>5190000</v>
      </c>
      <c r="L295" s="98">
        <f t="shared" si="78"/>
        <v>807</v>
      </c>
      <c r="M295" s="113">
        <f t="shared" si="79"/>
        <v>0</v>
      </c>
      <c r="N295" s="8"/>
      <c r="O295" s="8"/>
      <c r="P295" s="8"/>
      <c r="Q295" s="8"/>
      <c r="R295" s="8"/>
      <c r="S295" s="8"/>
    </row>
    <row r="296" spans="1:19" ht="27.75" customHeight="1">
      <c r="A296" s="101"/>
      <c r="B296" s="129"/>
      <c r="C296" s="129"/>
      <c r="D296" s="111"/>
      <c r="E296" s="112"/>
      <c r="F296" s="6"/>
      <c r="G296" s="6"/>
      <c r="H296" s="6"/>
      <c r="I296" s="102">
        <f t="shared" si="77"/>
        <v>0</v>
      </c>
      <c r="J296" s="6"/>
      <c r="K296" s="6"/>
      <c r="L296" s="98">
        <f t="shared" si="78"/>
        <v>0</v>
      </c>
      <c r="M296" s="113">
        <f t="shared" si="79"/>
        <v>0</v>
      </c>
      <c r="N296" s="6"/>
      <c r="O296" s="6"/>
      <c r="P296" s="6"/>
      <c r="Q296" s="6"/>
      <c r="R296" s="6"/>
      <c r="S296" s="6"/>
    </row>
    <row r="297" spans="1:255" s="100" customFormat="1" ht="15">
      <c r="A297" s="95" t="s">
        <v>439</v>
      </c>
      <c r="B297" s="141" t="s">
        <v>440</v>
      </c>
      <c r="C297" s="141"/>
      <c r="D297" s="106">
        <f>+D300</f>
        <v>2000000</v>
      </c>
      <c r="E297" s="106">
        <f aca="true" t="shared" si="83" ref="E297:K297">+E300</f>
        <v>5362143</v>
      </c>
      <c r="F297" s="106">
        <f t="shared" si="83"/>
        <v>5000000</v>
      </c>
      <c r="G297" s="106">
        <f t="shared" si="83"/>
        <v>0</v>
      </c>
      <c r="H297" s="106">
        <f t="shared" si="83"/>
        <v>77</v>
      </c>
      <c r="I297" s="98">
        <f t="shared" si="77"/>
        <v>12362066</v>
      </c>
      <c r="J297" s="107">
        <f t="shared" si="83"/>
        <v>12362066</v>
      </c>
      <c r="K297" s="107">
        <f t="shared" si="83"/>
        <v>12362066</v>
      </c>
      <c r="L297" s="98">
        <f t="shared" si="78"/>
        <v>0</v>
      </c>
      <c r="M297" s="113">
        <f t="shared" si="79"/>
        <v>0</v>
      </c>
      <c r="N297" s="64"/>
      <c r="O297" s="64"/>
      <c r="P297" s="64"/>
      <c r="Q297" s="64"/>
      <c r="R297" s="64"/>
      <c r="S297" s="64"/>
      <c r="IU297" s="155"/>
    </row>
    <row r="298" spans="1:19" ht="12.75">
      <c r="A298" s="237" t="s">
        <v>441</v>
      </c>
      <c r="B298" s="251" t="s">
        <v>442</v>
      </c>
      <c r="C298" s="111" t="s">
        <v>328</v>
      </c>
      <c r="D298" s="111">
        <v>2000000</v>
      </c>
      <c r="E298" s="135">
        <f>5362143</f>
        <v>5362143</v>
      </c>
      <c r="F298" s="112">
        <v>5000000</v>
      </c>
      <c r="G298" s="6"/>
      <c r="H298" s="6">
        <v>77</v>
      </c>
      <c r="I298" s="102">
        <f t="shared" si="77"/>
        <v>12362066</v>
      </c>
      <c r="J298" s="112">
        <f>2026028+10336038</f>
        <v>12362066</v>
      </c>
      <c r="K298" s="112">
        <f>2026028+10336038</f>
        <v>12362066</v>
      </c>
      <c r="L298" s="102">
        <f t="shared" si="78"/>
        <v>0</v>
      </c>
      <c r="M298" s="113">
        <f t="shared" si="79"/>
        <v>0</v>
      </c>
      <c r="N298" s="6"/>
      <c r="O298" s="6"/>
      <c r="P298" s="6"/>
      <c r="Q298" s="6"/>
      <c r="R298" s="6"/>
      <c r="S298" s="6"/>
    </row>
    <row r="299" spans="1:19" ht="12.75">
      <c r="A299" s="238"/>
      <c r="B299" s="252"/>
      <c r="C299" s="111" t="s">
        <v>329</v>
      </c>
      <c r="D299" s="111"/>
      <c r="E299" s="135"/>
      <c r="F299" s="112"/>
      <c r="G299" s="6"/>
      <c r="H299" s="6"/>
      <c r="I299" s="102">
        <f t="shared" si="77"/>
        <v>0</v>
      </c>
      <c r="J299" s="112"/>
      <c r="K299" s="112"/>
      <c r="L299" s="102">
        <f t="shared" si="78"/>
        <v>0</v>
      </c>
      <c r="M299" s="113">
        <f t="shared" si="79"/>
        <v>0</v>
      </c>
      <c r="N299" s="112"/>
      <c r="O299" s="6"/>
      <c r="P299" s="6"/>
      <c r="Q299" s="6"/>
      <c r="R299" s="6"/>
      <c r="S299" s="6"/>
    </row>
    <row r="300" spans="1:19" s="116" customFormat="1" ht="12.75">
      <c r="A300" s="224"/>
      <c r="B300" s="253"/>
      <c r="C300" s="115" t="s">
        <v>330</v>
      </c>
      <c r="D300" s="107">
        <f>SUM(D298:D299)</f>
        <v>2000000</v>
      </c>
      <c r="E300" s="107">
        <f aca="true" t="shared" si="84" ref="E300:K300">SUM(E298:E299)</f>
        <v>5362143</v>
      </c>
      <c r="F300" s="107">
        <f t="shared" si="84"/>
        <v>5000000</v>
      </c>
      <c r="G300" s="107">
        <f t="shared" si="84"/>
        <v>0</v>
      </c>
      <c r="H300" s="107">
        <f t="shared" si="84"/>
        <v>77</v>
      </c>
      <c r="I300" s="98">
        <f t="shared" si="77"/>
        <v>12362066</v>
      </c>
      <c r="J300" s="107">
        <f t="shared" si="84"/>
        <v>12362066</v>
      </c>
      <c r="K300" s="107">
        <f t="shared" si="84"/>
        <v>12362066</v>
      </c>
      <c r="L300" s="98">
        <f t="shared" si="78"/>
        <v>0</v>
      </c>
      <c r="M300" s="113">
        <f t="shared" si="79"/>
        <v>0</v>
      </c>
      <c r="N300" s="140"/>
      <c r="O300" s="8"/>
      <c r="P300" s="8"/>
      <c r="Q300" s="8"/>
      <c r="R300" s="8"/>
      <c r="S300" s="8"/>
    </row>
    <row r="301" spans="1:19" ht="12.75">
      <c r="A301" s="92"/>
      <c r="B301" s="156"/>
      <c r="C301" s="125"/>
      <c r="D301" s="111"/>
      <c r="E301" s="111"/>
      <c r="F301" s="111"/>
      <c r="G301" s="111"/>
      <c r="H301" s="111"/>
      <c r="I301" s="102">
        <f t="shared" si="77"/>
        <v>0</v>
      </c>
      <c r="J301" s="111"/>
      <c r="K301" s="111"/>
      <c r="L301" s="102">
        <f t="shared" si="78"/>
        <v>0</v>
      </c>
      <c r="M301" s="113">
        <f t="shared" si="79"/>
        <v>0</v>
      </c>
      <c r="N301" s="6"/>
      <c r="O301" s="6"/>
      <c r="P301" s="6"/>
      <c r="Q301" s="6"/>
      <c r="R301" s="6"/>
      <c r="S301" s="6"/>
    </row>
    <row r="302" spans="1:19" s="100" customFormat="1" ht="19.5" customHeight="1">
      <c r="A302" s="95" t="s">
        <v>443</v>
      </c>
      <c r="B302" s="141" t="s">
        <v>86</v>
      </c>
      <c r="C302" s="141"/>
      <c r="D302" s="106">
        <f>+D305</f>
        <v>25700000</v>
      </c>
      <c r="E302" s="106">
        <f aca="true" t="shared" si="85" ref="E302:K302">+E305</f>
        <v>10000000</v>
      </c>
      <c r="F302" s="106">
        <f t="shared" si="85"/>
        <v>500000</v>
      </c>
      <c r="G302" s="106">
        <f t="shared" si="85"/>
        <v>0</v>
      </c>
      <c r="H302" s="106">
        <f t="shared" si="85"/>
        <v>0</v>
      </c>
      <c r="I302" s="98">
        <f t="shared" si="77"/>
        <v>36200000</v>
      </c>
      <c r="J302" s="107">
        <f t="shared" si="85"/>
        <v>36200000</v>
      </c>
      <c r="K302" s="107">
        <f t="shared" si="85"/>
        <v>31200000</v>
      </c>
      <c r="L302" s="98">
        <f t="shared" si="78"/>
        <v>5000000</v>
      </c>
      <c r="M302" s="108">
        <f t="shared" si="79"/>
        <v>5000000</v>
      </c>
      <c r="N302" s="64"/>
      <c r="O302" s="64"/>
      <c r="P302" s="64"/>
      <c r="Q302" s="64"/>
      <c r="R302" s="64"/>
      <c r="S302" s="64"/>
    </row>
    <row r="303" spans="1:19" ht="12.75">
      <c r="A303" s="237" t="s">
        <v>444</v>
      </c>
      <c r="B303" s="239" t="s">
        <v>87</v>
      </c>
      <c r="C303" s="111" t="s">
        <v>328</v>
      </c>
      <c r="D303" s="148">
        <v>15700000</v>
      </c>
      <c r="E303" s="6"/>
      <c r="F303" s="112">
        <v>500000</v>
      </c>
      <c r="G303" s="6"/>
      <c r="H303" s="6"/>
      <c r="I303" s="102">
        <f t="shared" si="77"/>
        <v>16200000</v>
      </c>
      <c r="J303" s="112">
        <v>16200000</v>
      </c>
      <c r="K303" s="112">
        <v>16200000</v>
      </c>
      <c r="L303" s="102">
        <f t="shared" si="78"/>
        <v>0</v>
      </c>
      <c r="M303" s="113">
        <f t="shared" si="79"/>
        <v>0</v>
      </c>
      <c r="N303" s="118"/>
      <c r="O303" s="112"/>
      <c r="P303" s="6"/>
      <c r="Q303" s="6"/>
      <c r="R303" s="6"/>
      <c r="S303" s="6"/>
    </row>
    <row r="304" spans="1:19" ht="12.75">
      <c r="A304" s="238"/>
      <c r="B304" s="240"/>
      <c r="C304" s="111" t="s">
        <v>329</v>
      </c>
      <c r="D304" s="111">
        <v>10000000</v>
      </c>
      <c r="E304" s="112">
        <v>10000000</v>
      </c>
      <c r="F304" s="6"/>
      <c r="G304" s="6"/>
      <c r="H304" s="6"/>
      <c r="I304" s="102">
        <f t="shared" si="77"/>
        <v>20000000</v>
      </c>
      <c r="J304" s="112">
        <v>20000000</v>
      </c>
      <c r="K304" s="112">
        <v>15000000</v>
      </c>
      <c r="L304" s="102">
        <f t="shared" si="78"/>
        <v>5000000</v>
      </c>
      <c r="M304" s="113">
        <f t="shared" si="79"/>
        <v>5000000</v>
      </c>
      <c r="N304" s="112"/>
      <c r="O304" s="112"/>
      <c r="P304" s="6"/>
      <c r="Q304" s="6"/>
      <c r="R304" s="6"/>
      <c r="S304" s="6"/>
    </row>
    <row r="305" spans="1:19" s="116" customFormat="1" ht="12.75">
      <c r="A305" s="224"/>
      <c r="B305" s="241"/>
      <c r="C305" s="115" t="s">
        <v>330</v>
      </c>
      <c r="D305" s="149">
        <f>SUM(D303:D304)</f>
        <v>25700000</v>
      </c>
      <c r="E305" s="149">
        <f>SUM(E303:E304)</f>
        <v>10000000</v>
      </c>
      <c r="F305" s="149">
        <f>SUM(F303:F304)</f>
        <v>500000</v>
      </c>
      <c r="G305" s="149">
        <f>SUM(G303:G304)</f>
        <v>0</v>
      </c>
      <c r="H305" s="149">
        <f>SUM(H303:H304)</f>
        <v>0</v>
      </c>
      <c r="I305" s="98">
        <f t="shared" si="77"/>
        <v>36200000</v>
      </c>
      <c r="J305" s="149">
        <f>SUM(J303:J304)</f>
        <v>36200000</v>
      </c>
      <c r="K305" s="149">
        <f>SUM(K303:K304)</f>
        <v>31200000</v>
      </c>
      <c r="L305" s="98">
        <f t="shared" si="78"/>
        <v>5000000</v>
      </c>
      <c r="M305" s="108">
        <f t="shared" si="79"/>
        <v>5000000</v>
      </c>
      <c r="N305" s="119"/>
      <c r="O305" s="119"/>
      <c r="P305" s="8"/>
      <c r="Q305" s="8"/>
      <c r="R305" s="8"/>
      <c r="S305" s="8"/>
    </row>
    <row r="306" spans="1:19" s="116" customFormat="1" ht="12.75">
      <c r="A306" s="93"/>
      <c r="B306" s="114"/>
      <c r="C306" s="115"/>
      <c r="D306" s="149"/>
      <c r="E306" s="149"/>
      <c r="F306" s="149"/>
      <c r="G306" s="149"/>
      <c r="H306" s="149"/>
      <c r="I306" s="98"/>
      <c r="J306" s="149"/>
      <c r="K306" s="149"/>
      <c r="L306" s="98"/>
      <c r="M306" s="108"/>
      <c r="N306" s="8"/>
      <c r="O306" s="119"/>
      <c r="P306" s="8"/>
      <c r="Q306" s="8"/>
      <c r="R306" s="8"/>
      <c r="S306" s="8"/>
    </row>
    <row r="307" spans="1:19" s="100" customFormat="1" ht="15">
      <c r="A307" s="95" t="s">
        <v>445</v>
      </c>
      <c r="B307" s="141" t="s">
        <v>446</v>
      </c>
      <c r="C307" s="141"/>
      <c r="D307" s="106">
        <f>+D310+D313+D317+D320</f>
        <v>80000000</v>
      </c>
      <c r="E307" s="106">
        <f>+E310+E313+E317+E320</f>
        <v>3000000</v>
      </c>
      <c r="F307" s="106">
        <f>+F310+F313+F317+F320</f>
        <v>14250000</v>
      </c>
      <c r="G307" s="106">
        <f>+G310+G313+G317+G320</f>
        <v>0</v>
      </c>
      <c r="H307" s="106">
        <f>+H310+H313+H317+H320</f>
        <v>30000000</v>
      </c>
      <c r="I307" s="98">
        <f t="shared" si="77"/>
        <v>67250000</v>
      </c>
      <c r="J307" s="107">
        <f>+J310+J313+J317+J320</f>
        <v>67250000</v>
      </c>
      <c r="K307" s="107">
        <f>+K310+K313+K317+K320</f>
        <v>67250000</v>
      </c>
      <c r="L307" s="98">
        <f t="shared" si="78"/>
        <v>0</v>
      </c>
      <c r="M307" s="108">
        <f t="shared" si="79"/>
        <v>0</v>
      </c>
      <c r="N307" s="64"/>
      <c r="O307" s="64"/>
      <c r="P307" s="64"/>
      <c r="Q307" s="64"/>
      <c r="R307" s="64"/>
      <c r="S307" s="64"/>
    </row>
    <row r="308" spans="1:19" ht="12.75">
      <c r="A308" s="237" t="s">
        <v>447</v>
      </c>
      <c r="B308" s="239" t="s">
        <v>72</v>
      </c>
      <c r="C308" s="111" t="s">
        <v>328</v>
      </c>
      <c r="D308" s="111">
        <v>20000000</v>
      </c>
      <c r="E308" s="6"/>
      <c r="F308" s="112">
        <v>4250000</v>
      </c>
      <c r="G308" s="6"/>
      <c r="H308" s="6"/>
      <c r="I308" s="102">
        <f t="shared" si="77"/>
        <v>24250000</v>
      </c>
      <c r="J308" s="112">
        <v>24250000</v>
      </c>
      <c r="K308" s="112">
        <v>24250000</v>
      </c>
      <c r="L308" s="102">
        <f t="shared" si="78"/>
        <v>0</v>
      </c>
      <c r="M308" s="113">
        <f t="shared" si="79"/>
        <v>0</v>
      </c>
      <c r="N308" s="10" t="s">
        <v>300</v>
      </c>
      <c r="O308" s="10">
        <v>1</v>
      </c>
      <c r="P308" s="10">
        <v>1</v>
      </c>
      <c r="Q308" s="10" t="s">
        <v>301</v>
      </c>
      <c r="R308" s="10">
        <v>55.42</v>
      </c>
      <c r="S308" s="69">
        <v>58</v>
      </c>
    </row>
    <row r="309" spans="1:19" ht="12.75">
      <c r="A309" s="238"/>
      <c r="B309" s="240"/>
      <c r="C309" s="111" t="s">
        <v>329</v>
      </c>
      <c r="D309" s="111">
        <v>10000000</v>
      </c>
      <c r="E309" s="112">
        <v>3000000</v>
      </c>
      <c r="F309" s="6"/>
      <c r="G309" s="6"/>
      <c r="H309" s="6"/>
      <c r="I309" s="102">
        <f t="shared" si="77"/>
        <v>13000000</v>
      </c>
      <c r="J309" s="112">
        <v>13000000</v>
      </c>
      <c r="K309" s="112">
        <v>13000000</v>
      </c>
      <c r="L309" s="102">
        <f t="shared" si="78"/>
        <v>0</v>
      </c>
      <c r="M309" s="113">
        <f t="shared" si="79"/>
        <v>0</v>
      </c>
      <c r="N309" s="10" t="s">
        <v>302</v>
      </c>
      <c r="O309" s="10">
        <v>1</v>
      </c>
      <c r="P309" s="10">
        <v>1</v>
      </c>
      <c r="Q309" s="10"/>
      <c r="R309" s="10"/>
      <c r="S309" s="10"/>
    </row>
    <row r="310" spans="1:19" s="116" customFormat="1" ht="25.5" customHeight="1">
      <c r="A310" s="224"/>
      <c r="B310" s="241"/>
      <c r="C310" s="115" t="s">
        <v>330</v>
      </c>
      <c r="D310" s="107">
        <f>SUM(D308:D309)</f>
        <v>30000000</v>
      </c>
      <c r="E310" s="107">
        <f aca="true" t="shared" si="86" ref="E310:K310">SUM(E308:E309)</f>
        <v>3000000</v>
      </c>
      <c r="F310" s="107">
        <f t="shared" si="86"/>
        <v>4250000</v>
      </c>
      <c r="G310" s="107">
        <f t="shared" si="86"/>
        <v>0</v>
      </c>
      <c r="H310" s="107">
        <f t="shared" si="86"/>
        <v>0</v>
      </c>
      <c r="I310" s="98">
        <f t="shared" si="77"/>
        <v>37250000</v>
      </c>
      <c r="J310" s="107">
        <f t="shared" si="86"/>
        <v>37250000</v>
      </c>
      <c r="K310" s="107">
        <f t="shared" si="86"/>
        <v>37250000</v>
      </c>
      <c r="L310" s="98">
        <f t="shared" si="78"/>
        <v>0</v>
      </c>
      <c r="M310" s="113">
        <f t="shared" si="79"/>
        <v>0</v>
      </c>
      <c r="N310" s="119"/>
      <c r="O310" s="119"/>
      <c r="P310" s="8"/>
      <c r="Q310" s="8"/>
      <c r="R310" s="8"/>
      <c r="S310" s="8"/>
    </row>
    <row r="311" spans="1:19" ht="12.75">
      <c r="A311" s="237" t="s">
        <v>448</v>
      </c>
      <c r="B311" s="242" t="s">
        <v>73</v>
      </c>
      <c r="C311" s="111" t="s">
        <v>328</v>
      </c>
      <c r="D311" s="111">
        <v>20000000</v>
      </c>
      <c r="E311" s="6"/>
      <c r="F311" s="112">
        <v>10000000</v>
      </c>
      <c r="G311" s="6"/>
      <c r="H311" s="6"/>
      <c r="I311" s="102">
        <f t="shared" si="77"/>
        <v>30000000</v>
      </c>
      <c r="J311" s="112">
        <v>30000000</v>
      </c>
      <c r="K311" s="112">
        <v>30000000</v>
      </c>
      <c r="L311" s="102">
        <f t="shared" si="78"/>
        <v>0</v>
      </c>
      <c r="M311" s="113">
        <f t="shared" si="79"/>
        <v>0</v>
      </c>
      <c r="N311" s="6"/>
      <c r="O311" s="112"/>
      <c r="P311" s="112"/>
      <c r="Q311" s="6"/>
      <c r="R311" s="6"/>
      <c r="S311" s="6"/>
    </row>
    <row r="312" spans="1:19" ht="12.75">
      <c r="A312" s="238"/>
      <c r="B312" s="243"/>
      <c r="C312" s="111" t="s">
        <v>329</v>
      </c>
      <c r="D312" s="111"/>
      <c r="E312" s="6"/>
      <c r="F312" s="6"/>
      <c r="G312" s="6"/>
      <c r="H312" s="6"/>
      <c r="I312" s="102">
        <f t="shared" si="77"/>
        <v>0</v>
      </c>
      <c r="J312" s="112"/>
      <c r="K312" s="112"/>
      <c r="L312" s="102">
        <f t="shared" si="78"/>
        <v>0</v>
      </c>
      <c r="M312" s="113">
        <f t="shared" si="79"/>
        <v>0</v>
      </c>
      <c r="N312" s="118"/>
      <c r="O312" s="112"/>
      <c r="P312" s="112"/>
      <c r="Q312" s="6"/>
      <c r="R312" s="6"/>
      <c r="S312" s="6"/>
    </row>
    <row r="313" spans="1:19" s="116" customFormat="1" ht="12.75">
      <c r="A313" s="224"/>
      <c r="B313" s="244"/>
      <c r="C313" s="115" t="s">
        <v>330</v>
      </c>
      <c r="D313" s="107">
        <f>SUM(D311:D312)</f>
        <v>20000000</v>
      </c>
      <c r="E313" s="107">
        <f aca="true" t="shared" si="87" ref="E313:K313">SUM(E311:E312)</f>
        <v>0</v>
      </c>
      <c r="F313" s="107">
        <f t="shared" si="87"/>
        <v>10000000</v>
      </c>
      <c r="G313" s="107">
        <f t="shared" si="87"/>
        <v>0</v>
      </c>
      <c r="H313" s="107">
        <f t="shared" si="87"/>
        <v>0</v>
      </c>
      <c r="I313" s="98">
        <f t="shared" si="77"/>
        <v>30000000</v>
      </c>
      <c r="J313" s="107">
        <f t="shared" si="87"/>
        <v>30000000</v>
      </c>
      <c r="K313" s="107">
        <f t="shared" si="87"/>
        <v>30000000</v>
      </c>
      <c r="L313" s="98">
        <f t="shared" si="78"/>
        <v>0</v>
      </c>
      <c r="M313" s="113">
        <f t="shared" si="79"/>
        <v>0</v>
      </c>
      <c r="N313" s="8"/>
      <c r="O313" s="119"/>
      <c r="P313" s="119"/>
      <c r="Q313" s="8"/>
      <c r="R313" s="8"/>
      <c r="S313" s="8"/>
    </row>
    <row r="314" spans="1:19" s="116" customFormat="1" ht="18" customHeight="1">
      <c r="A314" s="91"/>
      <c r="B314" s="157"/>
      <c r="C314" s="115"/>
      <c r="D314" s="107"/>
      <c r="E314" s="107"/>
      <c r="F314" s="107"/>
      <c r="G314" s="107"/>
      <c r="H314" s="107"/>
      <c r="I314" s="98"/>
      <c r="J314" s="107"/>
      <c r="K314" s="107"/>
      <c r="L314" s="98"/>
      <c r="M314" s="113"/>
      <c r="N314" s="8"/>
      <c r="O314" s="119"/>
      <c r="P314" s="119"/>
      <c r="Q314" s="8"/>
      <c r="R314" s="8"/>
      <c r="S314" s="8"/>
    </row>
    <row r="315" spans="1:19" ht="12.75">
      <c r="A315" s="237" t="s">
        <v>449</v>
      </c>
      <c r="B315" s="242" t="s">
        <v>450</v>
      </c>
      <c r="C315" s="111" t="s">
        <v>328</v>
      </c>
      <c r="D315" s="111">
        <v>20000000</v>
      </c>
      <c r="E315" s="6"/>
      <c r="F315" s="6"/>
      <c r="G315" s="6"/>
      <c r="H315" s="112">
        <f>15000000+5000000</f>
        <v>20000000</v>
      </c>
      <c r="I315" s="102">
        <f t="shared" si="77"/>
        <v>0</v>
      </c>
      <c r="J315" s="6"/>
      <c r="K315" s="6"/>
      <c r="L315" s="102">
        <f t="shared" si="78"/>
        <v>0</v>
      </c>
      <c r="M315" s="113">
        <f t="shared" si="79"/>
        <v>0</v>
      </c>
      <c r="N315" s="6"/>
      <c r="O315" s="112"/>
      <c r="P315" s="6"/>
      <c r="Q315" s="6"/>
      <c r="R315" s="6"/>
      <c r="S315" s="6"/>
    </row>
    <row r="316" spans="1:19" ht="12.75">
      <c r="A316" s="238"/>
      <c r="B316" s="243"/>
      <c r="C316" s="111" t="s">
        <v>329</v>
      </c>
      <c r="D316" s="111"/>
      <c r="E316" s="6"/>
      <c r="F316" s="6"/>
      <c r="G316" s="6"/>
      <c r="H316" s="112"/>
      <c r="I316" s="102">
        <f t="shared" si="77"/>
        <v>0</v>
      </c>
      <c r="J316" s="6"/>
      <c r="K316" s="6"/>
      <c r="L316" s="102">
        <f t="shared" si="78"/>
        <v>0</v>
      </c>
      <c r="M316" s="113">
        <f t="shared" si="79"/>
        <v>0</v>
      </c>
      <c r="N316" s="6"/>
      <c r="O316" s="112"/>
      <c r="P316" s="6"/>
      <c r="Q316" s="6"/>
      <c r="R316" s="6"/>
      <c r="S316" s="6"/>
    </row>
    <row r="317" spans="1:19" s="116" customFormat="1" ht="18" customHeight="1">
      <c r="A317" s="224"/>
      <c r="B317" s="244"/>
      <c r="C317" s="115" t="s">
        <v>330</v>
      </c>
      <c r="D317" s="107">
        <f>SUM(D315:D316)</f>
        <v>20000000</v>
      </c>
      <c r="E317" s="107">
        <f aca="true" t="shared" si="88" ref="E317:K317">SUM(E315:E316)</f>
        <v>0</v>
      </c>
      <c r="F317" s="107">
        <f t="shared" si="88"/>
        <v>0</v>
      </c>
      <c r="G317" s="107">
        <f t="shared" si="88"/>
        <v>0</v>
      </c>
      <c r="H317" s="107">
        <f t="shared" si="88"/>
        <v>20000000</v>
      </c>
      <c r="I317" s="98">
        <f t="shared" si="77"/>
        <v>0</v>
      </c>
      <c r="J317" s="107">
        <f t="shared" si="88"/>
        <v>0</v>
      </c>
      <c r="K317" s="107">
        <f t="shared" si="88"/>
        <v>0</v>
      </c>
      <c r="L317" s="98">
        <f t="shared" si="78"/>
        <v>0</v>
      </c>
      <c r="M317" s="113">
        <f t="shared" si="79"/>
        <v>0</v>
      </c>
      <c r="N317" s="8"/>
      <c r="O317" s="119"/>
      <c r="P317" s="8"/>
      <c r="Q317" s="8"/>
      <c r="R317" s="8"/>
      <c r="S317" s="8"/>
    </row>
    <row r="318" spans="1:19" ht="12.75">
      <c r="A318" s="237" t="s">
        <v>451</v>
      </c>
      <c r="B318" s="242" t="s">
        <v>452</v>
      </c>
      <c r="C318" s="111" t="s">
        <v>328</v>
      </c>
      <c r="D318" s="111">
        <v>10000000</v>
      </c>
      <c r="E318" s="6"/>
      <c r="F318" s="6"/>
      <c r="G318" s="6"/>
      <c r="H318" s="112">
        <v>10000000</v>
      </c>
      <c r="I318" s="102">
        <f t="shared" si="77"/>
        <v>0</v>
      </c>
      <c r="J318" s="6"/>
      <c r="K318" s="6"/>
      <c r="L318" s="102">
        <f t="shared" si="78"/>
        <v>0</v>
      </c>
      <c r="M318" s="113">
        <f t="shared" si="79"/>
        <v>0</v>
      </c>
      <c r="N318" s="6"/>
      <c r="O318" s="6"/>
      <c r="P318" s="6"/>
      <c r="Q318" s="6"/>
      <c r="R318" s="6"/>
      <c r="S318" s="6"/>
    </row>
    <row r="319" spans="1:19" ht="12.75">
      <c r="A319" s="238"/>
      <c r="B319" s="243"/>
      <c r="C319" s="111" t="s">
        <v>329</v>
      </c>
      <c r="D319" s="111"/>
      <c r="E319" s="6"/>
      <c r="F319" s="6"/>
      <c r="G319" s="6"/>
      <c r="H319" s="6"/>
      <c r="I319" s="102">
        <f t="shared" si="77"/>
        <v>0</v>
      </c>
      <c r="J319" s="6"/>
      <c r="K319" s="6"/>
      <c r="L319" s="102">
        <f t="shared" si="78"/>
        <v>0</v>
      </c>
      <c r="M319" s="113">
        <f t="shared" si="79"/>
        <v>0</v>
      </c>
      <c r="N319" s="6"/>
      <c r="O319" s="6"/>
      <c r="P319" s="6"/>
      <c r="Q319" s="6"/>
      <c r="R319" s="6"/>
      <c r="S319" s="6"/>
    </row>
    <row r="320" spans="1:19" s="116" customFormat="1" ht="16.5" customHeight="1">
      <c r="A320" s="224"/>
      <c r="B320" s="244"/>
      <c r="C320" s="115" t="s">
        <v>330</v>
      </c>
      <c r="D320" s="107">
        <f>SUM(D318:D319)</f>
        <v>10000000</v>
      </c>
      <c r="E320" s="107">
        <f aca="true" t="shared" si="89" ref="E320:K320">SUM(E318:E319)</f>
        <v>0</v>
      </c>
      <c r="F320" s="107">
        <f t="shared" si="89"/>
        <v>0</v>
      </c>
      <c r="G320" s="107">
        <f t="shared" si="89"/>
        <v>0</v>
      </c>
      <c r="H320" s="107">
        <f t="shared" si="89"/>
        <v>10000000</v>
      </c>
      <c r="I320" s="98">
        <f t="shared" si="77"/>
        <v>0</v>
      </c>
      <c r="J320" s="107">
        <f t="shared" si="89"/>
        <v>0</v>
      </c>
      <c r="K320" s="107">
        <f t="shared" si="89"/>
        <v>0</v>
      </c>
      <c r="L320" s="98">
        <f t="shared" si="78"/>
        <v>0</v>
      </c>
      <c r="M320" s="113">
        <f t="shared" si="79"/>
        <v>0</v>
      </c>
      <c r="N320" s="8"/>
      <c r="O320" s="8"/>
      <c r="P320" s="8"/>
      <c r="Q320" s="8"/>
      <c r="R320" s="8"/>
      <c r="S320" s="8"/>
    </row>
    <row r="321" spans="1:19" s="116" customFormat="1" ht="16.5" customHeight="1">
      <c r="A321" s="93"/>
      <c r="B321" s="117"/>
      <c r="C321" s="115"/>
      <c r="D321" s="107"/>
      <c r="E321" s="107"/>
      <c r="F321" s="107"/>
      <c r="G321" s="107"/>
      <c r="H321" s="107"/>
      <c r="I321" s="98"/>
      <c r="J321" s="107"/>
      <c r="K321" s="107"/>
      <c r="L321" s="98"/>
      <c r="M321" s="113"/>
      <c r="N321" s="8"/>
      <c r="O321" s="8"/>
      <c r="P321" s="8"/>
      <c r="Q321" s="8"/>
      <c r="R321" s="8"/>
      <c r="S321" s="8"/>
    </row>
    <row r="322" spans="1:19" ht="21" customHeight="1">
      <c r="A322" s="101"/>
      <c r="B322" s="129"/>
      <c r="C322" s="129"/>
      <c r="D322" s="111"/>
      <c r="E322" s="111"/>
      <c r="F322" s="111"/>
      <c r="G322" s="111"/>
      <c r="H322" s="111"/>
      <c r="I322" s="102">
        <f t="shared" si="77"/>
        <v>0</v>
      </c>
      <c r="J322" s="111"/>
      <c r="K322" s="111"/>
      <c r="L322" s="102">
        <f t="shared" si="78"/>
        <v>0</v>
      </c>
      <c r="M322" s="113">
        <f t="shared" si="79"/>
        <v>0</v>
      </c>
      <c r="N322" s="6"/>
      <c r="O322" s="112"/>
      <c r="P322" s="6"/>
      <c r="Q322" s="6"/>
      <c r="R322" s="6"/>
      <c r="S322" s="6"/>
    </row>
    <row r="323" spans="1:19" s="100" customFormat="1" ht="15">
      <c r="A323" s="95" t="s">
        <v>453</v>
      </c>
      <c r="B323" s="141" t="s">
        <v>79</v>
      </c>
      <c r="C323" s="141"/>
      <c r="D323" s="106">
        <f>+D327+D330</f>
        <v>4670000</v>
      </c>
      <c r="E323" s="106">
        <f aca="true" t="shared" si="90" ref="E323:K323">+E327+E330</f>
        <v>20589971</v>
      </c>
      <c r="F323" s="106">
        <f t="shared" si="90"/>
        <v>0</v>
      </c>
      <c r="G323" s="106">
        <f t="shared" si="90"/>
        <v>0</v>
      </c>
      <c r="H323" s="106">
        <f t="shared" si="90"/>
        <v>0</v>
      </c>
      <c r="I323" s="98">
        <f t="shared" si="77"/>
        <v>25259971</v>
      </c>
      <c r="J323" s="107">
        <f t="shared" si="90"/>
        <v>25017184</v>
      </c>
      <c r="K323" s="107">
        <f t="shared" si="90"/>
        <v>24905184</v>
      </c>
      <c r="L323" s="98">
        <f t="shared" si="78"/>
        <v>354787</v>
      </c>
      <c r="M323" s="108">
        <f t="shared" si="79"/>
        <v>112000</v>
      </c>
      <c r="N323" s="64"/>
      <c r="O323" s="64"/>
      <c r="P323" s="64"/>
      <c r="Q323" s="64"/>
      <c r="R323" s="64"/>
      <c r="S323" s="64"/>
    </row>
    <row r="324" spans="1:19" ht="12.75">
      <c r="A324" s="237" t="s">
        <v>454</v>
      </c>
      <c r="B324" s="251" t="s">
        <v>455</v>
      </c>
      <c r="C324" s="111" t="s">
        <v>328</v>
      </c>
      <c r="D324" s="111">
        <v>1000000</v>
      </c>
      <c r="E324" s="122"/>
      <c r="F324" s="6"/>
      <c r="G324" s="6"/>
      <c r="H324" s="6"/>
      <c r="I324" s="102">
        <f t="shared" si="77"/>
        <v>1000000</v>
      </c>
      <c r="J324" s="112">
        <v>1000000</v>
      </c>
      <c r="K324" s="112">
        <v>1000000</v>
      </c>
      <c r="L324" s="102">
        <f t="shared" si="78"/>
        <v>0</v>
      </c>
      <c r="M324" s="113">
        <f t="shared" si="79"/>
        <v>0</v>
      </c>
      <c r="N324" s="6"/>
      <c r="O324" s="6"/>
      <c r="P324" s="6"/>
      <c r="Q324" s="6"/>
      <c r="R324" s="6"/>
      <c r="S324" s="6"/>
    </row>
    <row r="325" spans="1:19" ht="21.75">
      <c r="A325" s="238"/>
      <c r="B325" s="252"/>
      <c r="C325" s="111" t="s">
        <v>329</v>
      </c>
      <c r="D325" s="111"/>
      <c r="E325" s="135"/>
      <c r="F325" s="6"/>
      <c r="G325" s="6"/>
      <c r="H325" s="6"/>
      <c r="I325" s="102">
        <f t="shared" si="77"/>
        <v>0</v>
      </c>
      <c r="J325" s="112"/>
      <c r="K325" s="112"/>
      <c r="L325" s="102">
        <f t="shared" si="78"/>
        <v>0</v>
      </c>
      <c r="M325" s="113">
        <f t="shared" si="79"/>
        <v>0</v>
      </c>
      <c r="N325" s="66" t="s">
        <v>303</v>
      </c>
      <c r="O325" s="6"/>
      <c r="P325" s="6"/>
      <c r="Q325" s="6"/>
      <c r="R325" s="6"/>
      <c r="S325" s="6"/>
    </row>
    <row r="326" spans="1:19" ht="21.75">
      <c r="A326" s="238"/>
      <c r="B326" s="252"/>
      <c r="C326" s="111" t="s">
        <v>369</v>
      </c>
      <c r="D326" s="111">
        <v>3000000</v>
      </c>
      <c r="E326" s="135">
        <f>3198422+15803844+1587705</f>
        <v>20589971</v>
      </c>
      <c r="F326" s="6"/>
      <c r="G326" s="6"/>
      <c r="H326" s="6"/>
      <c r="I326" s="102">
        <f t="shared" si="77"/>
        <v>23589971</v>
      </c>
      <c r="J326" s="112">
        <v>23347184</v>
      </c>
      <c r="K326" s="112">
        <v>23235184</v>
      </c>
      <c r="L326" s="102">
        <f t="shared" si="78"/>
        <v>354787</v>
      </c>
      <c r="M326" s="108">
        <f t="shared" si="79"/>
        <v>112000</v>
      </c>
      <c r="N326" s="66" t="s">
        <v>304</v>
      </c>
      <c r="O326" s="6"/>
      <c r="P326" s="6"/>
      <c r="Q326" s="6"/>
      <c r="R326" s="6"/>
      <c r="S326" s="6"/>
    </row>
    <row r="327" spans="1:19" s="116" customFormat="1" ht="21.75">
      <c r="A327" s="224"/>
      <c r="B327" s="253"/>
      <c r="C327" s="115" t="s">
        <v>330</v>
      </c>
      <c r="D327" s="107">
        <f>SUM(D324:D326)</f>
        <v>4000000</v>
      </c>
      <c r="E327" s="107">
        <f aca="true" t="shared" si="91" ref="E327:K327">SUM(E324:E326)</f>
        <v>20589971</v>
      </c>
      <c r="F327" s="107">
        <f t="shared" si="91"/>
        <v>0</v>
      </c>
      <c r="G327" s="107">
        <f t="shared" si="91"/>
        <v>0</v>
      </c>
      <c r="H327" s="107">
        <f t="shared" si="91"/>
        <v>0</v>
      </c>
      <c r="I327" s="98">
        <f t="shared" si="77"/>
        <v>24589971</v>
      </c>
      <c r="J327" s="107">
        <f>SUM(J324:J326)</f>
        <v>24347184</v>
      </c>
      <c r="K327" s="107">
        <f t="shared" si="91"/>
        <v>24235184</v>
      </c>
      <c r="L327" s="98">
        <f t="shared" si="78"/>
        <v>354787</v>
      </c>
      <c r="M327" s="113">
        <f t="shared" si="79"/>
        <v>112000</v>
      </c>
      <c r="N327" s="66" t="s">
        <v>305</v>
      </c>
      <c r="O327" s="8"/>
      <c r="P327" s="8"/>
      <c r="Q327" s="8"/>
      <c r="R327" s="8"/>
      <c r="S327" s="8"/>
    </row>
    <row r="328" spans="1:19" ht="12.75">
      <c r="A328" s="237" t="s">
        <v>456</v>
      </c>
      <c r="B328" s="242" t="s">
        <v>457</v>
      </c>
      <c r="C328" s="111" t="s">
        <v>328</v>
      </c>
      <c r="D328" s="111">
        <v>670000</v>
      </c>
      <c r="E328" s="6"/>
      <c r="F328" s="6"/>
      <c r="G328" s="6"/>
      <c r="H328" s="6"/>
      <c r="I328" s="102">
        <f t="shared" si="77"/>
        <v>670000</v>
      </c>
      <c r="J328" s="112">
        <v>670000</v>
      </c>
      <c r="K328" s="112">
        <v>670000</v>
      </c>
      <c r="L328" s="102">
        <f t="shared" si="78"/>
        <v>0</v>
      </c>
      <c r="M328" s="113">
        <f t="shared" si="79"/>
        <v>0</v>
      </c>
      <c r="N328" s="6"/>
      <c r="O328" s="6"/>
      <c r="P328" s="6"/>
      <c r="Q328" s="6"/>
      <c r="R328" s="6"/>
      <c r="S328" s="6"/>
    </row>
    <row r="329" spans="1:19" ht="12.75">
      <c r="A329" s="238"/>
      <c r="B329" s="243"/>
      <c r="C329" s="111" t="s">
        <v>329</v>
      </c>
      <c r="D329" s="6"/>
      <c r="E329" s="6"/>
      <c r="F329" s="6"/>
      <c r="G329" s="6"/>
      <c r="H329" s="6"/>
      <c r="I329" s="102">
        <f t="shared" si="77"/>
        <v>0</v>
      </c>
      <c r="J329" s="6"/>
      <c r="K329" s="6"/>
      <c r="L329" s="102">
        <f t="shared" si="78"/>
        <v>0</v>
      </c>
      <c r="M329" s="113">
        <f t="shared" si="79"/>
        <v>0</v>
      </c>
      <c r="N329" s="6"/>
      <c r="O329" s="6"/>
      <c r="P329" s="6"/>
      <c r="Q329" s="6"/>
      <c r="R329" s="6"/>
      <c r="S329" s="6"/>
    </row>
    <row r="330" spans="1:19" s="116" customFormat="1" ht="12.75">
      <c r="A330" s="224"/>
      <c r="B330" s="244"/>
      <c r="C330" s="115" t="s">
        <v>330</v>
      </c>
      <c r="D330" s="119">
        <f>SUM(D328:D329)</f>
        <v>670000</v>
      </c>
      <c r="E330" s="119">
        <f aca="true" t="shared" si="92" ref="E330:K330">SUM(E328:E329)</f>
        <v>0</v>
      </c>
      <c r="F330" s="119">
        <f t="shared" si="92"/>
        <v>0</v>
      </c>
      <c r="G330" s="119">
        <f t="shared" si="92"/>
        <v>0</v>
      </c>
      <c r="H330" s="119">
        <f t="shared" si="92"/>
        <v>0</v>
      </c>
      <c r="I330" s="98">
        <f t="shared" si="77"/>
        <v>670000</v>
      </c>
      <c r="J330" s="119">
        <f t="shared" si="92"/>
        <v>670000</v>
      </c>
      <c r="K330" s="119">
        <f t="shared" si="92"/>
        <v>670000</v>
      </c>
      <c r="L330" s="98">
        <f t="shared" si="78"/>
        <v>0</v>
      </c>
      <c r="M330" s="113">
        <f t="shared" si="79"/>
        <v>0</v>
      </c>
      <c r="N330" s="8"/>
      <c r="O330" s="8"/>
      <c r="P330" s="8"/>
      <c r="Q330" s="8"/>
      <c r="R330" s="8"/>
      <c r="S330" s="8"/>
    </row>
    <row r="331" ht="12.75">
      <c r="D331" s="116"/>
    </row>
    <row r="332" ht="12.75">
      <c r="D332" s="116"/>
    </row>
    <row r="333" ht="12.75">
      <c r="D333" s="116"/>
    </row>
    <row r="334" ht="12.75">
      <c r="D334" s="116"/>
    </row>
    <row r="335" ht="12.75">
      <c r="D335" s="116"/>
    </row>
    <row r="337" spans="2:9" ht="12.75">
      <c r="B337" s="158" t="s">
        <v>458</v>
      </c>
      <c r="C337" s="158"/>
      <c r="D337" s="159"/>
      <c r="I337" s="158" t="s">
        <v>458</v>
      </c>
    </row>
    <row r="338" spans="2:9" ht="12.75">
      <c r="B338" s="86" t="s">
        <v>459</v>
      </c>
      <c r="C338" s="86"/>
      <c r="I338" s="86" t="s">
        <v>460</v>
      </c>
    </row>
    <row r="339" spans="2:9" ht="12.75">
      <c r="B339" s="86" t="s">
        <v>321</v>
      </c>
      <c r="C339" s="86"/>
      <c r="D339" s="116"/>
      <c r="I339" s="86" t="s">
        <v>461</v>
      </c>
    </row>
  </sheetData>
  <sheetProtection/>
  <mergeCells count="187">
    <mergeCell ref="A328:A330"/>
    <mergeCell ref="B328:B330"/>
    <mergeCell ref="A315:A317"/>
    <mergeCell ref="B315:B317"/>
    <mergeCell ref="A318:A320"/>
    <mergeCell ref="B318:B320"/>
    <mergeCell ref="A324:A327"/>
    <mergeCell ref="B324:B327"/>
    <mergeCell ref="A303:A305"/>
    <mergeCell ref="B303:B305"/>
    <mergeCell ref="A308:A310"/>
    <mergeCell ref="B308:B310"/>
    <mergeCell ref="A311:A313"/>
    <mergeCell ref="B311:B313"/>
    <mergeCell ref="A290:A292"/>
    <mergeCell ref="B290:B292"/>
    <mergeCell ref="A293:A295"/>
    <mergeCell ref="B293:B295"/>
    <mergeCell ref="A298:A300"/>
    <mergeCell ref="B298:B300"/>
    <mergeCell ref="A281:A283"/>
    <mergeCell ref="B281:B283"/>
    <mergeCell ref="A284:A286"/>
    <mergeCell ref="B284:B286"/>
    <mergeCell ref="A287:A289"/>
    <mergeCell ref="B287:B289"/>
    <mergeCell ref="A271:A273"/>
    <mergeCell ref="B271:B273"/>
    <mergeCell ref="A274:A277"/>
    <mergeCell ref="B274:B277"/>
    <mergeCell ref="A278:A280"/>
    <mergeCell ref="B278:B280"/>
    <mergeCell ref="A258:A260"/>
    <mergeCell ref="B258:B260"/>
    <mergeCell ref="A263:A265"/>
    <mergeCell ref="B263:B265"/>
    <mergeCell ref="A267:A269"/>
    <mergeCell ref="B267:B269"/>
    <mergeCell ref="A247:A249"/>
    <mergeCell ref="B247:B249"/>
    <mergeCell ref="A250:A252"/>
    <mergeCell ref="B250:B252"/>
    <mergeCell ref="A255:A257"/>
    <mergeCell ref="B255:B257"/>
    <mergeCell ref="A235:A237"/>
    <mergeCell ref="B235:B237"/>
    <mergeCell ref="A238:A241"/>
    <mergeCell ref="B238:B241"/>
    <mergeCell ref="A244:A246"/>
    <mergeCell ref="B244:B246"/>
    <mergeCell ref="A224:A226"/>
    <mergeCell ref="B224:B226"/>
    <mergeCell ref="A229:A231"/>
    <mergeCell ref="B229:B231"/>
    <mergeCell ref="A232:A234"/>
    <mergeCell ref="B232:B234"/>
    <mergeCell ref="A214:A216"/>
    <mergeCell ref="B214:B216"/>
    <mergeCell ref="A217:A219"/>
    <mergeCell ref="B217:B219"/>
    <mergeCell ref="A220:A223"/>
    <mergeCell ref="B220:B223"/>
    <mergeCell ref="A202:A204"/>
    <mergeCell ref="B202:B204"/>
    <mergeCell ref="A207:A209"/>
    <mergeCell ref="B207:B209"/>
    <mergeCell ref="A210:A213"/>
    <mergeCell ref="B210:B213"/>
    <mergeCell ref="A191:A193"/>
    <mergeCell ref="B191:B193"/>
    <mergeCell ref="A196:A198"/>
    <mergeCell ref="B196:B198"/>
    <mergeCell ref="A199:A201"/>
    <mergeCell ref="B199:B201"/>
    <mergeCell ref="A181:A183"/>
    <mergeCell ref="B181:B183"/>
    <mergeCell ref="A184:A186"/>
    <mergeCell ref="B184:B186"/>
    <mergeCell ref="A188:A190"/>
    <mergeCell ref="B188:B190"/>
    <mergeCell ref="A170:A173"/>
    <mergeCell ref="B170:B173"/>
    <mergeCell ref="A174:A176"/>
    <mergeCell ref="B174:B176"/>
    <mergeCell ref="A177:A180"/>
    <mergeCell ref="B177:B180"/>
    <mergeCell ref="A158:A160"/>
    <mergeCell ref="B158:B160"/>
    <mergeCell ref="A163:A166"/>
    <mergeCell ref="B163:B166"/>
    <mergeCell ref="A167:A169"/>
    <mergeCell ref="B167:B169"/>
    <mergeCell ref="A148:A151"/>
    <mergeCell ref="B148:B151"/>
    <mergeCell ref="A152:A154"/>
    <mergeCell ref="B152:B154"/>
    <mergeCell ref="A155:A157"/>
    <mergeCell ref="B155:B157"/>
    <mergeCell ref="A137:A139"/>
    <mergeCell ref="B137:B139"/>
    <mergeCell ref="A142:A144"/>
    <mergeCell ref="B142:B144"/>
    <mergeCell ref="A145:A147"/>
    <mergeCell ref="B145:B147"/>
    <mergeCell ref="A128:A130"/>
    <mergeCell ref="B128:B130"/>
    <mergeCell ref="A131:A133"/>
    <mergeCell ref="B131:B133"/>
    <mergeCell ref="A134:A136"/>
    <mergeCell ref="B134:B136"/>
    <mergeCell ref="A116:A119"/>
    <mergeCell ref="B116:B119"/>
    <mergeCell ref="A122:A124"/>
    <mergeCell ref="B122:B124"/>
    <mergeCell ref="A125:A127"/>
    <mergeCell ref="B125:B127"/>
    <mergeCell ref="A105:A108"/>
    <mergeCell ref="B105:B108"/>
    <mergeCell ref="A109:A111"/>
    <mergeCell ref="B109:B111"/>
    <mergeCell ref="A112:A115"/>
    <mergeCell ref="B112:B115"/>
    <mergeCell ref="A92:A94"/>
    <mergeCell ref="B92:B94"/>
    <mergeCell ref="A99:A101"/>
    <mergeCell ref="B99:B101"/>
    <mergeCell ref="A102:A104"/>
    <mergeCell ref="B102:B104"/>
    <mergeCell ref="A77:A80"/>
    <mergeCell ref="B77:B80"/>
    <mergeCell ref="A81:A84"/>
    <mergeCell ref="B81:B84"/>
    <mergeCell ref="A88:A91"/>
    <mergeCell ref="B88:B91"/>
    <mergeCell ref="A64:A66"/>
    <mergeCell ref="B64:B66"/>
    <mergeCell ref="A69:A72"/>
    <mergeCell ref="B69:B72"/>
    <mergeCell ref="A73:A76"/>
    <mergeCell ref="B73:B76"/>
    <mergeCell ref="A52:A54"/>
    <mergeCell ref="B52:B54"/>
    <mergeCell ref="A55:A57"/>
    <mergeCell ref="B55:B57"/>
    <mergeCell ref="A61:A63"/>
    <mergeCell ref="B61:B63"/>
    <mergeCell ref="A43:A45"/>
    <mergeCell ref="B43:B45"/>
    <mergeCell ref="A46:A48"/>
    <mergeCell ref="B46:B48"/>
    <mergeCell ref="A49:A51"/>
    <mergeCell ref="B49:B51"/>
    <mergeCell ref="A34:A36"/>
    <mergeCell ref="B34:B36"/>
    <mergeCell ref="A37:A38"/>
    <mergeCell ref="B37:B38"/>
    <mergeCell ref="A39:A40"/>
    <mergeCell ref="B39:B40"/>
    <mergeCell ref="A24:A26"/>
    <mergeCell ref="B24:B26"/>
    <mergeCell ref="A27:A29"/>
    <mergeCell ref="B27:B29"/>
    <mergeCell ref="A30:A33"/>
    <mergeCell ref="B30:B33"/>
    <mergeCell ref="A15:A17"/>
    <mergeCell ref="B15:B17"/>
    <mergeCell ref="A18:A20"/>
    <mergeCell ref="B18:B20"/>
    <mergeCell ref="A21:A23"/>
    <mergeCell ref="B21:B23"/>
    <mergeCell ref="M5:M7"/>
    <mergeCell ref="E6:F6"/>
    <mergeCell ref="G6:H6"/>
    <mergeCell ref="N7:P7"/>
    <mergeCell ref="Q7:S7"/>
    <mergeCell ref="A12:A14"/>
    <mergeCell ref="B12:B14"/>
    <mergeCell ref="A1:M1"/>
    <mergeCell ref="A2:M2"/>
    <mergeCell ref="A3:M3"/>
    <mergeCell ref="B5:C7"/>
    <mergeCell ref="D5:D7"/>
    <mergeCell ref="E5:H5"/>
    <mergeCell ref="I5:I7"/>
    <mergeCell ref="J5:J7"/>
    <mergeCell ref="K5:K7"/>
    <mergeCell ref="L5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68"/>
  <sheetViews>
    <sheetView zoomScalePageLayoutView="0" workbookViewId="0" topLeftCell="M1">
      <selection activeCell="AN15" sqref="AN15"/>
    </sheetView>
  </sheetViews>
  <sheetFormatPr defaultColWidth="11.421875" defaultRowHeight="12.75"/>
  <cols>
    <col min="1" max="1" width="14.00390625" style="3" customWidth="1"/>
    <col min="2" max="2" width="40.7109375" style="3" customWidth="1"/>
    <col min="3" max="3" width="15.00390625" style="4" hidden="1" customWidth="1"/>
    <col min="4" max="4" width="14.421875" style="4" hidden="1" customWidth="1"/>
    <col min="5" max="5" width="14.57421875" style="4" hidden="1" customWidth="1"/>
    <col min="6" max="6" width="11.57421875" style="4" hidden="1" customWidth="1"/>
    <col min="7" max="7" width="12.140625" style="4" hidden="1" customWidth="1"/>
    <col min="8" max="8" width="15.28125" style="4" hidden="1" customWidth="1"/>
    <col min="9" max="9" width="12.140625" style="3" hidden="1" customWidth="1"/>
    <col min="10" max="10" width="8.421875" style="3" hidden="1" customWidth="1"/>
    <col min="11" max="11" width="8.140625" style="3" hidden="1" customWidth="1"/>
    <col min="12" max="12" width="7.57421875" style="3" hidden="1" customWidth="1"/>
    <col min="13" max="13" width="23.7109375" style="3" customWidth="1"/>
    <col min="14" max="14" width="12.28125" style="3" hidden="1" customWidth="1"/>
    <col min="15" max="15" width="13.7109375" style="3" hidden="1" customWidth="1"/>
    <col min="16" max="16" width="14.7109375" style="3" hidden="1" customWidth="1"/>
    <col min="17" max="17" width="10.8515625" style="3" hidden="1" customWidth="1"/>
    <col min="18" max="18" width="37.00390625" style="3" hidden="1" customWidth="1"/>
    <col min="19" max="20" width="0" style="3" hidden="1" customWidth="1"/>
    <col min="21" max="21" width="29.57421875" style="3" hidden="1" customWidth="1"/>
    <col min="22" max="23" width="0" style="3" hidden="1" customWidth="1"/>
    <col min="24" max="24" width="32.7109375" style="3" customWidth="1"/>
    <col min="25" max="36" width="11.421875" style="3" customWidth="1"/>
    <col min="37" max="37" width="26.140625" style="3" customWidth="1"/>
    <col min="38" max="16384" width="11.421875" style="3" customWidth="1"/>
  </cols>
  <sheetData>
    <row r="1" spans="1:17" ht="12.7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2.75">
      <c r="A2" s="202" t="s">
        <v>462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5" customFormat="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37" ht="14.25" customHeight="1">
      <c r="A4" s="270" t="s">
        <v>463</v>
      </c>
      <c r="B4" s="272" t="s">
        <v>464</v>
      </c>
      <c r="C4" s="29" t="s">
        <v>6</v>
      </c>
      <c r="D4" s="29" t="s">
        <v>8</v>
      </c>
      <c r="E4" s="29" t="s">
        <v>9</v>
      </c>
      <c r="F4" s="29" t="s">
        <v>13</v>
      </c>
      <c r="G4" s="29" t="s">
        <v>14</v>
      </c>
      <c r="H4" s="30" t="s">
        <v>3</v>
      </c>
      <c r="I4" s="210" t="s">
        <v>190</v>
      </c>
      <c r="J4" s="210"/>
      <c r="K4" s="210"/>
      <c r="L4" s="210"/>
      <c r="M4" s="167" t="s">
        <v>330</v>
      </c>
      <c r="N4" s="211" t="s">
        <v>192</v>
      </c>
      <c r="O4" s="211" t="s">
        <v>193</v>
      </c>
      <c r="P4" s="211" t="s">
        <v>194</v>
      </c>
      <c r="Q4" s="212" t="s">
        <v>195</v>
      </c>
      <c r="R4" s="6"/>
      <c r="S4" s="6"/>
      <c r="T4" s="6"/>
      <c r="U4" s="6"/>
      <c r="V4" s="6"/>
      <c r="W4" s="6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37" ht="14.25" customHeight="1">
      <c r="A5" s="271"/>
      <c r="B5" s="273"/>
      <c r="C5" s="32" t="s">
        <v>2</v>
      </c>
      <c r="D5" s="32" t="s">
        <v>1</v>
      </c>
      <c r="E5" s="32" t="s">
        <v>10</v>
      </c>
      <c r="F5" s="32"/>
      <c r="G5" s="32" t="s">
        <v>15</v>
      </c>
      <c r="H5" s="33" t="s">
        <v>165</v>
      </c>
      <c r="I5" s="210" t="s">
        <v>196</v>
      </c>
      <c r="J5" s="210"/>
      <c r="K5" s="210" t="s">
        <v>197</v>
      </c>
      <c r="L5" s="210"/>
      <c r="M5" s="168" t="s">
        <v>657</v>
      </c>
      <c r="N5" s="211"/>
      <c r="O5" s="211"/>
      <c r="P5" s="211"/>
      <c r="Q5" s="212"/>
      <c r="R5" s="6"/>
      <c r="S5" s="6"/>
      <c r="T5" s="6"/>
      <c r="U5" s="6"/>
      <c r="V5" s="6"/>
      <c r="W5" s="6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</row>
    <row r="6" spans="1:37" ht="26.25" customHeight="1">
      <c r="A6" s="161" t="s">
        <v>465</v>
      </c>
      <c r="B6" s="172" t="s">
        <v>466</v>
      </c>
      <c r="C6" s="34" t="s">
        <v>7</v>
      </c>
      <c r="D6" s="34" t="s">
        <v>12</v>
      </c>
      <c r="E6" s="34" t="s">
        <v>11</v>
      </c>
      <c r="F6" s="34" t="s">
        <v>5</v>
      </c>
      <c r="G6" s="34" t="s">
        <v>16</v>
      </c>
      <c r="H6" s="35">
        <v>2010</v>
      </c>
      <c r="I6" s="31" t="s">
        <v>198</v>
      </c>
      <c r="J6" s="31" t="s">
        <v>199</v>
      </c>
      <c r="K6" s="31" t="s">
        <v>200</v>
      </c>
      <c r="L6" s="31" t="s">
        <v>199</v>
      </c>
      <c r="M6" s="169">
        <v>667558962</v>
      </c>
      <c r="N6" s="211"/>
      <c r="O6" s="211"/>
      <c r="P6" s="211"/>
      <c r="Q6" s="212"/>
      <c r="R6" s="200" t="s">
        <v>254</v>
      </c>
      <c r="S6" s="200"/>
      <c r="T6" s="200"/>
      <c r="U6" s="200" t="s">
        <v>255</v>
      </c>
      <c r="V6" s="200"/>
      <c r="W6" s="269"/>
      <c r="X6" s="179" t="s">
        <v>307</v>
      </c>
      <c r="Y6" s="83" t="s">
        <v>308</v>
      </c>
      <c r="Z6" s="83" t="s">
        <v>309</v>
      </c>
      <c r="AA6" s="83" t="s">
        <v>310</v>
      </c>
      <c r="AB6" s="83" t="s">
        <v>311</v>
      </c>
      <c r="AC6" s="83" t="s">
        <v>310</v>
      </c>
      <c r="AD6" s="83" t="s">
        <v>312</v>
      </c>
      <c r="AE6" s="83" t="s">
        <v>312</v>
      </c>
      <c r="AF6" s="83" t="s">
        <v>311</v>
      </c>
      <c r="AG6" s="83" t="s">
        <v>313</v>
      </c>
      <c r="AH6" s="83" t="s">
        <v>314</v>
      </c>
      <c r="AI6" s="83" t="s">
        <v>315</v>
      </c>
      <c r="AJ6" s="83" t="s">
        <v>316</v>
      </c>
      <c r="AK6" s="83" t="s">
        <v>317</v>
      </c>
    </row>
    <row r="7" spans="1:37" ht="14.25">
      <c r="A7" s="162"/>
      <c r="B7" s="173"/>
      <c r="C7" s="36">
        <f>SUM(C8+C27+C35+C53+C63+C71)</f>
        <v>1503831589</v>
      </c>
      <c r="D7" s="36">
        <f>SUM(D8+D27+D35+D53+D63+D71)</f>
        <v>427648442</v>
      </c>
      <c r="E7" s="36">
        <f>SUM(E8+E27+E35+E53+E63+E71)</f>
        <v>100700000</v>
      </c>
      <c r="F7" s="36">
        <f>SUM(F8)</f>
        <v>2000000</v>
      </c>
      <c r="G7" s="36">
        <f>SUM(G27)</f>
        <v>1000000</v>
      </c>
      <c r="H7" s="37">
        <f>SUM(C7:G7)</f>
        <v>2035180031</v>
      </c>
      <c r="I7" s="38">
        <f>+I8+I20+I28+I32+I35+I44+I53+I63+I73+I82+I91+I97+I101+I105+I115+I120+I122+I126</f>
        <v>212316271</v>
      </c>
      <c r="J7" s="38"/>
      <c r="K7" s="38"/>
      <c r="L7" s="38"/>
      <c r="M7" s="169"/>
      <c r="N7" s="38">
        <f>+N8+N27+N35+N53+N63+N71</f>
        <v>254020112</v>
      </c>
      <c r="O7" s="38">
        <f>+O8+O27+O35+O53+O63+O71</f>
        <v>203560112</v>
      </c>
      <c r="P7" s="39">
        <f>+M7-O7</f>
        <v>-203560112</v>
      </c>
      <c r="Q7" s="79">
        <f>+N7-O7</f>
        <v>50460000</v>
      </c>
      <c r="R7" s="62" t="s">
        <v>256</v>
      </c>
      <c r="S7" s="63" t="s">
        <v>257</v>
      </c>
      <c r="T7" s="63" t="s">
        <v>258</v>
      </c>
      <c r="U7" s="62" t="s">
        <v>256</v>
      </c>
      <c r="V7" s="63" t="s">
        <v>257</v>
      </c>
      <c r="W7" s="63" t="s">
        <v>258</v>
      </c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ht="14.25">
      <c r="A8" s="163" t="s">
        <v>467</v>
      </c>
      <c r="B8" s="174" t="s">
        <v>468</v>
      </c>
      <c r="C8" s="43">
        <f>SUM(C10+C20+C24)</f>
        <v>11866055</v>
      </c>
      <c r="D8" s="43">
        <f>SUM(D10+D24)</f>
        <v>101634490</v>
      </c>
      <c r="E8" s="43">
        <f>SUM(E10)</f>
        <v>2500000</v>
      </c>
      <c r="F8" s="43">
        <f>SUM(F14)</f>
        <v>2000000</v>
      </c>
      <c r="G8" s="40"/>
      <c r="H8" s="43">
        <f>SUM(C8:G8)</f>
        <v>118000545</v>
      </c>
      <c r="I8" s="41">
        <f>+I10+I20+I24</f>
        <v>28800518</v>
      </c>
      <c r="J8" s="41"/>
      <c r="K8" s="41"/>
      <c r="L8" s="41"/>
      <c r="M8" s="169">
        <v>99000000</v>
      </c>
      <c r="N8" s="41">
        <f>+N10+N24+N20</f>
        <v>698490</v>
      </c>
      <c r="O8" s="41">
        <f>+O10+O24+O20</f>
        <v>698490</v>
      </c>
      <c r="P8" s="39">
        <f aca="true" t="shared" si="0" ref="P8:P71">+M8-O8</f>
        <v>98301510</v>
      </c>
      <c r="Q8" s="79">
        <f aca="true" t="shared" si="1" ref="Q8:Q72">+N8-O8</f>
        <v>0</v>
      </c>
      <c r="R8" s="2"/>
      <c r="S8" s="2"/>
      <c r="T8" s="2"/>
      <c r="U8" s="2"/>
      <c r="V8" s="2"/>
      <c r="W8" s="2"/>
      <c r="X8" s="17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4.25">
      <c r="A9" s="163"/>
      <c r="B9" s="174"/>
      <c r="C9" s="40"/>
      <c r="D9" s="40"/>
      <c r="E9" s="40"/>
      <c r="F9" s="40"/>
      <c r="G9" s="40"/>
      <c r="H9" s="40"/>
      <c r="I9" s="44"/>
      <c r="J9" s="44"/>
      <c r="K9" s="44"/>
      <c r="L9" s="44"/>
      <c r="M9" s="170"/>
      <c r="N9" s="44"/>
      <c r="O9" s="44"/>
      <c r="P9" s="39">
        <f t="shared" si="0"/>
        <v>0</v>
      </c>
      <c r="Q9" s="79">
        <f t="shared" si="1"/>
        <v>0</v>
      </c>
      <c r="R9" s="2"/>
      <c r="S9" s="2"/>
      <c r="T9" s="2"/>
      <c r="U9" s="2"/>
      <c r="V9" s="2"/>
      <c r="W9" s="2"/>
      <c r="X9" s="17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4.25">
      <c r="A10" s="163" t="s">
        <v>469</v>
      </c>
      <c r="B10" s="174" t="s">
        <v>470</v>
      </c>
      <c r="C10" s="43">
        <f>SUM(C11:C18)</f>
        <v>4994560</v>
      </c>
      <c r="D10" s="43">
        <f>SUM(D11:D19)</f>
        <v>67634490</v>
      </c>
      <c r="E10" s="43">
        <f>SUM(E11)</f>
        <v>2500000</v>
      </c>
      <c r="F10" s="40"/>
      <c r="G10" s="40"/>
      <c r="H10" s="43">
        <f>SUM(C10:G10)</f>
        <v>75129050</v>
      </c>
      <c r="I10" s="39">
        <f>+I11+I12+I13+I14+I15+I16+I17+I18+I19</f>
        <v>28567498</v>
      </c>
      <c r="J10" s="44"/>
      <c r="K10" s="44"/>
      <c r="L10" s="44"/>
      <c r="M10" s="169">
        <v>79900878</v>
      </c>
      <c r="N10" s="45">
        <f>+N11+N12+N13+N14+N15+N16+N17+N18+N19</f>
        <v>0</v>
      </c>
      <c r="O10" s="45">
        <f>+O11+O12+O13+O14+O16+O17+O18+O19</f>
        <v>0</v>
      </c>
      <c r="P10" s="39">
        <f t="shared" si="0"/>
        <v>79900878</v>
      </c>
      <c r="Q10" s="79">
        <f t="shared" si="1"/>
        <v>0</v>
      </c>
      <c r="R10" s="2"/>
      <c r="S10" s="2"/>
      <c r="T10" s="2"/>
      <c r="U10" s="2"/>
      <c r="V10" s="2"/>
      <c r="W10" s="2"/>
      <c r="X10" s="17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4.25">
      <c r="A11" s="163"/>
      <c r="B11" s="174"/>
      <c r="C11" s="40">
        <v>2000000</v>
      </c>
      <c r="D11" s="40">
        <v>5000000</v>
      </c>
      <c r="E11" s="46">
        <v>2500000</v>
      </c>
      <c r="F11" s="40"/>
      <c r="G11" s="40"/>
      <c r="H11" s="40">
        <f aca="true" t="shared" si="2" ref="H11:H42">SUM(C11:G11)</f>
        <v>9500000</v>
      </c>
      <c r="I11" s="47">
        <v>15000000</v>
      </c>
      <c r="J11" s="44"/>
      <c r="K11" s="44"/>
      <c r="L11" s="44"/>
      <c r="M11" s="170"/>
      <c r="N11" s="45"/>
      <c r="O11" s="45"/>
      <c r="P11" s="45">
        <f t="shared" si="0"/>
        <v>0</v>
      </c>
      <c r="Q11" s="79">
        <f t="shared" si="1"/>
        <v>0</v>
      </c>
      <c r="R11" s="10"/>
      <c r="S11" s="10"/>
      <c r="T11" s="10"/>
      <c r="U11" s="10" t="s">
        <v>259</v>
      </c>
      <c r="V11" s="65">
        <v>0.84</v>
      </c>
      <c r="W11" s="65">
        <v>0.84</v>
      </c>
      <c r="X11" s="178"/>
      <c r="Y11" s="2"/>
      <c r="Z11" s="2" t="s">
        <v>319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89.25">
      <c r="A12" s="196" t="s">
        <v>471</v>
      </c>
      <c r="B12" s="181" t="s">
        <v>472</v>
      </c>
      <c r="C12" s="194">
        <v>494560</v>
      </c>
      <c r="D12" s="194">
        <v>3400000</v>
      </c>
      <c r="E12" s="194"/>
      <c r="F12" s="194"/>
      <c r="G12" s="194"/>
      <c r="H12" s="194">
        <f t="shared" si="2"/>
        <v>3894560</v>
      </c>
      <c r="I12" s="195"/>
      <c r="J12" s="195"/>
      <c r="K12" s="195"/>
      <c r="L12" s="195"/>
      <c r="M12" s="184">
        <v>9128700</v>
      </c>
      <c r="N12" s="45"/>
      <c r="O12" s="45"/>
      <c r="P12" s="45">
        <f t="shared" si="0"/>
        <v>9128700</v>
      </c>
      <c r="Q12" s="79">
        <f t="shared" si="1"/>
        <v>0</v>
      </c>
      <c r="R12" s="66" t="s">
        <v>260</v>
      </c>
      <c r="S12" s="10">
        <v>100</v>
      </c>
      <c r="T12" s="10">
        <v>100</v>
      </c>
      <c r="U12" s="10" t="s">
        <v>261</v>
      </c>
      <c r="V12" s="10">
        <f>1085+95</f>
        <v>1180</v>
      </c>
      <c r="W12" s="10">
        <v>1180</v>
      </c>
      <c r="X12" s="178" t="s">
        <v>668</v>
      </c>
      <c r="Y12" s="2"/>
      <c r="Z12" s="2"/>
      <c r="AA12" s="2" t="s">
        <v>319</v>
      </c>
      <c r="AB12" s="2" t="s">
        <v>319</v>
      </c>
      <c r="AC12" s="2" t="s">
        <v>319</v>
      </c>
      <c r="AD12" s="2"/>
      <c r="AE12" s="2"/>
      <c r="AF12" s="2" t="s">
        <v>319</v>
      </c>
      <c r="AG12" s="2" t="s">
        <v>319</v>
      </c>
      <c r="AH12" s="2"/>
      <c r="AI12" s="2"/>
      <c r="AJ12" s="2"/>
      <c r="AK12" s="2" t="s">
        <v>320</v>
      </c>
    </row>
    <row r="13" spans="1:37" ht="14.25">
      <c r="A13" s="163"/>
      <c r="B13" s="174"/>
      <c r="C13" s="40">
        <v>2500000</v>
      </c>
      <c r="D13" s="40"/>
      <c r="E13" s="40"/>
      <c r="F13" s="40"/>
      <c r="G13" s="40"/>
      <c r="H13" s="40">
        <f t="shared" si="2"/>
        <v>2500000</v>
      </c>
      <c r="I13" s="45">
        <v>567498</v>
      </c>
      <c r="J13" s="44"/>
      <c r="K13" s="44"/>
      <c r="L13" s="44"/>
      <c r="M13" s="170"/>
      <c r="N13" s="44"/>
      <c r="O13" s="44"/>
      <c r="P13" s="45">
        <f t="shared" si="0"/>
        <v>0</v>
      </c>
      <c r="Q13" s="79">
        <f t="shared" si="1"/>
        <v>0</v>
      </c>
      <c r="R13" s="66" t="s">
        <v>262</v>
      </c>
      <c r="S13" s="10">
        <v>3</v>
      </c>
      <c r="T13" s="10">
        <v>3</v>
      </c>
      <c r="U13" s="10" t="s">
        <v>263</v>
      </c>
      <c r="V13" s="10">
        <v>52</v>
      </c>
      <c r="W13" s="67">
        <v>50</v>
      </c>
      <c r="X13" s="17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38.25">
      <c r="A14" s="164" t="s">
        <v>473</v>
      </c>
      <c r="B14" s="175" t="s">
        <v>583</v>
      </c>
      <c r="C14" s="40"/>
      <c r="D14" s="40">
        <v>3000000</v>
      </c>
      <c r="E14" s="40"/>
      <c r="F14" s="40">
        <v>2000000</v>
      </c>
      <c r="G14" s="40"/>
      <c r="H14" s="40">
        <f t="shared" si="2"/>
        <v>5000000</v>
      </c>
      <c r="I14" s="47"/>
      <c r="J14" s="44"/>
      <c r="K14" s="44"/>
      <c r="L14" s="44"/>
      <c r="M14" s="170">
        <v>7824600</v>
      </c>
      <c r="N14" s="44"/>
      <c r="O14" s="44"/>
      <c r="P14" s="45">
        <f t="shared" si="0"/>
        <v>7824600</v>
      </c>
      <c r="Q14" s="79">
        <f t="shared" si="1"/>
        <v>0</v>
      </c>
      <c r="R14" s="66" t="s">
        <v>264</v>
      </c>
      <c r="S14" s="10">
        <v>100</v>
      </c>
      <c r="T14" s="10">
        <v>100</v>
      </c>
      <c r="U14" s="10"/>
      <c r="V14" s="10"/>
      <c r="W14" s="10"/>
      <c r="X14" s="178" t="s">
        <v>658</v>
      </c>
      <c r="Y14" s="2" t="s">
        <v>319</v>
      </c>
      <c r="Z14" s="2" t="s">
        <v>319</v>
      </c>
      <c r="AA14" s="2" t="s">
        <v>319</v>
      </c>
      <c r="AB14" s="2" t="s">
        <v>319</v>
      </c>
      <c r="AC14" s="2" t="s">
        <v>319</v>
      </c>
      <c r="AD14" s="2" t="s">
        <v>319</v>
      </c>
      <c r="AE14" s="2" t="s">
        <v>319</v>
      </c>
      <c r="AF14" s="2" t="s">
        <v>319</v>
      </c>
      <c r="AG14" s="2" t="s">
        <v>319</v>
      </c>
      <c r="AH14" s="2" t="s">
        <v>319</v>
      </c>
      <c r="AI14" s="2" t="s">
        <v>319</v>
      </c>
      <c r="AJ14" s="2" t="s">
        <v>319</v>
      </c>
      <c r="AK14" s="2" t="s">
        <v>321</v>
      </c>
    </row>
    <row r="15" spans="1:37" ht="76.5">
      <c r="A15" s="164" t="s">
        <v>475</v>
      </c>
      <c r="B15" s="175" t="s">
        <v>476</v>
      </c>
      <c r="C15" s="40"/>
      <c r="D15" s="40">
        <v>2000000</v>
      </c>
      <c r="E15" s="40"/>
      <c r="F15" s="40"/>
      <c r="G15" s="40"/>
      <c r="H15" s="40">
        <f t="shared" si="2"/>
        <v>2000000</v>
      </c>
      <c r="I15" s="44"/>
      <c r="J15" s="44"/>
      <c r="K15" s="44"/>
      <c r="L15" s="44"/>
      <c r="M15" s="170">
        <v>326025</v>
      </c>
      <c r="N15" s="44"/>
      <c r="O15" s="44"/>
      <c r="P15" s="45">
        <f t="shared" si="0"/>
        <v>326025</v>
      </c>
      <c r="Q15" s="79">
        <f t="shared" si="1"/>
        <v>0</v>
      </c>
      <c r="R15" s="66" t="s">
        <v>265</v>
      </c>
      <c r="S15" s="10">
        <v>150</v>
      </c>
      <c r="T15" s="10">
        <v>200</v>
      </c>
      <c r="U15" s="10"/>
      <c r="V15" s="10"/>
      <c r="W15" s="10"/>
      <c r="X15" s="178" t="s">
        <v>659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38.25">
      <c r="A16" s="164" t="s">
        <v>477</v>
      </c>
      <c r="B16" s="175" t="s">
        <v>478</v>
      </c>
      <c r="C16" s="40"/>
      <c r="D16" s="40">
        <v>5000000</v>
      </c>
      <c r="E16" s="40"/>
      <c r="F16" s="40"/>
      <c r="G16" s="40"/>
      <c r="H16" s="40">
        <f t="shared" si="2"/>
        <v>5000000</v>
      </c>
      <c r="I16" s="41"/>
      <c r="J16" s="41"/>
      <c r="K16" s="41"/>
      <c r="L16" s="41"/>
      <c r="M16" s="170">
        <v>652050</v>
      </c>
      <c r="N16" s="41"/>
      <c r="O16" s="41"/>
      <c r="P16" s="45">
        <f t="shared" si="0"/>
        <v>652050</v>
      </c>
      <c r="Q16" s="79">
        <f t="shared" si="1"/>
        <v>0</v>
      </c>
      <c r="R16" s="2"/>
      <c r="S16" s="2"/>
      <c r="T16" s="2"/>
      <c r="U16" s="2"/>
      <c r="V16" s="2"/>
      <c r="W16" s="2"/>
      <c r="X16" s="178" t="s">
        <v>660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4.25" customHeight="1">
      <c r="A17" s="164" t="s">
        <v>479</v>
      </c>
      <c r="B17" s="175" t="s">
        <v>480</v>
      </c>
      <c r="C17" s="40"/>
      <c r="D17" s="40">
        <v>2234490</v>
      </c>
      <c r="E17" s="40"/>
      <c r="F17" s="40"/>
      <c r="G17" s="40"/>
      <c r="H17" s="40">
        <f t="shared" si="2"/>
        <v>2234490</v>
      </c>
      <c r="I17" s="44"/>
      <c r="J17" s="44"/>
      <c r="K17" s="44"/>
      <c r="L17" s="44"/>
      <c r="M17" s="170">
        <v>326025</v>
      </c>
      <c r="N17" s="44"/>
      <c r="O17" s="44"/>
      <c r="P17" s="45">
        <f t="shared" si="0"/>
        <v>326025</v>
      </c>
      <c r="Q17" s="79">
        <f t="shared" si="1"/>
        <v>0</v>
      </c>
      <c r="R17" s="2"/>
      <c r="S17" s="2"/>
      <c r="T17" s="2"/>
      <c r="U17" s="2"/>
      <c r="V17" s="2"/>
      <c r="W17" s="2"/>
      <c r="X17" s="178" t="s">
        <v>661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4.25">
      <c r="A18" s="164"/>
      <c r="B18" s="175"/>
      <c r="C18" s="40"/>
      <c r="D18" s="40">
        <v>45000000</v>
      </c>
      <c r="E18" s="40"/>
      <c r="F18" s="40"/>
      <c r="G18" s="40"/>
      <c r="H18" s="40">
        <f t="shared" si="2"/>
        <v>45000000</v>
      </c>
      <c r="I18" s="44"/>
      <c r="J18" s="44"/>
      <c r="K18" s="44"/>
      <c r="L18" s="44"/>
      <c r="M18" s="170"/>
      <c r="N18" s="45"/>
      <c r="O18" s="45"/>
      <c r="P18" s="45">
        <f t="shared" si="0"/>
        <v>0</v>
      </c>
      <c r="Q18" s="79">
        <f t="shared" si="1"/>
        <v>0</v>
      </c>
      <c r="R18" s="2"/>
      <c r="S18" s="2"/>
      <c r="T18" s="2"/>
      <c r="U18" s="2"/>
      <c r="V18" s="2"/>
      <c r="W18" s="2"/>
      <c r="X18" s="178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28.5">
      <c r="A19" s="163" t="s">
        <v>481</v>
      </c>
      <c r="B19" s="174" t="s">
        <v>482</v>
      </c>
      <c r="C19" s="40"/>
      <c r="D19" s="40">
        <v>2000000</v>
      </c>
      <c r="E19" s="40"/>
      <c r="F19" s="40"/>
      <c r="G19" s="40"/>
      <c r="H19" s="40">
        <f t="shared" si="2"/>
        <v>2000000</v>
      </c>
      <c r="I19" s="47">
        <v>13000000</v>
      </c>
      <c r="J19" s="44"/>
      <c r="K19" s="44"/>
      <c r="L19" s="44"/>
      <c r="M19" s="169">
        <v>62015940</v>
      </c>
      <c r="N19" s="45"/>
      <c r="O19" s="45"/>
      <c r="P19" s="45">
        <f t="shared" si="0"/>
        <v>62015940</v>
      </c>
      <c r="Q19" s="79">
        <f t="shared" si="1"/>
        <v>0</v>
      </c>
      <c r="R19" s="2"/>
      <c r="S19" s="2"/>
      <c r="T19" s="2"/>
      <c r="U19" s="2"/>
      <c r="V19" s="2"/>
      <c r="W19" s="2"/>
      <c r="X19" s="17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21.75" customHeight="1">
      <c r="A20" s="164"/>
      <c r="B20" s="175"/>
      <c r="C20" s="43">
        <f>SUM(C21:C23)</f>
        <v>4800000</v>
      </c>
      <c r="D20" s="43"/>
      <c r="E20" s="43"/>
      <c r="F20" s="43"/>
      <c r="G20" s="43"/>
      <c r="H20" s="43">
        <f t="shared" si="2"/>
        <v>4800000</v>
      </c>
      <c r="I20" s="45">
        <f>+I21+I22+I23</f>
        <v>0</v>
      </c>
      <c r="J20" s="44"/>
      <c r="K20" s="44"/>
      <c r="L20" s="44"/>
      <c r="M20" s="170"/>
      <c r="N20" s="39">
        <f>+N23+N22+N21</f>
        <v>698490</v>
      </c>
      <c r="O20" s="39">
        <f>+O23+O22+O21</f>
        <v>698490</v>
      </c>
      <c r="P20" s="39">
        <f t="shared" si="0"/>
        <v>-698490</v>
      </c>
      <c r="Q20" s="79">
        <f t="shared" si="1"/>
        <v>0</v>
      </c>
      <c r="R20" s="2"/>
      <c r="S20" s="2"/>
      <c r="T20" s="2"/>
      <c r="U20" s="2"/>
      <c r="V20" s="2"/>
      <c r="W20" s="2"/>
      <c r="X20" s="17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4.25">
      <c r="A21" s="164" t="s">
        <v>483</v>
      </c>
      <c r="B21" s="175" t="s">
        <v>484</v>
      </c>
      <c r="C21" s="46">
        <v>2500000</v>
      </c>
      <c r="D21" s="40"/>
      <c r="E21" s="40"/>
      <c r="F21" s="40"/>
      <c r="G21" s="40"/>
      <c r="H21" s="40">
        <f t="shared" si="2"/>
        <v>2500000</v>
      </c>
      <c r="I21" s="44"/>
      <c r="J21" s="44"/>
      <c r="K21" s="44"/>
      <c r="L21" s="44"/>
      <c r="M21" s="170">
        <v>62015940</v>
      </c>
      <c r="N21" s="47">
        <f>236000+197200</f>
        <v>433200</v>
      </c>
      <c r="O21" s="47">
        <f>236000+197200</f>
        <v>433200</v>
      </c>
      <c r="P21" s="45">
        <f t="shared" si="0"/>
        <v>61582740</v>
      </c>
      <c r="Q21" s="79">
        <f t="shared" si="1"/>
        <v>0</v>
      </c>
      <c r="R21" s="2"/>
      <c r="S21" s="2"/>
      <c r="T21" s="2"/>
      <c r="U21" s="2"/>
      <c r="V21" s="2"/>
      <c r="W21" s="2"/>
      <c r="X21" s="178"/>
      <c r="Y21" s="2"/>
      <c r="Z21" s="2"/>
      <c r="AA21" s="2"/>
      <c r="AB21" s="2"/>
      <c r="AC21" s="2" t="s">
        <v>318</v>
      </c>
      <c r="AD21" s="2"/>
      <c r="AE21" s="2"/>
      <c r="AF21" s="2"/>
      <c r="AG21" s="2" t="s">
        <v>318</v>
      </c>
      <c r="AH21" s="2" t="s">
        <v>318</v>
      </c>
      <c r="AI21" s="2" t="s">
        <v>318</v>
      </c>
      <c r="AJ21" s="2"/>
      <c r="AK21" s="2" t="s">
        <v>320</v>
      </c>
    </row>
    <row r="22" spans="1:37" ht="14.25">
      <c r="A22" s="164"/>
      <c r="B22" s="174"/>
      <c r="C22" s="46">
        <v>1500000</v>
      </c>
      <c r="D22" s="40"/>
      <c r="E22" s="40"/>
      <c r="F22" s="40"/>
      <c r="G22" s="40"/>
      <c r="H22" s="40">
        <f t="shared" si="2"/>
        <v>1500000</v>
      </c>
      <c r="I22" s="41"/>
      <c r="J22" s="41"/>
      <c r="K22" s="41"/>
      <c r="L22" s="41"/>
      <c r="M22" s="170"/>
      <c r="N22" s="48">
        <f>56640+87240</f>
        <v>143880</v>
      </c>
      <c r="O22" s="48">
        <f>56640+87240</f>
        <v>143880</v>
      </c>
      <c r="P22" s="45">
        <f t="shared" si="0"/>
        <v>-143880</v>
      </c>
      <c r="Q22" s="79">
        <f t="shared" si="1"/>
        <v>0</v>
      </c>
      <c r="R22" s="2"/>
      <c r="S22" s="2"/>
      <c r="T22" s="2"/>
      <c r="U22" s="2"/>
      <c r="V22" s="2"/>
      <c r="W22" s="2"/>
      <c r="X22" s="178"/>
      <c r="Y22" s="2"/>
      <c r="Z22" s="2"/>
      <c r="AA22" s="2"/>
      <c r="AB22" s="2"/>
      <c r="AC22" s="2" t="s">
        <v>318</v>
      </c>
      <c r="AD22" s="2"/>
      <c r="AE22" s="2"/>
      <c r="AF22" s="2"/>
      <c r="AG22" s="2"/>
      <c r="AH22" s="2"/>
      <c r="AI22" s="2"/>
      <c r="AJ22" s="2"/>
      <c r="AK22" s="2"/>
    </row>
    <row r="23" spans="1:37" ht="102">
      <c r="A23" s="196" t="s">
        <v>485</v>
      </c>
      <c r="B23" s="181" t="s">
        <v>486</v>
      </c>
      <c r="C23" s="193">
        <v>800000</v>
      </c>
      <c r="D23" s="194"/>
      <c r="E23" s="194"/>
      <c r="F23" s="194"/>
      <c r="G23" s="194"/>
      <c r="H23" s="194">
        <f t="shared" si="2"/>
        <v>800000</v>
      </c>
      <c r="I23" s="199"/>
      <c r="J23" s="199"/>
      <c r="K23" s="199"/>
      <c r="L23" s="199"/>
      <c r="M23" s="184">
        <v>2707227</v>
      </c>
      <c r="N23" s="48">
        <v>121410</v>
      </c>
      <c r="O23" s="48">
        <v>121410</v>
      </c>
      <c r="P23" s="45">
        <f t="shared" si="0"/>
        <v>2585817</v>
      </c>
      <c r="Q23" s="79">
        <f t="shared" si="1"/>
        <v>0</v>
      </c>
      <c r="R23" s="2"/>
      <c r="S23" s="2"/>
      <c r="T23" s="2"/>
      <c r="U23" s="2"/>
      <c r="V23" s="2"/>
      <c r="W23" s="2"/>
      <c r="X23" s="178" t="s">
        <v>662</v>
      </c>
      <c r="Y23" s="2"/>
      <c r="Z23" s="2"/>
      <c r="AA23" s="2"/>
      <c r="AB23" s="2"/>
      <c r="AC23" s="2"/>
      <c r="AD23" s="2" t="s">
        <v>318</v>
      </c>
      <c r="AE23" s="2"/>
      <c r="AF23" s="2"/>
      <c r="AG23" s="2"/>
      <c r="AH23" s="2"/>
      <c r="AI23" s="2"/>
      <c r="AJ23" s="2"/>
      <c r="AK23" s="2" t="s">
        <v>321</v>
      </c>
    </row>
    <row r="24" spans="1:37" ht="14.25">
      <c r="A24" s="164"/>
      <c r="B24" s="175"/>
      <c r="C24" s="43">
        <f>SUM(C25)</f>
        <v>2071495</v>
      </c>
      <c r="D24" s="43">
        <f>SUM(D25:D26)</f>
        <v>34000000</v>
      </c>
      <c r="E24" s="40"/>
      <c r="F24" s="40"/>
      <c r="G24" s="40"/>
      <c r="H24" s="43">
        <f t="shared" si="2"/>
        <v>36071495</v>
      </c>
      <c r="I24" s="39">
        <f>+I25+I26</f>
        <v>233020</v>
      </c>
      <c r="J24" s="44"/>
      <c r="K24" s="44"/>
      <c r="L24" s="44"/>
      <c r="M24" s="170"/>
      <c r="N24" s="45">
        <f>+N25+N26</f>
        <v>0</v>
      </c>
      <c r="O24" s="45">
        <f>+O25+O26</f>
        <v>0</v>
      </c>
      <c r="P24" s="39">
        <f t="shared" si="0"/>
        <v>0</v>
      </c>
      <c r="Q24" s="79">
        <f t="shared" si="1"/>
        <v>0</v>
      </c>
      <c r="R24" s="2"/>
      <c r="S24" s="2"/>
      <c r="T24" s="2"/>
      <c r="U24" s="2"/>
      <c r="V24" s="2"/>
      <c r="W24" s="2"/>
      <c r="X24" s="17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4.25">
      <c r="A25" s="164" t="s">
        <v>487</v>
      </c>
      <c r="B25" s="175" t="s">
        <v>488</v>
      </c>
      <c r="C25" s="46">
        <v>2071495</v>
      </c>
      <c r="D25" s="46">
        <v>32000000</v>
      </c>
      <c r="E25" s="40"/>
      <c r="F25" s="40"/>
      <c r="G25" s="40"/>
      <c r="H25" s="40">
        <f t="shared" si="2"/>
        <v>34071495</v>
      </c>
      <c r="I25" s="47">
        <v>233020</v>
      </c>
      <c r="J25" s="44"/>
      <c r="K25" s="44"/>
      <c r="L25" s="44"/>
      <c r="M25" s="170">
        <v>670000</v>
      </c>
      <c r="N25" s="44"/>
      <c r="O25" s="44"/>
      <c r="P25" s="45">
        <f t="shared" si="0"/>
        <v>670000</v>
      </c>
      <c r="Q25" s="79">
        <f t="shared" si="1"/>
        <v>0</v>
      </c>
      <c r="R25" s="10" t="s">
        <v>266</v>
      </c>
      <c r="S25" s="10">
        <v>1085</v>
      </c>
      <c r="T25" s="10">
        <v>1085</v>
      </c>
      <c r="U25" s="2"/>
      <c r="V25" s="2"/>
      <c r="W25" s="2"/>
      <c r="X25" s="178" t="s">
        <v>663</v>
      </c>
      <c r="Y25" s="2" t="s">
        <v>319</v>
      </c>
      <c r="Z25" s="2" t="s">
        <v>319</v>
      </c>
      <c r="AA25" s="2" t="s">
        <v>319</v>
      </c>
      <c r="AB25" s="2" t="s">
        <v>319</v>
      </c>
      <c r="AC25" s="2" t="s">
        <v>319</v>
      </c>
      <c r="AD25" s="2" t="s">
        <v>319</v>
      </c>
      <c r="AE25" s="2" t="s">
        <v>319</v>
      </c>
      <c r="AF25" s="2" t="s">
        <v>319</v>
      </c>
      <c r="AG25" s="2" t="s">
        <v>319</v>
      </c>
      <c r="AH25" s="2" t="s">
        <v>319</v>
      </c>
      <c r="AI25" s="2" t="s">
        <v>319</v>
      </c>
      <c r="AJ25" s="2" t="s">
        <v>319</v>
      </c>
      <c r="AK25" s="2"/>
    </row>
    <row r="26" spans="1:37" ht="14.25">
      <c r="A26" s="164" t="s">
        <v>489</v>
      </c>
      <c r="B26" s="175" t="s">
        <v>490</v>
      </c>
      <c r="C26" s="46"/>
      <c r="D26" s="46">
        <v>2000000</v>
      </c>
      <c r="E26" s="40"/>
      <c r="F26" s="40"/>
      <c r="G26" s="40"/>
      <c r="H26" s="40">
        <f t="shared" si="2"/>
        <v>2000000</v>
      </c>
      <c r="I26" s="41"/>
      <c r="J26" s="41"/>
      <c r="K26" s="41"/>
      <c r="L26" s="41"/>
      <c r="M26" s="170">
        <v>955000</v>
      </c>
      <c r="N26" s="41"/>
      <c r="O26" s="41"/>
      <c r="P26" s="45">
        <f t="shared" si="0"/>
        <v>955000</v>
      </c>
      <c r="Q26" s="79">
        <f t="shared" si="1"/>
        <v>0</v>
      </c>
      <c r="R26" s="10" t="s">
        <v>267</v>
      </c>
      <c r="S26" s="10">
        <v>7</v>
      </c>
      <c r="T26" s="10">
        <v>7</v>
      </c>
      <c r="U26" s="2"/>
      <c r="V26" s="2"/>
      <c r="W26" s="2"/>
      <c r="X26" s="178" t="s">
        <v>664</v>
      </c>
      <c r="Y26" s="2" t="s">
        <v>319</v>
      </c>
      <c r="Z26" s="2" t="s">
        <v>319</v>
      </c>
      <c r="AA26" s="2" t="s">
        <v>319</v>
      </c>
      <c r="AB26" s="2" t="s">
        <v>319</v>
      </c>
      <c r="AC26" s="2" t="s">
        <v>319</v>
      </c>
      <c r="AD26" s="2" t="s">
        <v>319</v>
      </c>
      <c r="AE26" s="2" t="s">
        <v>319</v>
      </c>
      <c r="AF26" s="2" t="s">
        <v>319</v>
      </c>
      <c r="AG26" s="2" t="s">
        <v>319</v>
      </c>
      <c r="AH26" s="2" t="s">
        <v>319</v>
      </c>
      <c r="AI26" s="2" t="s">
        <v>319</v>
      </c>
      <c r="AJ26" s="2" t="s">
        <v>319</v>
      </c>
      <c r="AK26" s="2" t="s">
        <v>321</v>
      </c>
    </row>
    <row r="27" spans="1:37" ht="28.5">
      <c r="A27" s="164" t="s">
        <v>491</v>
      </c>
      <c r="B27" s="175" t="s">
        <v>492</v>
      </c>
      <c r="C27" s="43">
        <f>SUM(C28+C32)</f>
        <v>98754667</v>
      </c>
      <c r="D27" s="43">
        <f>SUM(D28+D32)</f>
        <v>66303952</v>
      </c>
      <c r="E27" s="43">
        <f>SUM(E28)</f>
        <v>43000000</v>
      </c>
      <c r="F27" s="40"/>
      <c r="G27" s="43">
        <f>SUM(G28)</f>
        <v>1000000</v>
      </c>
      <c r="H27" s="43">
        <f t="shared" si="2"/>
        <v>209058619</v>
      </c>
      <c r="I27" s="41"/>
      <c r="J27" s="41"/>
      <c r="K27" s="41"/>
      <c r="L27" s="41"/>
      <c r="M27" s="170">
        <v>41217</v>
      </c>
      <c r="N27" s="41"/>
      <c r="O27" s="41"/>
      <c r="P27" s="39">
        <f t="shared" si="0"/>
        <v>41217</v>
      </c>
      <c r="Q27" s="79">
        <f t="shared" si="1"/>
        <v>0</v>
      </c>
      <c r="R27" s="2"/>
      <c r="S27" s="2"/>
      <c r="T27" s="2"/>
      <c r="U27" s="2"/>
      <c r="V27" s="2"/>
      <c r="W27" s="2"/>
      <c r="X27" s="178" t="s">
        <v>665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4.25">
      <c r="A28" s="164" t="s">
        <v>493</v>
      </c>
      <c r="B28" s="175" t="s">
        <v>494</v>
      </c>
      <c r="C28" s="43">
        <f>SUM(C29:C31)</f>
        <v>93845911</v>
      </c>
      <c r="D28" s="43">
        <f>SUM(D29:D31)</f>
        <v>6303952</v>
      </c>
      <c r="E28" s="43">
        <f>SUM(E29)</f>
        <v>43000000</v>
      </c>
      <c r="F28" s="40"/>
      <c r="G28" s="43">
        <f>SUM(G29)</f>
        <v>1000000</v>
      </c>
      <c r="H28" s="43">
        <f t="shared" si="2"/>
        <v>144149863</v>
      </c>
      <c r="I28" s="39">
        <f>+I29+I30+I31</f>
        <v>9286349</v>
      </c>
      <c r="J28" s="44"/>
      <c r="K28" s="44"/>
      <c r="L28" s="44"/>
      <c r="M28" s="170">
        <v>652050</v>
      </c>
      <c r="N28" s="39">
        <f>+N29+N30+N31</f>
        <v>40794568</v>
      </c>
      <c r="O28" s="39">
        <f>+O29+O30+O31</f>
        <v>40794568</v>
      </c>
      <c r="P28" s="39">
        <f t="shared" si="0"/>
        <v>-40142518</v>
      </c>
      <c r="Q28" s="79">
        <f t="shared" si="1"/>
        <v>0</v>
      </c>
      <c r="R28" s="2"/>
      <c r="S28" s="2"/>
      <c r="T28" s="2"/>
      <c r="U28" s="2"/>
      <c r="V28" s="2"/>
      <c r="W28" s="2"/>
      <c r="X28" s="178" t="s">
        <v>666</v>
      </c>
      <c r="Y28" s="2"/>
      <c r="Z28" s="2" t="s">
        <v>319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" customHeight="1">
      <c r="A29" s="164" t="s">
        <v>495</v>
      </c>
      <c r="B29" s="175" t="s">
        <v>496</v>
      </c>
      <c r="C29" s="40">
        <v>93845911</v>
      </c>
      <c r="D29" s="40"/>
      <c r="E29" s="40">
        <v>43000000</v>
      </c>
      <c r="F29" s="40"/>
      <c r="G29" s="40">
        <v>1000000</v>
      </c>
      <c r="H29" s="40">
        <f t="shared" si="2"/>
        <v>137845911</v>
      </c>
      <c r="I29" s="47">
        <v>9286349</v>
      </c>
      <c r="J29" s="44"/>
      <c r="K29" s="44"/>
      <c r="L29" s="44"/>
      <c r="M29" s="170">
        <v>73960</v>
      </c>
      <c r="N29" s="47">
        <f>7004241+6491191+13870623+13428513</f>
        <v>40794568</v>
      </c>
      <c r="O29" s="47">
        <f>7004241+6491191+13870623+13428513</f>
        <v>40794568</v>
      </c>
      <c r="P29" s="45">
        <f t="shared" si="0"/>
        <v>-40720608</v>
      </c>
      <c r="Q29" s="79">
        <f t="shared" si="1"/>
        <v>0</v>
      </c>
      <c r="R29" s="66" t="s">
        <v>268</v>
      </c>
      <c r="S29" s="10">
        <v>100</v>
      </c>
      <c r="T29" s="10">
        <v>100</v>
      </c>
      <c r="U29" s="10" t="s">
        <v>269</v>
      </c>
      <c r="V29" s="10">
        <v>0</v>
      </c>
      <c r="W29" s="10">
        <v>0</v>
      </c>
      <c r="X29" s="178" t="s">
        <v>666</v>
      </c>
      <c r="Y29" s="2"/>
      <c r="Z29" s="2"/>
      <c r="AA29" s="2"/>
      <c r="AB29" s="2" t="s">
        <v>318</v>
      </c>
      <c r="AC29" s="2"/>
      <c r="AD29" s="2"/>
      <c r="AE29" s="2"/>
      <c r="AF29" s="2"/>
      <c r="AG29" s="2" t="s">
        <v>318</v>
      </c>
      <c r="AH29" s="2"/>
      <c r="AI29" s="2"/>
      <c r="AJ29" s="2"/>
      <c r="AK29" s="2" t="s">
        <v>321</v>
      </c>
    </row>
    <row r="30" spans="1:37" ht="12.75" customHeight="1">
      <c r="A30" s="164" t="s">
        <v>497</v>
      </c>
      <c r="B30" s="175" t="s">
        <v>498</v>
      </c>
      <c r="C30" s="40"/>
      <c r="D30" s="40">
        <v>292000</v>
      </c>
      <c r="E30" s="40"/>
      <c r="F30" s="40"/>
      <c r="G30" s="40"/>
      <c r="H30" s="40">
        <f t="shared" si="2"/>
        <v>292000</v>
      </c>
      <c r="I30" s="44"/>
      <c r="J30" s="44"/>
      <c r="K30" s="44"/>
      <c r="L30" s="44"/>
      <c r="M30" s="170">
        <v>315000</v>
      </c>
      <c r="N30" s="44"/>
      <c r="O30" s="44"/>
      <c r="P30" s="45">
        <f t="shared" si="0"/>
        <v>315000</v>
      </c>
      <c r="Q30" s="79">
        <f t="shared" si="1"/>
        <v>0</v>
      </c>
      <c r="R30" s="66" t="s">
        <v>270</v>
      </c>
      <c r="S30" s="10">
        <v>3430</v>
      </c>
      <c r="T30" s="10">
        <v>3400</v>
      </c>
      <c r="U30" s="10" t="s">
        <v>271</v>
      </c>
      <c r="V30" s="10"/>
      <c r="W30" s="10"/>
      <c r="X30" s="178" t="s">
        <v>666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4.25">
      <c r="A31" s="164"/>
      <c r="B31" s="175"/>
      <c r="C31" s="40"/>
      <c r="D31" s="40">
        <v>6011952</v>
      </c>
      <c r="E31" s="40"/>
      <c r="F31" s="40"/>
      <c r="G31" s="40"/>
      <c r="H31" s="40">
        <f t="shared" si="2"/>
        <v>6011952</v>
      </c>
      <c r="I31" s="44"/>
      <c r="J31" s="44"/>
      <c r="K31" s="44"/>
      <c r="L31" s="44"/>
      <c r="M31" s="170"/>
      <c r="N31" s="44"/>
      <c r="O31" s="44"/>
      <c r="P31" s="45">
        <f t="shared" si="0"/>
        <v>0</v>
      </c>
      <c r="Q31" s="79">
        <f t="shared" si="1"/>
        <v>0</v>
      </c>
      <c r="R31" s="2"/>
      <c r="S31" s="2"/>
      <c r="T31" s="2"/>
      <c r="U31" s="2"/>
      <c r="V31" s="2"/>
      <c r="W31" s="2"/>
      <c r="X31" s="17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42.75">
      <c r="A32" s="163" t="s">
        <v>499</v>
      </c>
      <c r="B32" s="174" t="s">
        <v>500</v>
      </c>
      <c r="C32" s="43">
        <f>SUM(C33)</f>
        <v>4908756</v>
      </c>
      <c r="D32" s="43">
        <f>SUM(D33:D34)</f>
        <v>60000000</v>
      </c>
      <c r="E32" s="40"/>
      <c r="F32" s="40"/>
      <c r="G32" s="40"/>
      <c r="H32" s="43">
        <f t="shared" si="2"/>
        <v>64908756</v>
      </c>
      <c r="I32" s="41">
        <f>+I33+I34</f>
        <v>20480059</v>
      </c>
      <c r="J32" s="41"/>
      <c r="K32" s="41"/>
      <c r="L32" s="41"/>
      <c r="M32" s="169">
        <v>6049011</v>
      </c>
      <c r="N32" s="41">
        <f>+N33+N34</f>
        <v>0</v>
      </c>
      <c r="O32" s="41">
        <f>+O33+O34</f>
        <v>0</v>
      </c>
      <c r="P32" s="39">
        <f t="shared" si="0"/>
        <v>6049011</v>
      </c>
      <c r="Q32" s="79">
        <f t="shared" si="1"/>
        <v>0</v>
      </c>
      <c r="R32" s="6"/>
      <c r="S32" s="6"/>
      <c r="T32" s="6"/>
      <c r="U32" s="10" t="s">
        <v>272</v>
      </c>
      <c r="V32" s="2"/>
      <c r="W32" s="2"/>
      <c r="X32" s="178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4.25">
      <c r="A33" s="164" t="s">
        <v>501</v>
      </c>
      <c r="B33" s="175" t="s">
        <v>502</v>
      </c>
      <c r="C33" s="40">
        <v>4908756</v>
      </c>
      <c r="D33" s="40"/>
      <c r="E33" s="40"/>
      <c r="F33" s="40"/>
      <c r="G33" s="40"/>
      <c r="H33" s="40">
        <f t="shared" si="2"/>
        <v>4908756</v>
      </c>
      <c r="I33" s="48">
        <v>480059</v>
      </c>
      <c r="J33" s="41"/>
      <c r="K33" s="41"/>
      <c r="L33" s="41"/>
      <c r="M33" s="170">
        <v>39480</v>
      </c>
      <c r="N33" s="41"/>
      <c r="O33" s="41"/>
      <c r="P33" s="45">
        <f t="shared" si="0"/>
        <v>39480</v>
      </c>
      <c r="Q33" s="79">
        <f t="shared" si="1"/>
        <v>0</v>
      </c>
      <c r="R33" s="2"/>
      <c r="S33" s="2"/>
      <c r="T33" s="2"/>
      <c r="U33" s="2"/>
      <c r="V33" s="2"/>
      <c r="W33" s="2"/>
      <c r="X33" s="17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4.25">
      <c r="A34" s="164" t="s">
        <v>503</v>
      </c>
      <c r="B34" s="175" t="s">
        <v>504</v>
      </c>
      <c r="C34" s="49"/>
      <c r="D34" s="40">
        <v>60000000</v>
      </c>
      <c r="E34" s="40"/>
      <c r="F34" s="40"/>
      <c r="G34" s="40"/>
      <c r="H34" s="40">
        <f t="shared" si="2"/>
        <v>60000000</v>
      </c>
      <c r="I34" s="45">
        <v>20000000</v>
      </c>
      <c r="J34" s="44"/>
      <c r="K34" s="44"/>
      <c r="L34" s="44"/>
      <c r="M34" s="170">
        <v>39480</v>
      </c>
      <c r="N34" s="44"/>
      <c r="O34" s="44"/>
      <c r="P34" s="45">
        <f t="shared" si="0"/>
        <v>39480</v>
      </c>
      <c r="Q34" s="79">
        <f t="shared" si="1"/>
        <v>0</v>
      </c>
      <c r="R34" s="2"/>
      <c r="S34" s="2"/>
      <c r="T34" s="2"/>
      <c r="U34" s="2"/>
      <c r="V34" s="2"/>
      <c r="W34" s="2"/>
      <c r="X34" s="17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4.25">
      <c r="A35" s="164" t="s">
        <v>505</v>
      </c>
      <c r="B35" s="175" t="s">
        <v>506</v>
      </c>
      <c r="C35" s="43">
        <f>SUM(C36+C44)</f>
        <v>266439683</v>
      </c>
      <c r="D35" s="43">
        <f>SUM(D36+D44)</f>
        <v>10910000</v>
      </c>
      <c r="E35" s="43">
        <f>SUM(E36+E44)</f>
        <v>16500000</v>
      </c>
      <c r="F35" s="40"/>
      <c r="G35" s="40"/>
      <c r="H35" s="43">
        <f t="shared" si="2"/>
        <v>293849683</v>
      </c>
      <c r="I35" s="41">
        <f>++I36+I37+I38+I39+I40+I41+I42+I43</f>
        <v>19730129</v>
      </c>
      <c r="J35" s="41"/>
      <c r="K35" s="41"/>
      <c r="L35" s="41"/>
      <c r="M35" s="170">
        <v>79960</v>
      </c>
      <c r="N35" s="41">
        <f>+N36+N44</f>
        <v>5467860</v>
      </c>
      <c r="O35" s="41">
        <f>+O36+O44</f>
        <v>4467860</v>
      </c>
      <c r="P35" s="39">
        <f t="shared" si="0"/>
        <v>-4387900</v>
      </c>
      <c r="Q35" s="79">
        <f t="shared" si="1"/>
        <v>1000000</v>
      </c>
      <c r="R35" s="2"/>
      <c r="S35" s="2"/>
      <c r="T35" s="2"/>
      <c r="U35" s="2"/>
      <c r="V35" s="2"/>
      <c r="W35" s="2"/>
      <c r="X35" s="17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4.25">
      <c r="A36" s="164" t="s">
        <v>507</v>
      </c>
      <c r="B36" s="175" t="s">
        <v>508</v>
      </c>
      <c r="C36" s="43">
        <f>SUM(C37:C42)</f>
        <v>185689683</v>
      </c>
      <c r="D36" s="40"/>
      <c r="E36" s="43">
        <f>SUM(E37:E43)</f>
        <v>1500000</v>
      </c>
      <c r="F36" s="40"/>
      <c r="G36" s="40"/>
      <c r="H36" s="43">
        <f t="shared" si="2"/>
        <v>187189683</v>
      </c>
      <c r="I36" s="41"/>
      <c r="J36" s="41"/>
      <c r="K36" s="41"/>
      <c r="L36" s="41"/>
      <c r="M36" s="170">
        <v>237880</v>
      </c>
      <c r="N36" s="41">
        <f>+N37+N38+N39+N40+N41+N42+N43</f>
        <v>5467860</v>
      </c>
      <c r="O36" s="41">
        <f>+O37+O38+O39+O40+O41+O42+O43</f>
        <v>4467860</v>
      </c>
      <c r="P36" s="39">
        <f t="shared" si="0"/>
        <v>-4229980</v>
      </c>
      <c r="Q36" s="79">
        <f t="shared" si="1"/>
        <v>1000000</v>
      </c>
      <c r="R36" s="2"/>
      <c r="S36" s="2"/>
      <c r="T36" s="2"/>
      <c r="U36" s="2"/>
      <c r="V36" s="2"/>
      <c r="W36" s="2"/>
      <c r="X36" s="178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25">
      <c r="A37" s="164" t="s">
        <v>509</v>
      </c>
      <c r="B37" s="175" t="s">
        <v>510</v>
      </c>
      <c r="C37" s="46">
        <v>39750000</v>
      </c>
      <c r="D37" s="40"/>
      <c r="E37" s="40"/>
      <c r="F37" s="40"/>
      <c r="G37" s="40"/>
      <c r="H37" s="40">
        <f t="shared" si="2"/>
        <v>39750000</v>
      </c>
      <c r="I37" s="45"/>
      <c r="J37" s="44"/>
      <c r="K37" s="44"/>
      <c r="L37" s="44"/>
      <c r="M37" s="170">
        <v>5358211</v>
      </c>
      <c r="N37" s="45"/>
      <c r="O37" s="45"/>
      <c r="P37" s="45">
        <f t="shared" si="0"/>
        <v>5358211</v>
      </c>
      <c r="Q37" s="79">
        <f t="shared" si="1"/>
        <v>0</v>
      </c>
      <c r="R37" s="10" t="s">
        <v>273</v>
      </c>
      <c r="S37" s="10">
        <v>65</v>
      </c>
      <c r="T37" s="10">
        <v>85</v>
      </c>
      <c r="U37" s="10"/>
      <c r="V37" s="10"/>
      <c r="W37" s="10"/>
      <c r="X37" s="178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4.25">
      <c r="A38" s="164" t="s">
        <v>511</v>
      </c>
      <c r="B38" s="175" t="s">
        <v>512</v>
      </c>
      <c r="C38" s="46">
        <v>9568095</v>
      </c>
      <c r="D38" s="40"/>
      <c r="E38" s="40"/>
      <c r="F38" s="40"/>
      <c r="G38" s="40"/>
      <c r="H38" s="40">
        <f t="shared" si="2"/>
        <v>9568095</v>
      </c>
      <c r="I38" s="44"/>
      <c r="J38" s="44"/>
      <c r="K38" s="44"/>
      <c r="L38" s="44"/>
      <c r="M38" s="170">
        <v>294000</v>
      </c>
      <c r="N38" s="45"/>
      <c r="O38" s="45"/>
      <c r="P38" s="45">
        <f t="shared" si="0"/>
        <v>294000</v>
      </c>
      <c r="Q38" s="79">
        <f t="shared" si="1"/>
        <v>0</v>
      </c>
      <c r="R38" s="10"/>
      <c r="S38" s="10"/>
      <c r="T38" s="10"/>
      <c r="U38" s="10"/>
      <c r="V38" s="10"/>
      <c r="W38" s="10"/>
      <c r="X38" s="17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4.25">
      <c r="A39" s="163"/>
      <c r="B39" s="175"/>
      <c r="C39" s="46">
        <v>21439683</v>
      </c>
      <c r="D39" s="40"/>
      <c r="E39" s="40"/>
      <c r="F39" s="40"/>
      <c r="G39" s="40"/>
      <c r="H39" s="40">
        <f t="shared" si="2"/>
        <v>21439683</v>
      </c>
      <c r="I39" s="47">
        <v>19730129</v>
      </c>
      <c r="J39" s="44"/>
      <c r="K39" s="44"/>
      <c r="L39" s="44"/>
      <c r="M39" s="170"/>
      <c r="N39" s="44"/>
      <c r="O39" s="44"/>
      <c r="P39" s="45">
        <f t="shared" si="0"/>
        <v>0</v>
      </c>
      <c r="Q39" s="79">
        <f t="shared" si="1"/>
        <v>0</v>
      </c>
      <c r="R39" s="10"/>
      <c r="S39" s="10"/>
      <c r="T39" s="10"/>
      <c r="U39" s="10"/>
      <c r="V39" s="10"/>
      <c r="W39" s="10"/>
      <c r="X39" s="17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63.75">
      <c r="A40" s="196" t="s">
        <v>513</v>
      </c>
      <c r="B40" s="181" t="s">
        <v>514</v>
      </c>
      <c r="C40" s="193">
        <v>15000000</v>
      </c>
      <c r="D40" s="194"/>
      <c r="E40" s="194"/>
      <c r="F40" s="194"/>
      <c r="G40" s="194"/>
      <c r="H40" s="194">
        <f t="shared" si="2"/>
        <v>15000000</v>
      </c>
      <c r="I40" s="195"/>
      <c r="J40" s="195"/>
      <c r="K40" s="195"/>
      <c r="L40" s="195"/>
      <c r="M40" s="184">
        <v>19099122</v>
      </c>
      <c r="N40" s="47">
        <v>2000000</v>
      </c>
      <c r="O40" s="47">
        <v>1000000</v>
      </c>
      <c r="P40" s="45">
        <f t="shared" si="0"/>
        <v>18099122</v>
      </c>
      <c r="Q40" s="80">
        <f t="shared" si="1"/>
        <v>1000000</v>
      </c>
      <c r="R40" s="10"/>
      <c r="S40" s="10"/>
      <c r="T40" s="10"/>
      <c r="U40" s="10"/>
      <c r="V40" s="10"/>
      <c r="W40" s="10"/>
      <c r="X40" s="178" t="s">
        <v>667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4.25">
      <c r="A41" s="163"/>
      <c r="B41" s="175"/>
      <c r="C41" s="46">
        <v>79931905</v>
      </c>
      <c r="D41" s="40"/>
      <c r="E41" s="40"/>
      <c r="F41" s="40"/>
      <c r="G41" s="40"/>
      <c r="H41" s="40">
        <f t="shared" si="2"/>
        <v>79931905</v>
      </c>
      <c r="I41" s="41"/>
      <c r="J41" s="41"/>
      <c r="K41" s="41"/>
      <c r="L41" s="41"/>
      <c r="M41" s="170"/>
      <c r="N41" s="41"/>
      <c r="O41" s="41"/>
      <c r="P41" s="45">
        <f t="shared" si="0"/>
        <v>0</v>
      </c>
      <c r="Q41" s="79">
        <f t="shared" si="1"/>
        <v>0</v>
      </c>
      <c r="R41" s="10"/>
      <c r="S41" s="10"/>
      <c r="T41" s="10"/>
      <c r="U41" s="10"/>
      <c r="V41" s="10"/>
      <c r="W41" s="10"/>
      <c r="X41" s="17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4.25">
      <c r="A42" s="163" t="s">
        <v>515</v>
      </c>
      <c r="B42" s="174" t="s">
        <v>516</v>
      </c>
      <c r="C42" s="46">
        <v>20000000</v>
      </c>
      <c r="D42" s="40"/>
      <c r="E42" s="40"/>
      <c r="F42" s="40"/>
      <c r="G42" s="40"/>
      <c r="H42" s="40">
        <f t="shared" si="2"/>
        <v>20000000</v>
      </c>
      <c r="I42" s="44"/>
      <c r="J42" s="44"/>
      <c r="K42" s="44"/>
      <c r="L42" s="44"/>
      <c r="M42" s="169">
        <v>4500000</v>
      </c>
      <c r="N42" s="47">
        <f>624320+1032610+702680+1108250</f>
        <v>3467860</v>
      </c>
      <c r="O42" s="47">
        <f>624320+1032610+702680+1108250</f>
        <v>3467860</v>
      </c>
      <c r="P42" s="45">
        <f t="shared" si="0"/>
        <v>1032140</v>
      </c>
      <c r="Q42" s="79">
        <f t="shared" si="1"/>
        <v>0</v>
      </c>
      <c r="R42" s="10"/>
      <c r="S42" s="10"/>
      <c r="T42" s="10"/>
      <c r="U42" s="10"/>
      <c r="V42" s="10"/>
      <c r="W42" s="10"/>
      <c r="X42" s="178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4.25">
      <c r="A43" s="163"/>
      <c r="B43" s="175"/>
      <c r="C43" s="37"/>
      <c r="D43" s="43"/>
      <c r="E43" s="40">
        <v>1500000</v>
      </c>
      <c r="F43" s="40"/>
      <c r="G43" s="40"/>
      <c r="H43" s="40">
        <f>SUM(C43:G43)</f>
        <v>1500000</v>
      </c>
      <c r="I43" s="45"/>
      <c r="J43" s="44"/>
      <c r="K43" s="44"/>
      <c r="L43" s="44"/>
      <c r="M43" s="170"/>
      <c r="N43" s="45"/>
      <c r="O43" s="45"/>
      <c r="P43" s="45">
        <f t="shared" si="0"/>
        <v>0</v>
      </c>
      <c r="Q43" s="79">
        <f t="shared" si="1"/>
        <v>0</v>
      </c>
      <c r="R43" s="10"/>
      <c r="S43" s="10"/>
      <c r="T43" s="10"/>
      <c r="U43" s="10"/>
      <c r="V43" s="10"/>
      <c r="W43" s="10"/>
      <c r="X43" s="178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4.25">
      <c r="A44" s="164" t="s">
        <v>517</v>
      </c>
      <c r="B44" s="175" t="s">
        <v>518</v>
      </c>
      <c r="C44" s="43">
        <f>SUM(C45:C51)</f>
        <v>80750000</v>
      </c>
      <c r="D44" s="43">
        <f>SUM(D45:D52)</f>
        <v>10910000</v>
      </c>
      <c r="E44" s="43">
        <f>SUM(E46)</f>
        <v>15000000</v>
      </c>
      <c r="F44" s="40"/>
      <c r="G44" s="40"/>
      <c r="H44" s="43">
        <f>SUM(C44:G44)</f>
        <v>106660000</v>
      </c>
      <c r="I44" s="39">
        <f>+I45+I46+I47+I48+I50+I51+I52</f>
        <v>10000000</v>
      </c>
      <c r="J44" s="44"/>
      <c r="K44" s="44"/>
      <c r="L44" s="44"/>
      <c r="M44" s="170">
        <v>1000000</v>
      </c>
      <c r="N44" s="45">
        <f>+N45+N46+N47+N48+N49+N50+N51+N52</f>
        <v>0</v>
      </c>
      <c r="O44" s="45">
        <f>+O45+O46+O47+O48+O49+O50+O51+O52</f>
        <v>0</v>
      </c>
      <c r="P44" s="39">
        <f t="shared" si="0"/>
        <v>1000000</v>
      </c>
      <c r="Q44" s="79">
        <f t="shared" si="1"/>
        <v>0</v>
      </c>
      <c r="R44" s="10"/>
      <c r="S44" s="10"/>
      <c r="T44" s="10"/>
      <c r="U44" s="10" t="s">
        <v>274</v>
      </c>
      <c r="V44" s="10">
        <v>5</v>
      </c>
      <c r="W44" s="10">
        <v>5</v>
      </c>
      <c r="X44" s="178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4.25">
      <c r="A45" s="164" t="s">
        <v>519</v>
      </c>
      <c r="B45" s="175" t="s">
        <v>520</v>
      </c>
      <c r="C45" s="46">
        <v>10000000</v>
      </c>
      <c r="D45" s="40"/>
      <c r="E45" s="40"/>
      <c r="F45" s="40"/>
      <c r="G45" s="40"/>
      <c r="H45" s="40">
        <f aca="true" t="shared" si="3" ref="H45:H51">SUM(C45:G45)</f>
        <v>10000000</v>
      </c>
      <c r="I45" s="44"/>
      <c r="J45" s="44"/>
      <c r="K45" s="44"/>
      <c r="L45" s="44"/>
      <c r="M45" s="170">
        <v>3500000</v>
      </c>
      <c r="N45" s="45"/>
      <c r="O45" s="45"/>
      <c r="P45" s="45">
        <f t="shared" si="0"/>
        <v>3500000</v>
      </c>
      <c r="Q45" s="79">
        <f t="shared" si="1"/>
        <v>0</v>
      </c>
      <c r="R45" s="10"/>
      <c r="S45" s="10"/>
      <c r="T45" s="10"/>
      <c r="U45" s="10"/>
      <c r="V45" s="10"/>
      <c r="W45" s="10"/>
      <c r="X45" s="178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4.25" customHeight="1">
      <c r="A46" s="163"/>
      <c r="B46" s="175"/>
      <c r="C46" s="46">
        <v>10000000</v>
      </c>
      <c r="D46" s="40"/>
      <c r="E46" s="46">
        <v>15000000</v>
      </c>
      <c r="F46" s="40"/>
      <c r="G46" s="40"/>
      <c r="H46" s="40">
        <f t="shared" si="3"/>
        <v>25000000</v>
      </c>
      <c r="I46" s="41"/>
      <c r="J46" s="41"/>
      <c r="K46" s="41"/>
      <c r="L46" s="41"/>
      <c r="M46" s="170"/>
      <c r="N46" s="41"/>
      <c r="O46" s="41"/>
      <c r="P46" s="45">
        <f t="shared" si="0"/>
        <v>0</v>
      </c>
      <c r="Q46" s="79">
        <f t="shared" si="1"/>
        <v>0</v>
      </c>
      <c r="R46" s="68"/>
      <c r="S46" s="68"/>
      <c r="T46" s="68"/>
      <c r="U46" s="68"/>
      <c r="V46" s="68"/>
      <c r="W46" s="68"/>
      <c r="X46" s="178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4.25" customHeight="1">
      <c r="A47" s="163" t="s">
        <v>521</v>
      </c>
      <c r="B47" s="174" t="s">
        <v>522</v>
      </c>
      <c r="C47" s="46">
        <v>10000000</v>
      </c>
      <c r="D47" s="40"/>
      <c r="E47" s="40"/>
      <c r="F47" s="40"/>
      <c r="G47" s="40"/>
      <c r="H47" s="40">
        <f t="shared" si="3"/>
        <v>10000000</v>
      </c>
      <c r="I47" s="44"/>
      <c r="J47" s="44"/>
      <c r="K47" s="44"/>
      <c r="L47" s="44"/>
      <c r="M47" s="169">
        <v>14599122</v>
      </c>
      <c r="N47" s="44"/>
      <c r="O47" s="44"/>
      <c r="P47" s="45">
        <f t="shared" si="0"/>
        <v>14599122</v>
      </c>
      <c r="Q47" s="79">
        <f t="shared" si="1"/>
        <v>0</v>
      </c>
      <c r="R47" s="10" t="s">
        <v>275</v>
      </c>
      <c r="S47" s="10">
        <v>94</v>
      </c>
      <c r="T47" s="10">
        <v>98</v>
      </c>
      <c r="U47" s="10"/>
      <c r="V47" s="10"/>
      <c r="W47" s="10"/>
      <c r="X47" s="178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4.25">
      <c r="A48" s="163"/>
      <c r="B48" s="175"/>
      <c r="C48" s="46">
        <v>10000000</v>
      </c>
      <c r="D48" s="40"/>
      <c r="E48" s="40"/>
      <c r="F48" s="40"/>
      <c r="G48" s="40"/>
      <c r="H48" s="40">
        <f t="shared" si="3"/>
        <v>10000000</v>
      </c>
      <c r="I48" s="44"/>
      <c r="J48" s="44"/>
      <c r="K48" s="44"/>
      <c r="L48" s="44"/>
      <c r="M48" s="170"/>
      <c r="N48" s="45"/>
      <c r="O48" s="45"/>
      <c r="P48" s="45">
        <f t="shared" si="0"/>
        <v>0</v>
      </c>
      <c r="Q48" s="79">
        <f t="shared" si="1"/>
        <v>0</v>
      </c>
      <c r="R48" s="10"/>
      <c r="S48" s="10"/>
      <c r="T48" s="10"/>
      <c r="U48" s="10"/>
      <c r="V48" s="10"/>
      <c r="W48" s="10"/>
      <c r="X48" s="17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4.25">
      <c r="A49" s="164" t="s">
        <v>523</v>
      </c>
      <c r="B49" s="175" t="s">
        <v>524</v>
      </c>
      <c r="C49" s="46">
        <v>15000000</v>
      </c>
      <c r="D49" s="40">
        <v>5910000</v>
      </c>
      <c r="E49" s="40"/>
      <c r="F49" s="40"/>
      <c r="G49" s="40"/>
      <c r="H49" s="40">
        <f t="shared" si="3"/>
        <v>20910000</v>
      </c>
      <c r="I49" s="44"/>
      <c r="J49" s="44"/>
      <c r="K49" s="44"/>
      <c r="L49" s="44"/>
      <c r="M49" s="170">
        <v>1500000</v>
      </c>
      <c r="N49" s="44"/>
      <c r="O49" s="44"/>
      <c r="P49" s="45">
        <f t="shared" si="0"/>
        <v>1500000</v>
      </c>
      <c r="Q49" s="79">
        <f t="shared" si="1"/>
        <v>0</v>
      </c>
      <c r="R49" s="10"/>
      <c r="S49" s="10"/>
      <c r="T49" s="10"/>
      <c r="U49" s="10"/>
      <c r="V49" s="10"/>
      <c r="W49" s="10"/>
      <c r="X49" s="17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4.25">
      <c r="A50" s="164" t="s">
        <v>525</v>
      </c>
      <c r="B50" s="175" t="s">
        <v>526</v>
      </c>
      <c r="C50" s="46">
        <v>1000000</v>
      </c>
      <c r="D50" s="40"/>
      <c r="E50" s="40"/>
      <c r="F50" s="40"/>
      <c r="G50" s="40"/>
      <c r="H50" s="40">
        <f t="shared" si="3"/>
        <v>1000000</v>
      </c>
      <c r="I50" s="45"/>
      <c r="J50" s="44"/>
      <c r="K50" s="44"/>
      <c r="L50" s="44"/>
      <c r="M50" s="170">
        <v>1200000</v>
      </c>
      <c r="N50" s="45"/>
      <c r="O50" s="45"/>
      <c r="P50" s="45">
        <f t="shared" si="0"/>
        <v>1200000</v>
      </c>
      <c r="Q50" s="79">
        <f t="shared" si="1"/>
        <v>0</v>
      </c>
      <c r="R50" s="10"/>
      <c r="S50" s="10"/>
      <c r="T50" s="10"/>
      <c r="U50" s="10"/>
      <c r="V50" s="10"/>
      <c r="W50" s="10"/>
      <c r="X50" s="17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4.25">
      <c r="A51" s="164" t="s">
        <v>527</v>
      </c>
      <c r="B51" s="175" t="s">
        <v>528</v>
      </c>
      <c r="C51" s="46">
        <v>24750000</v>
      </c>
      <c r="D51" s="40">
        <v>5000000</v>
      </c>
      <c r="E51" s="40"/>
      <c r="F51" s="40"/>
      <c r="G51" s="40"/>
      <c r="H51" s="40">
        <f t="shared" si="3"/>
        <v>29750000</v>
      </c>
      <c r="I51" s="45"/>
      <c r="J51" s="44"/>
      <c r="K51" s="44"/>
      <c r="L51" s="44"/>
      <c r="M51" s="170">
        <v>1000000</v>
      </c>
      <c r="N51" s="45"/>
      <c r="O51" s="45"/>
      <c r="P51" s="45">
        <f t="shared" si="0"/>
        <v>1000000</v>
      </c>
      <c r="Q51" s="79">
        <f t="shared" si="1"/>
        <v>0</v>
      </c>
      <c r="R51" s="10"/>
      <c r="S51" s="10"/>
      <c r="T51" s="10"/>
      <c r="U51" s="10" t="s">
        <v>276</v>
      </c>
      <c r="V51" s="10">
        <v>55</v>
      </c>
      <c r="W51" s="10">
        <v>35</v>
      </c>
      <c r="X51" s="17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28.5">
      <c r="A52" s="164" t="s">
        <v>529</v>
      </c>
      <c r="B52" s="175" t="s">
        <v>530</v>
      </c>
      <c r="C52" s="40"/>
      <c r="D52" s="40"/>
      <c r="E52" s="40"/>
      <c r="F52" s="40"/>
      <c r="G52" s="40"/>
      <c r="H52" s="40">
        <f>SUM(C52:G52)</f>
        <v>0</v>
      </c>
      <c r="I52" s="45">
        <v>10000000</v>
      </c>
      <c r="J52" s="44"/>
      <c r="K52" s="44"/>
      <c r="L52" s="44"/>
      <c r="M52" s="170">
        <v>2000000</v>
      </c>
      <c r="N52" s="45"/>
      <c r="O52" s="45"/>
      <c r="P52" s="45">
        <f t="shared" si="0"/>
        <v>2000000</v>
      </c>
      <c r="Q52" s="79">
        <f t="shared" si="1"/>
        <v>0</v>
      </c>
      <c r="R52" s="6"/>
      <c r="S52" s="6"/>
      <c r="T52" s="6"/>
      <c r="U52" s="6"/>
      <c r="V52" s="6"/>
      <c r="W52" s="6"/>
      <c r="X52" s="17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4.25">
      <c r="A53" s="164" t="s">
        <v>531</v>
      </c>
      <c r="B53" s="175" t="s">
        <v>532</v>
      </c>
      <c r="C53" s="43">
        <f>SUM(C54:C57)</f>
        <v>37985965</v>
      </c>
      <c r="D53" s="43">
        <f>SUM(D54:D58)</f>
        <v>82000000</v>
      </c>
      <c r="E53" s="43">
        <f>SUM(E58)</f>
        <v>1700000</v>
      </c>
      <c r="F53" s="40"/>
      <c r="G53" s="40"/>
      <c r="H53" s="43">
        <f>SUM(C53:G53)</f>
        <v>121685965</v>
      </c>
      <c r="I53" s="39">
        <f>I54+I55+I56+I57+I58</f>
        <v>45077419</v>
      </c>
      <c r="J53" s="44"/>
      <c r="K53" s="44"/>
      <c r="L53" s="44"/>
      <c r="M53" s="170">
        <v>3600000</v>
      </c>
      <c r="N53" s="39">
        <f>+N54+N55+N56+N57+N58</f>
        <v>10000000</v>
      </c>
      <c r="O53" s="39">
        <f>+O54+O55+O56+O57+O58</f>
        <v>10000000</v>
      </c>
      <c r="P53" s="39">
        <f t="shared" si="0"/>
        <v>-6400000</v>
      </c>
      <c r="Q53" s="79">
        <f t="shared" si="1"/>
        <v>0</v>
      </c>
      <c r="R53" s="2"/>
      <c r="S53" s="2"/>
      <c r="T53" s="2"/>
      <c r="U53" s="2"/>
      <c r="V53" s="2"/>
      <c r="W53" s="2"/>
      <c r="X53" s="17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22.5" customHeight="1">
      <c r="A54" s="164" t="s">
        <v>533</v>
      </c>
      <c r="B54" s="175" t="s">
        <v>534</v>
      </c>
      <c r="C54" s="40">
        <v>19985965</v>
      </c>
      <c r="D54" s="40"/>
      <c r="E54" s="40"/>
      <c r="F54" s="40"/>
      <c r="G54" s="40"/>
      <c r="H54" s="40">
        <f aca="true" t="shared" si="4" ref="H54:H69">SUM(C54:G54)</f>
        <v>19985965</v>
      </c>
      <c r="I54" s="47">
        <v>10000000</v>
      </c>
      <c r="J54" s="44"/>
      <c r="K54" s="44"/>
      <c r="L54" s="44"/>
      <c r="M54" s="170">
        <v>280000</v>
      </c>
      <c r="N54" s="47">
        <f>5000000+5000000</f>
        <v>10000000</v>
      </c>
      <c r="O54" s="47">
        <f>5000000+5000000</f>
        <v>10000000</v>
      </c>
      <c r="P54" s="45">
        <f t="shared" si="0"/>
        <v>-9720000</v>
      </c>
      <c r="Q54" s="79">
        <f t="shared" si="1"/>
        <v>0</v>
      </c>
      <c r="R54" s="66" t="s">
        <v>277</v>
      </c>
      <c r="S54" s="67">
        <f>2/7*100</f>
        <v>28.57142857142857</v>
      </c>
      <c r="T54" s="67">
        <v>29</v>
      </c>
      <c r="U54" s="10"/>
      <c r="V54" s="10"/>
      <c r="W54" s="10"/>
      <c r="X54" s="17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22.5" customHeight="1">
      <c r="A55" s="164" t="s">
        <v>535</v>
      </c>
      <c r="B55" s="175" t="s">
        <v>536</v>
      </c>
      <c r="C55" s="40">
        <v>2000000</v>
      </c>
      <c r="D55" s="40">
        <v>80000000</v>
      </c>
      <c r="E55" s="40"/>
      <c r="F55" s="40"/>
      <c r="G55" s="40"/>
      <c r="H55" s="40">
        <f t="shared" si="4"/>
        <v>82000000</v>
      </c>
      <c r="I55" s="45">
        <v>31691861</v>
      </c>
      <c r="J55" s="44"/>
      <c r="K55" s="44"/>
      <c r="L55" s="44"/>
      <c r="M55" s="170">
        <v>4000000</v>
      </c>
      <c r="N55" s="45"/>
      <c r="O55" s="45"/>
      <c r="P55" s="45">
        <f t="shared" si="0"/>
        <v>4000000</v>
      </c>
      <c r="Q55" s="79">
        <f t="shared" si="1"/>
        <v>0</v>
      </c>
      <c r="R55" s="66"/>
      <c r="S55" s="10"/>
      <c r="T55" s="10"/>
      <c r="U55" s="10"/>
      <c r="V55" s="10"/>
      <c r="W55" s="10"/>
      <c r="X55" s="178"/>
      <c r="Y55" s="2" t="s">
        <v>318</v>
      </c>
      <c r="Z55" s="2"/>
      <c r="AA55" s="2"/>
      <c r="AB55" s="2" t="s">
        <v>318</v>
      </c>
      <c r="AC55" s="2"/>
      <c r="AD55" s="2" t="s">
        <v>318</v>
      </c>
      <c r="AE55" s="2"/>
      <c r="AF55" s="2"/>
      <c r="AG55" s="2"/>
      <c r="AH55" s="2"/>
      <c r="AI55" s="2"/>
      <c r="AJ55" s="2"/>
      <c r="AK55" s="2" t="s">
        <v>320</v>
      </c>
    </row>
    <row r="56" spans="1:37" ht="28.5">
      <c r="A56" s="164" t="s">
        <v>537</v>
      </c>
      <c r="B56" s="175" t="s">
        <v>538</v>
      </c>
      <c r="C56" s="40">
        <v>12000000</v>
      </c>
      <c r="D56" s="40"/>
      <c r="E56" s="40"/>
      <c r="F56" s="40"/>
      <c r="G56" s="40"/>
      <c r="H56" s="40">
        <f t="shared" si="4"/>
        <v>12000000</v>
      </c>
      <c r="I56" s="45"/>
      <c r="J56" s="44"/>
      <c r="K56" s="44"/>
      <c r="L56" s="44"/>
      <c r="M56" s="170">
        <v>1019122</v>
      </c>
      <c r="N56" s="45"/>
      <c r="O56" s="45"/>
      <c r="P56" s="45">
        <f t="shared" si="0"/>
        <v>1019122</v>
      </c>
      <c r="Q56" s="79">
        <f t="shared" si="1"/>
        <v>0</v>
      </c>
      <c r="R56" s="10"/>
      <c r="S56" s="10"/>
      <c r="T56" s="10"/>
      <c r="U56" s="10"/>
      <c r="V56" s="10"/>
      <c r="W56" s="10"/>
      <c r="X56" s="178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 customHeight="1">
      <c r="A57" s="163"/>
      <c r="B57" s="176"/>
      <c r="C57" s="40">
        <v>4000000</v>
      </c>
      <c r="D57" s="40"/>
      <c r="E57" s="40"/>
      <c r="F57" s="40"/>
      <c r="G57" s="40"/>
      <c r="H57" s="40">
        <f t="shared" si="4"/>
        <v>4000000</v>
      </c>
      <c r="I57" s="45"/>
      <c r="J57" s="44"/>
      <c r="K57" s="44"/>
      <c r="L57" s="44"/>
      <c r="M57" s="169"/>
      <c r="N57" s="45"/>
      <c r="O57" s="45"/>
      <c r="P57" s="45">
        <f t="shared" si="0"/>
        <v>0</v>
      </c>
      <c r="Q57" s="79">
        <f t="shared" si="1"/>
        <v>0</v>
      </c>
      <c r="R57" s="66"/>
      <c r="S57" s="10"/>
      <c r="T57" s="10"/>
      <c r="U57" s="10"/>
      <c r="V57" s="10"/>
      <c r="W57" s="10"/>
      <c r="X57" s="178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321</v>
      </c>
    </row>
    <row r="58" spans="1:37" ht="28.5">
      <c r="A58" s="163" t="s">
        <v>539</v>
      </c>
      <c r="B58" s="176" t="s">
        <v>540</v>
      </c>
      <c r="C58" s="40"/>
      <c r="D58" s="40">
        <v>2000000</v>
      </c>
      <c r="E58" s="46">
        <v>1700000</v>
      </c>
      <c r="F58" s="40"/>
      <c r="G58" s="40"/>
      <c r="H58" s="40">
        <f t="shared" si="4"/>
        <v>3700000</v>
      </c>
      <c r="I58" s="45">
        <v>3385558</v>
      </c>
      <c r="J58" s="44"/>
      <c r="K58" s="44"/>
      <c r="L58" s="44"/>
      <c r="M58" s="169">
        <v>83000000</v>
      </c>
      <c r="N58" s="45"/>
      <c r="O58" s="45"/>
      <c r="P58" s="45">
        <f t="shared" si="0"/>
        <v>83000000</v>
      </c>
      <c r="Q58" s="79">
        <f t="shared" si="1"/>
        <v>0</v>
      </c>
      <c r="R58" s="10" t="s">
        <v>278</v>
      </c>
      <c r="S58" s="10">
        <v>5</v>
      </c>
      <c r="T58" s="10">
        <v>10</v>
      </c>
      <c r="U58" s="66" t="s">
        <v>279</v>
      </c>
      <c r="V58" s="10">
        <v>2</v>
      </c>
      <c r="W58" s="10">
        <v>5</v>
      </c>
      <c r="X58" s="178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4.25">
      <c r="A59" s="163"/>
      <c r="B59" s="176"/>
      <c r="C59" s="40"/>
      <c r="D59" s="40"/>
      <c r="E59" s="46"/>
      <c r="F59" s="40"/>
      <c r="G59" s="40"/>
      <c r="H59" s="40"/>
      <c r="I59" s="45"/>
      <c r="J59" s="44"/>
      <c r="K59" s="44"/>
      <c r="L59" s="44"/>
      <c r="M59" s="170"/>
      <c r="N59" s="45"/>
      <c r="O59" s="45"/>
      <c r="P59" s="45"/>
      <c r="Q59" s="79"/>
      <c r="R59" s="2"/>
      <c r="S59" s="2"/>
      <c r="T59" s="2"/>
      <c r="U59" s="2"/>
      <c r="V59" s="2"/>
      <c r="W59" s="2"/>
      <c r="X59" s="178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4.25">
      <c r="A60" s="163" t="s">
        <v>541</v>
      </c>
      <c r="B60" s="176" t="s">
        <v>470</v>
      </c>
      <c r="C60" s="40"/>
      <c r="D60" s="40"/>
      <c r="E60" s="46"/>
      <c r="F60" s="40"/>
      <c r="G60" s="40"/>
      <c r="H60" s="40"/>
      <c r="I60" s="45"/>
      <c r="J60" s="44"/>
      <c r="K60" s="44"/>
      <c r="L60" s="44"/>
      <c r="M60" s="169">
        <v>24649232</v>
      </c>
      <c r="N60" s="45"/>
      <c r="O60" s="45"/>
      <c r="P60" s="45"/>
      <c r="Q60" s="79"/>
      <c r="R60" s="2"/>
      <c r="S60" s="2"/>
      <c r="T60" s="2"/>
      <c r="U60" s="2"/>
      <c r="V60" s="2"/>
      <c r="W60" s="2"/>
      <c r="X60" s="178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4.25">
      <c r="A61" s="163"/>
      <c r="B61" s="176"/>
      <c r="C61" s="40"/>
      <c r="D61" s="40"/>
      <c r="E61" s="46"/>
      <c r="F61" s="40"/>
      <c r="G61" s="40"/>
      <c r="H61" s="40"/>
      <c r="I61" s="45"/>
      <c r="J61" s="44"/>
      <c r="K61" s="44"/>
      <c r="L61" s="44"/>
      <c r="M61" s="170"/>
      <c r="N61" s="45"/>
      <c r="O61" s="45"/>
      <c r="P61" s="45"/>
      <c r="Q61" s="79"/>
      <c r="R61" s="2"/>
      <c r="S61" s="2"/>
      <c r="T61" s="2"/>
      <c r="U61" s="2"/>
      <c r="V61" s="2"/>
      <c r="W61" s="2"/>
      <c r="X61" s="17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28.5">
      <c r="A62" s="163" t="s">
        <v>542</v>
      </c>
      <c r="B62" s="176" t="s">
        <v>472</v>
      </c>
      <c r="C62" s="40"/>
      <c r="D62" s="40"/>
      <c r="E62" s="46"/>
      <c r="F62" s="40"/>
      <c r="G62" s="40"/>
      <c r="H62" s="40"/>
      <c r="I62" s="45"/>
      <c r="J62" s="44"/>
      <c r="K62" s="44"/>
      <c r="L62" s="44"/>
      <c r="M62" s="169">
        <v>51332400</v>
      </c>
      <c r="N62" s="45"/>
      <c r="O62" s="45"/>
      <c r="P62" s="45"/>
      <c r="Q62" s="79"/>
      <c r="R62" s="2"/>
      <c r="S62" s="2"/>
      <c r="T62" s="2"/>
      <c r="U62" s="2"/>
      <c r="V62" s="2"/>
      <c r="W62" s="2"/>
      <c r="X62" s="178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4.25">
      <c r="A63" s="163"/>
      <c r="B63" s="176"/>
      <c r="C63" s="43">
        <f>SUM(C64:C68)</f>
        <v>28489473</v>
      </c>
      <c r="D63" s="43">
        <f>SUM(D64:D70)</f>
        <v>143800000</v>
      </c>
      <c r="E63" s="43">
        <f>SUM(E68)</f>
        <v>12000000</v>
      </c>
      <c r="F63" s="40"/>
      <c r="G63" s="40"/>
      <c r="H63" s="43">
        <f t="shared" si="4"/>
        <v>184289473</v>
      </c>
      <c r="I63" s="39">
        <f>+I64+I65+I66+I67+I68+I69+I70</f>
        <v>17539168</v>
      </c>
      <c r="J63" s="44"/>
      <c r="K63" s="44"/>
      <c r="L63" s="45"/>
      <c r="M63" s="170"/>
      <c r="N63" s="39">
        <f>+N64+N65+N66+N67+N68+N69+N70</f>
        <v>108390762</v>
      </c>
      <c r="O63" s="39">
        <f>+O64+O65+O66+O67+O68+O69+O70</f>
        <v>108390762</v>
      </c>
      <c r="P63" s="39">
        <f t="shared" si="0"/>
        <v>-108390762</v>
      </c>
      <c r="Q63" s="79">
        <f t="shared" si="1"/>
        <v>0</v>
      </c>
      <c r="R63" s="2"/>
      <c r="S63" s="2"/>
      <c r="T63" s="2"/>
      <c r="U63" s="2"/>
      <c r="V63" s="2"/>
      <c r="W63" s="2"/>
      <c r="X63" s="178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1.75" customHeight="1">
      <c r="A64" s="164" t="s">
        <v>543</v>
      </c>
      <c r="B64" s="175" t="s">
        <v>474</v>
      </c>
      <c r="C64" s="40">
        <v>15489473</v>
      </c>
      <c r="D64" s="40">
        <v>40000000</v>
      </c>
      <c r="E64" s="40"/>
      <c r="F64" s="40"/>
      <c r="G64" s="40"/>
      <c r="H64" s="40">
        <f t="shared" si="4"/>
        <v>55489473</v>
      </c>
      <c r="I64" s="48">
        <f>5000000</f>
        <v>5000000</v>
      </c>
      <c r="J64" s="41"/>
      <c r="K64" s="41"/>
      <c r="L64" s="41"/>
      <c r="M64" s="170">
        <v>43999200</v>
      </c>
      <c r="N64" s="48">
        <f>20000000+2806744+267190+22665400</f>
        <v>45739334</v>
      </c>
      <c r="O64" s="48">
        <f>20000000+2806744+267190+22665400</f>
        <v>45739334</v>
      </c>
      <c r="P64" s="45">
        <f t="shared" si="0"/>
        <v>-1740134</v>
      </c>
      <c r="Q64" s="79">
        <f t="shared" si="1"/>
        <v>0</v>
      </c>
      <c r="R64" s="66"/>
      <c r="S64" s="10"/>
      <c r="T64" s="10"/>
      <c r="U64" s="66" t="s">
        <v>280</v>
      </c>
      <c r="V64" s="10">
        <v>3</v>
      </c>
      <c r="W64" s="10">
        <v>3</v>
      </c>
      <c r="X64" s="178"/>
      <c r="Y64" s="2"/>
      <c r="Z64" s="2" t="s">
        <v>319</v>
      </c>
      <c r="AA64" s="2" t="s">
        <v>319</v>
      </c>
      <c r="AB64" s="2" t="s">
        <v>319</v>
      </c>
      <c r="AC64" s="2" t="s">
        <v>319</v>
      </c>
      <c r="AD64" s="2" t="s">
        <v>319</v>
      </c>
      <c r="AE64" s="2" t="s">
        <v>319</v>
      </c>
      <c r="AF64" s="2" t="s">
        <v>319</v>
      </c>
      <c r="AG64" s="2" t="s">
        <v>319</v>
      </c>
      <c r="AH64" s="2" t="s">
        <v>319</v>
      </c>
      <c r="AI64" s="2" t="s">
        <v>319</v>
      </c>
      <c r="AJ64" s="2" t="s">
        <v>319</v>
      </c>
      <c r="AK64" s="2"/>
    </row>
    <row r="65" spans="1:37" ht="14.25">
      <c r="A65" s="164" t="s">
        <v>544</v>
      </c>
      <c r="B65" s="175" t="s">
        <v>476</v>
      </c>
      <c r="C65" s="40">
        <v>2000000</v>
      </c>
      <c r="D65" s="40"/>
      <c r="E65" s="40"/>
      <c r="F65" s="40"/>
      <c r="G65" s="40"/>
      <c r="H65" s="40">
        <f t="shared" si="4"/>
        <v>2000000</v>
      </c>
      <c r="I65" s="44"/>
      <c r="J65" s="44"/>
      <c r="K65" s="44"/>
      <c r="L65" s="44"/>
      <c r="M65" s="170">
        <v>1833300</v>
      </c>
      <c r="N65" s="47">
        <f>751428</f>
        <v>751428</v>
      </c>
      <c r="O65" s="47">
        <f>751428</f>
        <v>751428</v>
      </c>
      <c r="P65" s="45">
        <f t="shared" si="0"/>
        <v>1081872</v>
      </c>
      <c r="Q65" s="79">
        <f t="shared" si="1"/>
        <v>0</v>
      </c>
      <c r="R65" s="10" t="s">
        <v>281</v>
      </c>
      <c r="S65" s="10">
        <v>4</v>
      </c>
      <c r="T65" s="10">
        <v>8</v>
      </c>
      <c r="U65" s="10" t="s">
        <v>282</v>
      </c>
      <c r="V65" s="10">
        <v>15</v>
      </c>
      <c r="W65" s="10">
        <v>16</v>
      </c>
      <c r="X65" s="178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21" customHeight="1">
      <c r="A66" s="164" t="s">
        <v>545</v>
      </c>
      <c r="B66" s="175" t="s">
        <v>478</v>
      </c>
      <c r="C66" s="40">
        <v>1000000</v>
      </c>
      <c r="D66" s="40"/>
      <c r="E66" s="40"/>
      <c r="F66" s="40"/>
      <c r="G66" s="40"/>
      <c r="H66" s="40">
        <f t="shared" si="4"/>
        <v>1000000</v>
      </c>
      <c r="I66" s="44"/>
      <c r="J66" s="44"/>
      <c r="K66" s="44"/>
      <c r="L66" s="45"/>
      <c r="M66" s="170">
        <v>3666600</v>
      </c>
      <c r="N66" s="45"/>
      <c r="O66" s="45"/>
      <c r="P66" s="45">
        <f t="shared" si="0"/>
        <v>3666600</v>
      </c>
      <c r="Q66" s="79">
        <f t="shared" si="1"/>
        <v>0</v>
      </c>
      <c r="R66" s="10" t="s">
        <v>283</v>
      </c>
      <c r="S66" s="10">
        <v>2</v>
      </c>
      <c r="T66" s="10">
        <v>2</v>
      </c>
      <c r="U66" s="10"/>
      <c r="V66" s="10"/>
      <c r="W66" s="10"/>
      <c r="X66" s="178"/>
      <c r="Y66" s="2" t="s">
        <v>318</v>
      </c>
      <c r="Z66" s="2"/>
      <c r="AA66" s="2" t="s">
        <v>318</v>
      </c>
      <c r="AB66" s="2" t="s">
        <v>318</v>
      </c>
      <c r="AC66" s="2"/>
      <c r="AD66" s="2"/>
      <c r="AE66" s="2"/>
      <c r="AF66" s="2" t="s">
        <v>318</v>
      </c>
      <c r="AG66" s="2"/>
      <c r="AH66" s="2"/>
      <c r="AI66" s="2" t="s">
        <v>318</v>
      </c>
      <c r="AJ66" s="2" t="s">
        <v>318</v>
      </c>
      <c r="AK66" s="2"/>
    </row>
    <row r="67" spans="1:37" ht="14.25">
      <c r="A67" s="164" t="s">
        <v>546</v>
      </c>
      <c r="B67" s="175" t="s">
        <v>480</v>
      </c>
      <c r="C67" s="40">
        <v>100000</v>
      </c>
      <c r="D67" s="40">
        <v>5000000</v>
      </c>
      <c r="E67" s="40"/>
      <c r="F67" s="40"/>
      <c r="G67" s="40"/>
      <c r="H67" s="40">
        <f t="shared" si="4"/>
        <v>5100000</v>
      </c>
      <c r="I67" s="47">
        <v>2539168</v>
      </c>
      <c r="J67" s="44"/>
      <c r="K67" s="44"/>
      <c r="L67" s="44"/>
      <c r="M67" s="170">
        <v>1833300</v>
      </c>
      <c r="N67" s="45"/>
      <c r="O67" s="45"/>
      <c r="P67" s="45">
        <f t="shared" si="0"/>
        <v>1833300</v>
      </c>
      <c r="Q67" s="79">
        <f t="shared" si="1"/>
        <v>0</v>
      </c>
      <c r="R67" s="10"/>
      <c r="S67" s="10"/>
      <c r="T67" s="10"/>
      <c r="U67" s="10"/>
      <c r="V67" s="10"/>
      <c r="W67" s="10"/>
      <c r="X67" s="178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02">
      <c r="A68" s="196" t="s">
        <v>547</v>
      </c>
      <c r="B68" s="181" t="s">
        <v>486</v>
      </c>
      <c r="C68" s="194">
        <v>9900000</v>
      </c>
      <c r="D68" s="194">
        <v>40000000</v>
      </c>
      <c r="E68" s="193">
        <v>12000000</v>
      </c>
      <c r="F68" s="194"/>
      <c r="G68" s="194"/>
      <c r="H68" s="194">
        <f t="shared" si="4"/>
        <v>61900000</v>
      </c>
      <c r="I68" s="195"/>
      <c r="J68" s="195"/>
      <c r="K68" s="195"/>
      <c r="L68" s="195"/>
      <c r="M68" s="184">
        <v>15116072</v>
      </c>
      <c r="N68" s="47">
        <f>1062482+29958190+1062482+29816846</f>
        <v>61900000</v>
      </c>
      <c r="O68" s="47">
        <f>1062482+29958190+1062482+29816846</f>
        <v>61900000</v>
      </c>
      <c r="P68" s="45">
        <f t="shared" si="0"/>
        <v>-46783928</v>
      </c>
      <c r="Q68" s="79">
        <f t="shared" si="1"/>
        <v>0</v>
      </c>
      <c r="R68" s="66" t="s">
        <v>284</v>
      </c>
      <c r="S68" s="10">
        <v>50</v>
      </c>
      <c r="T68" s="10">
        <v>60</v>
      </c>
      <c r="U68" s="10"/>
      <c r="V68" s="10"/>
      <c r="W68" s="10"/>
      <c r="X68" s="178" t="s">
        <v>662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164" t="s">
        <v>548</v>
      </c>
      <c r="B69" s="175" t="s">
        <v>488</v>
      </c>
      <c r="C69" s="40"/>
      <c r="D69" s="40">
        <v>18000000</v>
      </c>
      <c r="E69" s="40"/>
      <c r="F69" s="40"/>
      <c r="G69" s="40"/>
      <c r="H69" s="40">
        <f t="shared" si="4"/>
        <v>18000000</v>
      </c>
      <c r="I69" s="41"/>
      <c r="J69" s="41"/>
      <c r="K69" s="41"/>
      <c r="L69" s="41"/>
      <c r="M69" s="170">
        <v>3739932</v>
      </c>
      <c r="N69" s="41"/>
      <c r="O69" s="41"/>
      <c r="P69" s="45">
        <f t="shared" si="0"/>
        <v>3739932</v>
      </c>
      <c r="Q69" s="79">
        <f t="shared" si="1"/>
        <v>0</v>
      </c>
      <c r="R69" s="2"/>
      <c r="S69" s="2"/>
      <c r="T69" s="2"/>
      <c r="U69" s="2"/>
      <c r="V69" s="2"/>
      <c r="W69" s="2"/>
      <c r="X69" s="178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164" t="s">
        <v>549</v>
      </c>
      <c r="B70" s="175" t="s">
        <v>490</v>
      </c>
      <c r="C70" s="43"/>
      <c r="D70" s="40">
        <v>40800000</v>
      </c>
      <c r="E70" s="40"/>
      <c r="F70" s="40"/>
      <c r="G70" s="40"/>
      <c r="H70" s="40">
        <f>SUM(C70:G70)</f>
        <v>40800000</v>
      </c>
      <c r="I70" s="47">
        <v>10000000</v>
      </c>
      <c r="J70" s="44"/>
      <c r="K70" s="44"/>
      <c r="L70" s="44"/>
      <c r="M70" s="170">
        <v>5279904</v>
      </c>
      <c r="N70" s="44"/>
      <c r="O70" s="44"/>
      <c r="P70" s="45">
        <f t="shared" si="0"/>
        <v>5279904</v>
      </c>
      <c r="Q70" s="79">
        <f t="shared" si="1"/>
        <v>0</v>
      </c>
      <c r="R70" s="2"/>
      <c r="S70" s="2"/>
      <c r="T70" s="2"/>
      <c r="U70" s="2"/>
      <c r="V70" s="2"/>
      <c r="W70" s="2"/>
      <c r="X70" s="178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28.5">
      <c r="A71" s="164" t="s">
        <v>550</v>
      </c>
      <c r="B71" s="175" t="s">
        <v>492</v>
      </c>
      <c r="C71" s="43">
        <f>SUM(C73+C79+C82+C91+C97+C101+C105+C115+C120+C122+C126)</f>
        <v>1060295746</v>
      </c>
      <c r="D71" s="43">
        <f>+D73+D79+D82+D91+D97+D101+D105+D115+D120+D122+D126</f>
        <v>23000000</v>
      </c>
      <c r="E71" s="43">
        <f>SUM(E105+E126)</f>
        <v>25000000</v>
      </c>
      <c r="F71" s="43"/>
      <c r="G71" s="43"/>
      <c r="H71" s="43">
        <f>SUM(C71:G71)</f>
        <v>1108295746</v>
      </c>
      <c r="I71" s="45"/>
      <c r="J71" s="44"/>
      <c r="K71" s="44"/>
      <c r="L71" s="44"/>
      <c r="M71" s="170">
        <v>229676</v>
      </c>
      <c r="N71" s="39">
        <f>+N79+N82+N91+N97+N101+N105+N115+N120+N122+N126</f>
        <v>129463000</v>
      </c>
      <c r="O71" s="39">
        <f>+O79+O82+O91+O97+O101+O105+O115+O120+O122+O126</f>
        <v>80003000</v>
      </c>
      <c r="P71" s="39">
        <f t="shared" si="0"/>
        <v>-79773324</v>
      </c>
      <c r="Q71" s="79">
        <f t="shared" si="1"/>
        <v>49460000</v>
      </c>
      <c r="R71" s="2"/>
      <c r="S71" s="2"/>
      <c r="T71" s="2"/>
      <c r="U71" s="2"/>
      <c r="V71" s="2"/>
      <c r="W71" s="2"/>
      <c r="X71" s="178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164" t="s">
        <v>551</v>
      </c>
      <c r="B72" s="175" t="s">
        <v>494</v>
      </c>
      <c r="C72" s="49"/>
      <c r="D72" s="40"/>
      <c r="E72" s="40"/>
      <c r="F72" s="40"/>
      <c r="G72" s="40"/>
      <c r="H72" s="40"/>
      <c r="I72" s="44"/>
      <c r="J72" s="44"/>
      <c r="K72" s="44"/>
      <c r="L72" s="45"/>
      <c r="M72" s="170">
        <v>3666600</v>
      </c>
      <c r="N72" s="44"/>
      <c r="O72" s="44"/>
      <c r="P72" s="39">
        <f aca="true" t="shared" si="5" ref="P72:P128">+M72-O72</f>
        <v>3666600</v>
      </c>
      <c r="Q72" s="79">
        <f t="shared" si="1"/>
        <v>0</v>
      </c>
      <c r="R72" s="2"/>
      <c r="S72" s="2"/>
      <c r="T72" s="2"/>
      <c r="U72" s="2"/>
      <c r="V72" s="2"/>
      <c r="W72" s="2"/>
      <c r="X72" s="178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3.25" customHeight="1">
      <c r="A73" s="164" t="s">
        <v>552</v>
      </c>
      <c r="B73" s="175" t="s">
        <v>496</v>
      </c>
      <c r="C73" s="43">
        <f>SUM(C75:C77)</f>
        <v>68252622</v>
      </c>
      <c r="D73" s="43">
        <f>SUM(D75:D77)</f>
        <v>0</v>
      </c>
      <c r="E73" s="40"/>
      <c r="F73" s="40"/>
      <c r="G73" s="40"/>
      <c r="H73" s="43">
        <f>SUM(C73:G73)</f>
        <v>68252622</v>
      </c>
      <c r="I73" s="41">
        <f>+I75+I76+I77</f>
        <v>0</v>
      </c>
      <c r="J73" s="41"/>
      <c r="K73" s="41"/>
      <c r="L73" s="41"/>
      <c r="M73" s="170">
        <v>439992</v>
      </c>
      <c r="N73" s="41">
        <f>+N74+N75+N76+N77</f>
        <v>1167850</v>
      </c>
      <c r="O73" s="41">
        <f>+O74+O75+O76+O77+O78</f>
        <v>1167850</v>
      </c>
      <c r="P73" s="39">
        <f>+P74+P75+P76+P77+P78</f>
        <v>3012074</v>
      </c>
      <c r="Q73" s="79">
        <f aca="true" t="shared" si="6" ref="Q73:Q128">+N73-O73</f>
        <v>0</v>
      </c>
      <c r="R73" s="2"/>
      <c r="S73" s="2"/>
      <c r="T73" s="2"/>
      <c r="U73" s="2"/>
      <c r="V73" s="2"/>
      <c r="W73" s="2"/>
      <c r="X73" s="178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28.5">
      <c r="A74" s="164" t="s">
        <v>553</v>
      </c>
      <c r="B74" s="175" t="s">
        <v>498</v>
      </c>
      <c r="C74" s="40"/>
      <c r="D74" s="40"/>
      <c r="E74" s="40"/>
      <c r="F74" s="40"/>
      <c r="G74" s="40"/>
      <c r="H74" s="40"/>
      <c r="I74" s="44"/>
      <c r="J74" s="44"/>
      <c r="K74" s="44"/>
      <c r="L74" s="44"/>
      <c r="M74" s="170">
        <v>1759968</v>
      </c>
      <c r="N74" s="44"/>
      <c r="O74" s="44"/>
      <c r="P74" s="39">
        <f t="shared" si="5"/>
        <v>1759968</v>
      </c>
      <c r="Q74" s="79">
        <f t="shared" si="6"/>
        <v>0</v>
      </c>
      <c r="R74" s="2"/>
      <c r="S74" s="2"/>
      <c r="T74" s="2"/>
      <c r="U74" s="2"/>
      <c r="V74" s="2"/>
      <c r="W74" s="2"/>
      <c r="X74" s="178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163"/>
      <c r="B75" s="175"/>
      <c r="C75" s="46">
        <v>5000000</v>
      </c>
      <c r="D75" s="40"/>
      <c r="E75" s="40"/>
      <c r="F75" s="40"/>
      <c r="G75" s="40"/>
      <c r="H75" s="40">
        <f>SUM(C75:G75)</f>
        <v>5000000</v>
      </c>
      <c r="I75" s="44"/>
      <c r="J75" s="44"/>
      <c r="K75" s="44"/>
      <c r="L75" s="45"/>
      <c r="M75" s="170"/>
      <c r="N75" s="45"/>
      <c r="O75" s="45"/>
      <c r="P75" s="45">
        <f t="shared" si="5"/>
        <v>0</v>
      </c>
      <c r="Q75" s="79">
        <f t="shared" si="6"/>
        <v>0</v>
      </c>
      <c r="R75" s="2"/>
      <c r="S75" s="2"/>
      <c r="T75" s="2"/>
      <c r="U75" s="2"/>
      <c r="V75" s="2"/>
      <c r="W75" s="2"/>
      <c r="X75" s="178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02">
      <c r="A76" s="196" t="s">
        <v>554</v>
      </c>
      <c r="B76" s="181" t="s">
        <v>500</v>
      </c>
      <c r="C76" s="193">
        <v>38252622</v>
      </c>
      <c r="D76" s="194"/>
      <c r="E76" s="194"/>
      <c r="F76" s="194"/>
      <c r="G76" s="194"/>
      <c r="H76" s="194">
        <f>SUM(C76:G76)</f>
        <v>38252622</v>
      </c>
      <c r="I76" s="195"/>
      <c r="J76" s="195"/>
      <c r="K76" s="195"/>
      <c r="L76" s="195"/>
      <c r="M76" s="198">
        <v>2199960</v>
      </c>
      <c r="N76" s="45"/>
      <c r="O76" s="45"/>
      <c r="P76" s="45">
        <f t="shared" si="5"/>
        <v>2199960</v>
      </c>
      <c r="Q76" s="79">
        <f t="shared" si="6"/>
        <v>0</v>
      </c>
      <c r="R76" s="2"/>
      <c r="S76" s="2"/>
      <c r="T76" s="2"/>
      <c r="U76" s="2"/>
      <c r="V76" s="2"/>
      <c r="W76" s="2"/>
      <c r="X76" s="178" t="s">
        <v>662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163"/>
      <c r="B77" s="175"/>
      <c r="C77" s="46">
        <v>25000000</v>
      </c>
      <c r="D77" s="40"/>
      <c r="E77" s="40"/>
      <c r="F77" s="40"/>
      <c r="G77" s="40"/>
      <c r="H77" s="40">
        <f>SUM(C77:G77)</f>
        <v>25000000</v>
      </c>
      <c r="I77" s="44"/>
      <c r="J77" s="44"/>
      <c r="K77" s="44"/>
      <c r="L77" s="44"/>
      <c r="M77" s="170"/>
      <c r="N77" s="45">
        <v>1167850</v>
      </c>
      <c r="O77" s="45">
        <v>1167850</v>
      </c>
      <c r="P77" s="45">
        <f t="shared" si="5"/>
        <v>-1167850</v>
      </c>
      <c r="Q77" s="79">
        <f t="shared" si="6"/>
        <v>0</v>
      </c>
      <c r="R77" s="2"/>
      <c r="S77" s="2"/>
      <c r="T77" s="2"/>
      <c r="U77" s="2"/>
      <c r="V77" s="2"/>
      <c r="W77" s="2"/>
      <c r="X77" s="178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" customHeight="1">
      <c r="A78" s="164" t="s">
        <v>555</v>
      </c>
      <c r="B78" s="175" t="s">
        <v>502</v>
      </c>
      <c r="C78" s="40"/>
      <c r="D78" s="40"/>
      <c r="E78" s="40"/>
      <c r="F78" s="40"/>
      <c r="G78" s="40"/>
      <c r="H78" s="40"/>
      <c r="I78" s="44"/>
      <c r="J78" s="44"/>
      <c r="K78" s="44"/>
      <c r="L78" s="44"/>
      <c r="M78" s="170">
        <v>219996</v>
      </c>
      <c r="N78" s="45"/>
      <c r="O78" s="45"/>
      <c r="P78" s="45">
        <f t="shared" si="5"/>
        <v>219996</v>
      </c>
      <c r="Q78" s="79">
        <f t="shared" si="6"/>
        <v>0</v>
      </c>
      <c r="R78" s="2"/>
      <c r="S78" s="2"/>
      <c r="T78" s="2"/>
      <c r="U78" s="2"/>
      <c r="V78" s="2"/>
      <c r="W78" s="2"/>
      <c r="X78" s="178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164" t="s">
        <v>556</v>
      </c>
      <c r="B79" s="175" t="s">
        <v>504</v>
      </c>
      <c r="C79" s="43">
        <f>SUM(C80:C81)</f>
        <v>144000000</v>
      </c>
      <c r="D79" s="43">
        <f>SUM(D80:D81)</f>
        <v>0</v>
      </c>
      <c r="E79" s="40"/>
      <c r="F79" s="40"/>
      <c r="G79" s="40"/>
      <c r="H79" s="43">
        <f>SUM(C79:G79)</f>
        <v>144000000</v>
      </c>
      <c r="I79" s="45">
        <f>+I80+I81</f>
        <v>0</v>
      </c>
      <c r="J79" s="44"/>
      <c r="K79" s="44"/>
      <c r="L79" s="44"/>
      <c r="M79" s="170">
        <v>1319976</v>
      </c>
      <c r="N79" s="45">
        <f>+N80+N81</f>
        <v>0</v>
      </c>
      <c r="O79" s="45">
        <f>+O80+O81</f>
        <v>0</v>
      </c>
      <c r="P79" s="39">
        <f t="shared" si="5"/>
        <v>1319976</v>
      </c>
      <c r="Q79" s="79">
        <f t="shared" si="6"/>
        <v>0</v>
      </c>
      <c r="R79" s="2"/>
      <c r="S79" s="2"/>
      <c r="T79" s="2"/>
      <c r="U79" s="2"/>
      <c r="V79" s="2"/>
      <c r="W79" s="2"/>
      <c r="X79" s="178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164" t="s">
        <v>557</v>
      </c>
      <c r="B80" s="175" t="s">
        <v>506</v>
      </c>
      <c r="C80" s="46">
        <v>80000000</v>
      </c>
      <c r="D80" s="46"/>
      <c r="E80" s="40"/>
      <c r="F80" s="40"/>
      <c r="G80" s="40"/>
      <c r="H80" s="40">
        <f>SUM(C80:G80)</f>
        <v>80000000</v>
      </c>
      <c r="I80" s="41"/>
      <c r="J80" s="41"/>
      <c r="K80" s="41"/>
      <c r="L80" s="41"/>
      <c r="M80" s="170">
        <v>219996</v>
      </c>
      <c r="N80" s="41"/>
      <c r="O80" s="41"/>
      <c r="P80" s="45">
        <f t="shared" si="5"/>
        <v>219996</v>
      </c>
      <c r="Q80" s="79">
        <f t="shared" si="6"/>
        <v>0</v>
      </c>
      <c r="R80" s="10" t="s">
        <v>285</v>
      </c>
      <c r="S80" s="10"/>
      <c r="T80" s="10"/>
      <c r="U80" s="10" t="s">
        <v>286</v>
      </c>
      <c r="V80" s="10">
        <v>950</v>
      </c>
      <c r="W80" s="10">
        <v>982</v>
      </c>
      <c r="X80" s="178"/>
      <c r="Y80" s="2"/>
      <c r="Z80" s="2"/>
      <c r="AA80" s="2"/>
      <c r="AB80" s="2" t="s">
        <v>318</v>
      </c>
      <c r="AC80" s="2" t="s">
        <v>318</v>
      </c>
      <c r="AD80" s="2"/>
      <c r="AE80" s="2"/>
      <c r="AF80" s="2"/>
      <c r="AG80" s="2"/>
      <c r="AH80" s="2"/>
      <c r="AI80" s="2"/>
      <c r="AJ80" s="2"/>
      <c r="AK80" s="2"/>
    </row>
    <row r="81" spans="1:37" ht="14.25" customHeight="1">
      <c r="A81" s="164" t="s">
        <v>558</v>
      </c>
      <c r="B81" s="175" t="s">
        <v>508</v>
      </c>
      <c r="C81" s="46">
        <v>64000000</v>
      </c>
      <c r="D81" s="46"/>
      <c r="E81" s="40"/>
      <c r="F81" s="40"/>
      <c r="G81" s="40"/>
      <c r="H81" s="40">
        <f>SUM(C81:G81)</f>
        <v>64000000</v>
      </c>
      <c r="I81" s="44"/>
      <c r="J81" s="44"/>
      <c r="K81" s="44"/>
      <c r="L81" s="44"/>
      <c r="M81" s="170">
        <v>439992</v>
      </c>
      <c r="N81" s="45"/>
      <c r="O81" s="45"/>
      <c r="P81" s="45">
        <f t="shared" si="5"/>
        <v>439992</v>
      </c>
      <c r="Q81" s="79">
        <f t="shared" si="6"/>
        <v>0</v>
      </c>
      <c r="R81" s="66" t="s">
        <v>287</v>
      </c>
      <c r="S81" s="10"/>
      <c r="T81" s="10"/>
      <c r="U81" s="10" t="s">
        <v>288</v>
      </c>
      <c r="V81" s="67">
        <f>950/1300*100</f>
        <v>73.07692307692307</v>
      </c>
      <c r="W81" s="67">
        <f>0.756153846153846*100</f>
        <v>75.6153846153846</v>
      </c>
      <c r="X81" s="178"/>
      <c r="Y81" s="2"/>
      <c r="Z81" s="2"/>
      <c r="AA81" s="2"/>
      <c r="AB81" s="2" t="s">
        <v>318</v>
      </c>
      <c r="AC81" s="2" t="s">
        <v>318</v>
      </c>
      <c r="AD81" s="2" t="s">
        <v>318</v>
      </c>
      <c r="AE81" s="2"/>
      <c r="AF81" s="2"/>
      <c r="AG81" s="2"/>
      <c r="AH81" s="2"/>
      <c r="AI81" s="2"/>
      <c r="AJ81" s="2"/>
      <c r="AK81" s="2"/>
    </row>
    <row r="82" spans="1:37" ht="14.25">
      <c r="A82" s="163"/>
      <c r="B82" s="176"/>
      <c r="C82" s="43">
        <f>SUM(C83:C90)</f>
        <v>214043124</v>
      </c>
      <c r="D82" s="43">
        <f>SUM(D83:D90)</f>
        <v>0</v>
      </c>
      <c r="E82" s="40"/>
      <c r="F82" s="40"/>
      <c r="G82" s="40"/>
      <c r="H82" s="43">
        <f>SUM(C82:G82)</f>
        <v>214043124</v>
      </c>
      <c r="I82" s="39">
        <f>+I83+I84+I85+I86+I87+I88+I89+I90</f>
        <v>10000000</v>
      </c>
      <c r="J82" s="44"/>
      <c r="K82" s="44"/>
      <c r="L82" s="44"/>
      <c r="M82" s="170"/>
      <c r="N82" s="39">
        <f>+N83+N84+N85+N86+N87+N88+N89+N90</f>
        <v>55138810</v>
      </c>
      <c r="O82" s="39">
        <f>+O83+O84+O85+O86+O87+O88+O89+O90</f>
        <v>32678810</v>
      </c>
      <c r="P82" s="39">
        <f t="shared" si="5"/>
        <v>-32678810</v>
      </c>
      <c r="Q82" s="79">
        <f t="shared" si="6"/>
        <v>22460000</v>
      </c>
      <c r="R82" s="6"/>
      <c r="S82" s="6"/>
      <c r="T82" s="6"/>
      <c r="U82" s="6"/>
      <c r="V82" s="6"/>
      <c r="W82" s="6"/>
      <c r="X82" s="178"/>
      <c r="Y82" s="2"/>
      <c r="Z82" s="2"/>
      <c r="AA82" s="2"/>
      <c r="AB82" s="2"/>
      <c r="AC82" s="2"/>
      <c r="AD82" s="2"/>
      <c r="AE82" s="2" t="s">
        <v>318</v>
      </c>
      <c r="AF82" s="2" t="s">
        <v>318</v>
      </c>
      <c r="AG82" s="2" t="s">
        <v>318</v>
      </c>
      <c r="AH82" s="2" t="s">
        <v>318</v>
      </c>
      <c r="AI82" s="2"/>
      <c r="AJ82" s="2"/>
      <c r="AK82" s="2"/>
    </row>
    <row r="83" spans="1:37" ht="68.25" customHeight="1">
      <c r="A83" s="196" t="s">
        <v>559</v>
      </c>
      <c r="B83" s="181" t="s">
        <v>514</v>
      </c>
      <c r="C83" s="193">
        <v>30000000</v>
      </c>
      <c r="D83" s="194"/>
      <c r="E83" s="194"/>
      <c r="F83" s="194"/>
      <c r="G83" s="194"/>
      <c r="H83" s="194">
        <f aca="true" t="shared" si="7" ref="H83:H90">SUM(C83:G83)</f>
        <v>30000000</v>
      </c>
      <c r="I83" s="197"/>
      <c r="J83" s="195"/>
      <c r="K83" s="195"/>
      <c r="L83" s="195"/>
      <c r="M83" s="198">
        <v>14351568</v>
      </c>
      <c r="N83" s="45"/>
      <c r="O83" s="45"/>
      <c r="P83" s="45">
        <f t="shared" si="5"/>
        <v>14351568</v>
      </c>
      <c r="Q83" s="79">
        <f t="shared" si="6"/>
        <v>0</v>
      </c>
      <c r="R83" s="66" t="s">
        <v>299</v>
      </c>
      <c r="S83" s="10">
        <v>180</v>
      </c>
      <c r="T83" s="10">
        <v>240</v>
      </c>
      <c r="U83" s="2"/>
      <c r="V83" s="2"/>
      <c r="W83" s="2"/>
      <c r="X83" s="178" t="s">
        <v>667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21.75">
      <c r="A84" s="163"/>
      <c r="B84" s="175"/>
      <c r="C84" s="46">
        <v>60000000</v>
      </c>
      <c r="D84" s="40"/>
      <c r="E84" s="40"/>
      <c r="F84" s="40"/>
      <c r="G84" s="40"/>
      <c r="H84" s="40">
        <f t="shared" si="7"/>
        <v>60000000</v>
      </c>
      <c r="I84" s="48">
        <v>10000000</v>
      </c>
      <c r="J84" s="41"/>
      <c r="K84" s="41"/>
      <c r="L84" s="41"/>
      <c r="M84" s="170"/>
      <c r="N84" s="41"/>
      <c r="O84" s="41"/>
      <c r="P84" s="45">
        <f t="shared" si="5"/>
        <v>0</v>
      </c>
      <c r="Q84" s="79">
        <f t="shared" si="6"/>
        <v>0</v>
      </c>
      <c r="R84" s="66" t="s">
        <v>289</v>
      </c>
      <c r="S84" s="10"/>
      <c r="T84" s="10"/>
      <c r="U84" s="10" t="s">
        <v>290</v>
      </c>
      <c r="V84" s="67">
        <f>900/1300*100</f>
        <v>69.23076923076923</v>
      </c>
      <c r="W84" s="67">
        <f>900/1300*100</f>
        <v>69.23076923076923</v>
      </c>
      <c r="X84" s="178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21.75">
      <c r="A85" s="163" t="s">
        <v>560</v>
      </c>
      <c r="B85" s="174" t="s">
        <v>516</v>
      </c>
      <c r="C85" s="46">
        <v>10000000</v>
      </c>
      <c r="D85" s="40"/>
      <c r="E85" s="40"/>
      <c r="F85" s="40"/>
      <c r="G85" s="40"/>
      <c r="H85" s="40">
        <f t="shared" si="7"/>
        <v>10000000</v>
      </c>
      <c r="I85" s="44"/>
      <c r="J85" s="44"/>
      <c r="K85" s="44"/>
      <c r="L85" s="44"/>
      <c r="M85" s="170">
        <v>4000000</v>
      </c>
      <c r="N85" s="45"/>
      <c r="O85" s="45"/>
      <c r="P85" s="45">
        <f t="shared" si="5"/>
        <v>4000000</v>
      </c>
      <c r="Q85" s="79">
        <f t="shared" si="6"/>
        <v>0</v>
      </c>
      <c r="R85" s="66" t="s">
        <v>291</v>
      </c>
      <c r="S85" s="10"/>
      <c r="T85" s="10"/>
      <c r="U85" s="10" t="s">
        <v>292</v>
      </c>
      <c r="V85" s="10">
        <v>900</v>
      </c>
      <c r="W85" s="10">
        <v>900</v>
      </c>
      <c r="X85" s="178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4.25">
      <c r="A86" s="163"/>
      <c r="B86" s="175"/>
      <c r="C86" s="46">
        <v>6043124</v>
      </c>
      <c r="D86" s="40"/>
      <c r="E86" s="40"/>
      <c r="F86" s="40"/>
      <c r="G86" s="40"/>
      <c r="H86" s="40">
        <f t="shared" si="7"/>
        <v>6043124</v>
      </c>
      <c r="I86" s="44"/>
      <c r="J86" s="44"/>
      <c r="K86" s="44"/>
      <c r="L86" s="44"/>
      <c r="M86" s="170"/>
      <c r="N86" s="45"/>
      <c r="O86" s="45"/>
      <c r="P86" s="45">
        <f t="shared" si="5"/>
        <v>0</v>
      </c>
      <c r="Q86" s="79">
        <f t="shared" si="6"/>
        <v>0</v>
      </c>
      <c r="R86" s="2"/>
      <c r="S86" s="2"/>
      <c r="T86" s="2"/>
      <c r="U86" s="2"/>
      <c r="V86" s="2"/>
      <c r="W86" s="2"/>
      <c r="X86" s="178"/>
      <c r="Y86" s="2"/>
      <c r="Z86" s="2"/>
      <c r="AA86" s="2"/>
      <c r="AB86" s="2" t="s">
        <v>318</v>
      </c>
      <c r="AC86" s="2" t="s">
        <v>318</v>
      </c>
      <c r="AD86" s="2"/>
      <c r="AE86" s="2"/>
      <c r="AF86" s="2"/>
      <c r="AG86" s="2"/>
      <c r="AH86" s="2"/>
      <c r="AI86" s="2"/>
      <c r="AJ86" s="2"/>
      <c r="AK86" s="2" t="s">
        <v>320</v>
      </c>
    </row>
    <row r="87" spans="1:37" ht="14.25">
      <c r="A87" s="164" t="s">
        <v>561</v>
      </c>
      <c r="B87" s="175" t="s">
        <v>518</v>
      </c>
      <c r="C87" s="46">
        <v>50000000</v>
      </c>
      <c r="D87" s="40"/>
      <c r="E87" s="40"/>
      <c r="F87" s="40"/>
      <c r="G87" s="40"/>
      <c r="H87" s="40">
        <f t="shared" si="7"/>
        <v>50000000</v>
      </c>
      <c r="I87" s="44"/>
      <c r="J87" s="44"/>
      <c r="K87" s="44"/>
      <c r="L87" s="44"/>
      <c r="M87" s="170">
        <v>3000000</v>
      </c>
      <c r="N87" s="45">
        <f>5000000+5000000+22000000+8000000</f>
        <v>40000000</v>
      </c>
      <c r="O87" s="45">
        <f>5000000+5000000+11000000+4000000</f>
        <v>25000000</v>
      </c>
      <c r="P87" s="45">
        <f t="shared" si="5"/>
        <v>-22000000</v>
      </c>
      <c r="Q87" s="80">
        <f t="shared" si="6"/>
        <v>15000000</v>
      </c>
      <c r="R87" s="2"/>
      <c r="S87" s="2"/>
      <c r="T87" s="2"/>
      <c r="U87" s="2"/>
      <c r="V87" s="2"/>
      <c r="W87" s="2"/>
      <c r="X87" s="178"/>
      <c r="Y87" s="2"/>
      <c r="Z87" s="2"/>
      <c r="AA87" s="2"/>
      <c r="AB87" s="2" t="s">
        <v>318</v>
      </c>
      <c r="AC87" s="2" t="s">
        <v>318</v>
      </c>
      <c r="AD87" s="2" t="s">
        <v>318</v>
      </c>
      <c r="AE87" s="2"/>
      <c r="AF87" s="2"/>
      <c r="AG87" s="2"/>
      <c r="AH87" s="2"/>
      <c r="AI87" s="2"/>
      <c r="AJ87" s="2"/>
      <c r="AK87" s="2"/>
    </row>
    <row r="88" spans="1:37" ht="14.25">
      <c r="A88" s="164" t="s">
        <v>562</v>
      </c>
      <c r="B88" s="175" t="s">
        <v>520</v>
      </c>
      <c r="C88" s="46">
        <v>30000000</v>
      </c>
      <c r="D88" s="40"/>
      <c r="E88" s="40"/>
      <c r="F88" s="40"/>
      <c r="G88" s="40"/>
      <c r="H88" s="40">
        <f t="shared" si="7"/>
        <v>30000000</v>
      </c>
      <c r="I88" s="41"/>
      <c r="J88" s="41"/>
      <c r="K88" s="41"/>
      <c r="L88" s="41"/>
      <c r="M88" s="170">
        <v>1000000</v>
      </c>
      <c r="N88" s="48">
        <v>14920000</v>
      </c>
      <c r="O88" s="48">
        <v>7460000</v>
      </c>
      <c r="P88" s="45">
        <f t="shared" si="5"/>
        <v>-6460000</v>
      </c>
      <c r="Q88" s="80">
        <f t="shared" si="6"/>
        <v>7460000</v>
      </c>
      <c r="R88" s="2"/>
      <c r="S88" s="2"/>
      <c r="T88" s="2"/>
      <c r="U88" s="2"/>
      <c r="V88" s="2"/>
      <c r="W88" s="2"/>
      <c r="X88" s="178"/>
      <c r="Y88" s="2"/>
      <c r="Z88" s="2"/>
      <c r="AA88" s="2"/>
      <c r="AB88" s="2"/>
      <c r="AC88" s="2"/>
      <c r="AD88" s="2"/>
      <c r="AE88" s="2" t="s">
        <v>318</v>
      </c>
      <c r="AF88" s="2" t="s">
        <v>318</v>
      </c>
      <c r="AG88" s="2"/>
      <c r="AH88" s="2"/>
      <c r="AI88" s="2"/>
      <c r="AJ88" s="2"/>
      <c r="AK88" s="2" t="s">
        <v>321</v>
      </c>
    </row>
    <row r="89" spans="1:37" ht="14.25">
      <c r="A89" s="163"/>
      <c r="B89" s="175"/>
      <c r="C89" s="46">
        <v>1000000</v>
      </c>
      <c r="D89" s="40"/>
      <c r="E89" s="40"/>
      <c r="F89" s="40"/>
      <c r="G89" s="40"/>
      <c r="H89" s="40">
        <f t="shared" si="7"/>
        <v>1000000</v>
      </c>
      <c r="I89" s="44"/>
      <c r="J89" s="44"/>
      <c r="K89" s="44"/>
      <c r="L89" s="44"/>
      <c r="M89" s="170"/>
      <c r="N89" s="50">
        <f>54750+55440+43370+65250</f>
        <v>218810</v>
      </c>
      <c r="O89" s="50">
        <f>54750+55440+43370+65250</f>
        <v>218810</v>
      </c>
      <c r="P89" s="45">
        <f t="shared" si="5"/>
        <v>-218810</v>
      </c>
      <c r="Q89" s="79">
        <f t="shared" si="6"/>
        <v>0</v>
      </c>
      <c r="R89" s="2"/>
      <c r="S89" s="2"/>
      <c r="T89" s="2"/>
      <c r="U89" s="2"/>
      <c r="V89" s="2"/>
      <c r="W89" s="2"/>
      <c r="X89" s="178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4.25">
      <c r="A90" s="163" t="s">
        <v>563</v>
      </c>
      <c r="B90" s="174" t="s">
        <v>522</v>
      </c>
      <c r="C90" s="46">
        <v>27000000</v>
      </c>
      <c r="D90" s="40"/>
      <c r="E90" s="40"/>
      <c r="F90" s="40"/>
      <c r="G90" s="40"/>
      <c r="H90" s="40">
        <f t="shared" si="7"/>
        <v>27000000</v>
      </c>
      <c r="I90" s="44"/>
      <c r="J90" s="44"/>
      <c r="K90" s="44"/>
      <c r="L90" s="44"/>
      <c r="M90" s="170">
        <v>10351568</v>
      </c>
      <c r="N90" s="44"/>
      <c r="O90" s="44"/>
      <c r="P90" s="45">
        <f t="shared" si="5"/>
        <v>10351568</v>
      </c>
      <c r="Q90" s="79">
        <f t="shared" si="6"/>
        <v>0</v>
      </c>
      <c r="R90" s="2"/>
      <c r="S90" s="2"/>
      <c r="T90" s="2"/>
      <c r="U90" s="2"/>
      <c r="V90" s="2"/>
      <c r="W90" s="2"/>
      <c r="X90" s="178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4.25">
      <c r="A91" s="163"/>
      <c r="B91" s="175"/>
      <c r="C91" s="37">
        <f>SUM(C92:C96)</f>
        <v>255000000</v>
      </c>
      <c r="D91" s="37">
        <f>SUM(D92:D96)</f>
        <v>5000000</v>
      </c>
      <c r="E91" s="40"/>
      <c r="F91" s="40"/>
      <c r="G91" s="40"/>
      <c r="H91" s="43">
        <f>SUM(C91:G91)</f>
        <v>260000000</v>
      </c>
      <c r="I91" s="45">
        <f>+I92+I93+I94+I95+I96</f>
        <v>0</v>
      </c>
      <c r="J91" s="44"/>
      <c r="K91" s="44"/>
      <c r="L91" s="44"/>
      <c r="M91" s="170"/>
      <c r="N91" s="45">
        <f>+N92+N93+N94+N95+N96</f>
        <v>14200000</v>
      </c>
      <c r="O91" s="45">
        <f>+O92+O93+O94+O95+O96</f>
        <v>14200000</v>
      </c>
      <c r="P91" s="39">
        <f t="shared" si="5"/>
        <v>-14200000</v>
      </c>
      <c r="Q91" s="79">
        <f t="shared" si="6"/>
        <v>0</v>
      </c>
      <c r="R91" s="2"/>
      <c r="S91" s="2"/>
      <c r="T91" s="2"/>
      <c r="U91" s="2"/>
      <c r="V91" s="2"/>
      <c r="W91" s="2"/>
      <c r="X91" s="178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21.75">
      <c r="A92" s="164" t="s">
        <v>564</v>
      </c>
      <c r="B92" s="175" t="s">
        <v>524</v>
      </c>
      <c r="C92" s="46">
        <v>40000000</v>
      </c>
      <c r="D92" s="46"/>
      <c r="E92" s="40"/>
      <c r="F92" s="40"/>
      <c r="G92" s="40"/>
      <c r="H92" s="40">
        <f aca="true" t="shared" si="8" ref="H92:H105">SUM(C92:G92)</f>
        <v>40000000</v>
      </c>
      <c r="I92" s="44"/>
      <c r="J92" s="44"/>
      <c r="K92" s="44"/>
      <c r="L92" s="44"/>
      <c r="M92" s="170">
        <v>1000000</v>
      </c>
      <c r="N92" s="44"/>
      <c r="O92" s="44"/>
      <c r="P92" s="45">
        <f t="shared" si="5"/>
        <v>1000000</v>
      </c>
      <c r="Q92" s="79">
        <f t="shared" si="6"/>
        <v>0</v>
      </c>
      <c r="R92" s="66" t="s">
        <v>293</v>
      </c>
      <c r="S92" s="10">
        <v>60</v>
      </c>
      <c r="T92" s="10">
        <v>70</v>
      </c>
      <c r="U92" s="66" t="s">
        <v>294</v>
      </c>
      <c r="V92" s="10"/>
      <c r="W92" s="10"/>
      <c r="X92" s="178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4.25">
      <c r="A93" s="164" t="s">
        <v>565</v>
      </c>
      <c r="B93" s="175" t="s">
        <v>526</v>
      </c>
      <c r="C93" s="46">
        <v>50000000</v>
      </c>
      <c r="D93" s="46"/>
      <c r="E93" s="40"/>
      <c r="F93" s="40"/>
      <c r="G93" s="40"/>
      <c r="H93" s="40">
        <f t="shared" si="8"/>
        <v>50000000</v>
      </c>
      <c r="I93" s="44"/>
      <c r="J93" s="44"/>
      <c r="K93" s="44"/>
      <c r="L93" s="44"/>
      <c r="M93" s="170">
        <v>1300000</v>
      </c>
      <c r="N93" s="44"/>
      <c r="O93" s="44"/>
      <c r="P93" s="45">
        <f t="shared" si="5"/>
        <v>1300000</v>
      </c>
      <c r="Q93" s="79">
        <f t="shared" si="6"/>
        <v>0</v>
      </c>
      <c r="R93" s="10"/>
      <c r="S93" s="10"/>
      <c r="T93" s="10"/>
      <c r="U93" s="10" t="s">
        <v>295</v>
      </c>
      <c r="V93" s="10">
        <v>0.5</v>
      </c>
      <c r="W93" s="10">
        <v>0.4</v>
      </c>
      <c r="X93" s="178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4.25">
      <c r="A94" s="164" t="s">
        <v>566</v>
      </c>
      <c r="B94" s="175" t="s">
        <v>528</v>
      </c>
      <c r="C94" s="46">
        <v>40000000</v>
      </c>
      <c r="D94" s="46"/>
      <c r="E94" s="40"/>
      <c r="F94" s="40"/>
      <c r="G94" s="40"/>
      <c r="H94" s="40">
        <f t="shared" si="8"/>
        <v>40000000</v>
      </c>
      <c r="I94" s="44"/>
      <c r="J94" s="44"/>
      <c r="K94" s="44"/>
      <c r="L94" s="44"/>
      <c r="M94" s="170">
        <v>300000</v>
      </c>
      <c r="N94" s="47">
        <v>14200000</v>
      </c>
      <c r="O94" s="47">
        <v>14200000</v>
      </c>
      <c r="P94" s="45">
        <f t="shared" si="5"/>
        <v>-13900000</v>
      </c>
      <c r="Q94" s="79">
        <f t="shared" si="6"/>
        <v>0</v>
      </c>
      <c r="R94" s="2"/>
      <c r="S94" s="2"/>
      <c r="T94" s="2"/>
      <c r="U94" s="2"/>
      <c r="V94" s="2"/>
      <c r="W94" s="2"/>
      <c r="X94" s="178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28.5">
      <c r="A95" s="164" t="s">
        <v>567</v>
      </c>
      <c r="B95" s="175" t="s">
        <v>568</v>
      </c>
      <c r="C95" s="46">
        <v>5000000</v>
      </c>
      <c r="D95" s="46">
        <v>5000000</v>
      </c>
      <c r="E95" s="40"/>
      <c r="F95" s="40"/>
      <c r="G95" s="40"/>
      <c r="H95" s="40">
        <f t="shared" si="8"/>
        <v>10000000</v>
      </c>
      <c r="I95" s="41"/>
      <c r="J95" s="41"/>
      <c r="K95" s="41"/>
      <c r="L95" s="41"/>
      <c r="M95" s="170">
        <v>2000000</v>
      </c>
      <c r="N95" s="41"/>
      <c r="O95" s="41"/>
      <c r="P95" s="45">
        <f t="shared" si="5"/>
        <v>2000000</v>
      </c>
      <c r="Q95" s="79">
        <f t="shared" si="6"/>
        <v>0</v>
      </c>
      <c r="R95" s="2"/>
      <c r="S95" s="2"/>
      <c r="T95" s="2"/>
      <c r="U95" s="2"/>
      <c r="V95" s="2"/>
      <c r="W95" s="2"/>
      <c r="X95" s="178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4.25">
      <c r="A96" s="164" t="s">
        <v>569</v>
      </c>
      <c r="B96" s="175" t="s">
        <v>570</v>
      </c>
      <c r="C96" s="46">
        <v>120000000</v>
      </c>
      <c r="D96" s="40"/>
      <c r="E96" s="40"/>
      <c r="F96" s="40"/>
      <c r="G96" s="40"/>
      <c r="H96" s="40">
        <f t="shared" si="8"/>
        <v>120000000</v>
      </c>
      <c r="I96" s="44"/>
      <c r="J96" s="44"/>
      <c r="K96" s="44"/>
      <c r="L96" s="44"/>
      <c r="M96" s="170">
        <v>2000000</v>
      </c>
      <c r="N96" s="44"/>
      <c r="O96" s="44"/>
      <c r="P96" s="45">
        <f t="shared" si="5"/>
        <v>2000000</v>
      </c>
      <c r="Q96" s="79">
        <f t="shared" si="6"/>
        <v>0</v>
      </c>
      <c r="R96" s="2"/>
      <c r="S96" s="2"/>
      <c r="T96" s="2"/>
      <c r="U96" s="2"/>
      <c r="V96" s="2"/>
      <c r="W96" s="2"/>
      <c r="X96" s="178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4.25">
      <c r="A97" s="164" t="s">
        <v>571</v>
      </c>
      <c r="B97" s="175" t="s">
        <v>572</v>
      </c>
      <c r="C97" s="37">
        <f>SUM(C98:C100)</f>
        <v>63000000</v>
      </c>
      <c r="D97" s="37">
        <f>SUM(D98:D100)</f>
        <v>0</v>
      </c>
      <c r="E97" s="37"/>
      <c r="F97" s="43"/>
      <c r="G97" s="43"/>
      <c r="H97" s="43">
        <f t="shared" si="8"/>
        <v>63000000</v>
      </c>
      <c r="I97" s="39">
        <f>+I98+I99+I100</f>
        <v>7000000</v>
      </c>
      <c r="J97" s="44"/>
      <c r="K97" s="44"/>
      <c r="L97" s="44"/>
      <c r="M97" s="170">
        <v>3000000</v>
      </c>
      <c r="N97" s="44">
        <f>+N98+N99+N100</f>
        <v>0</v>
      </c>
      <c r="O97" s="44">
        <f>+O98+O99+O100</f>
        <v>0</v>
      </c>
      <c r="P97" s="39">
        <f t="shared" si="5"/>
        <v>3000000</v>
      </c>
      <c r="Q97" s="79">
        <f t="shared" si="6"/>
        <v>0</v>
      </c>
      <c r="R97" s="2"/>
      <c r="S97" s="2"/>
      <c r="T97" s="2"/>
      <c r="U97" s="2"/>
      <c r="V97" s="2"/>
      <c r="W97" s="2"/>
      <c r="X97" s="178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6.5" customHeight="1">
      <c r="A98" s="164" t="s">
        <v>573</v>
      </c>
      <c r="B98" s="175" t="s">
        <v>574</v>
      </c>
      <c r="C98" s="46">
        <v>30000000</v>
      </c>
      <c r="D98" s="46"/>
      <c r="E98" s="46"/>
      <c r="F98" s="40"/>
      <c r="G98" s="40"/>
      <c r="H98" s="40">
        <f t="shared" si="8"/>
        <v>30000000</v>
      </c>
      <c r="I98" s="44"/>
      <c r="J98" s="44"/>
      <c r="K98" s="44"/>
      <c r="L98" s="44"/>
      <c r="M98" s="170">
        <v>600000</v>
      </c>
      <c r="N98" s="44"/>
      <c r="O98" s="44"/>
      <c r="P98" s="45">
        <f t="shared" si="5"/>
        <v>600000</v>
      </c>
      <c r="Q98" s="79">
        <f t="shared" si="6"/>
        <v>0</v>
      </c>
      <c r="R98" s="2"/>
      <c r="S98" s="2"/>
      <c r="T98" s="2"/>
      <c r="U98" s="2"/>
      <c r="V98" s="2"/>
      <c r="W98" s="2"/>
      <c r="X98" s="178"/>
      <c r="Y98" s="2"/>
      <c r="Z98" s="2"/>
      <c r="AA98" s="2"/>
      <c r="AB98" s="2"/>
      <c r="AC98" s="2"/>
      <c r="AD98" s="2"/>
      <c r="AE98" s="2" t="s">
        <v>318</v>
      </c>
      <c r="AF98" s="2"/>
      <c r="AG98" s="2"/>
      <c r="AH98" s="2"/>
      <c r="AI98" s="2"/>
      <c r="AJ98" s="2"/>
      <c r="AK98" s="2" t="s">
        <v>320</v>
      </c>
    </row>
    <row r="99" spans="1:37" ht="14.25">
      <c r="A99" s="164" t="s">
        <v>575</v>
      </c>
      <c r="B99" s="175" t="s">
        <v>576</v>
      </c>
      <c r="C99" s="46">
        <v>30000000</v>
      </c>
      <c r="D99" s="46"/>
      <c r="E99" s="46"/>
      <c r="F99" s="40"/>
      <c r="G99" s="40"/>
      <c r="H99" s="40">
        <f t="shared" si="8"/>
        <v>30000000</v>
      </c>
      <c r="I99" s="44"/>
      <c r="J99" s="44"/>
      <c r="K99" s="44"/>
      <c r="L99" s="44"/>
      <c r="M99" s="170">
        <v>151000</v>
      </c>
      <c r="N99" s="44"/>
      <c r="O99" s="44"/>
      <c r="P99" s="45">
        <f t="shared" si="5"/>
        <v>151000</v>
      </c>
      <c r="Q99" s="79">
        <f t="shared" si="6"/>
        <v>0</v>
      </c>
      <c r="R99" s="2"/>
      <c r="S99" s="2"/>
      <c r="T99" s="2"/>
      <c r="U99" s="2"/>
      <c r="V99" s="2"/>
      <c r="W99" s="2"/>
      <c r="X99" s="178"/>
      <c r="Y99" s="2"/>
      <c r="Z99" s="2"/>
      <c r="AA99" s="2"/>
      <c r="AB99" s="2"/>
      <c r="AC99" s="2"/>
      <c r="AD99" s="2"/>
      <c r="AE99" s="2" t="s">
        <v>318</v>
      </c>
      <c r="AF99" s="2"/>
      <c r="AG99" s="2"/>
      <c r="AH99" s="2"/>
      <c r="AI99" s="2"/>
      <c r="AJ99" s="2"/>
      <c r="AK99" s="2"/>
    </row>
    <row r="100" spans="1:37" ht="28.5">
      <c r="A100" s="164" t="s">
        <v>577</v>
      </c>
      <c r="B100" s="175" t="s">
        <v>538</v>
      </c>
      <c r="C100" s="46">
        <v>3000000</v>
      </c>
      <c r="D100" s="46"/>
      <c r="E100" s="46"/>
      <c r="F100" s="40"/>
      <c r="G100" s="40"/>
      <c r="H100" s="40">
        <f t="shared" si="8"/>
        <v>3000000</v>
      </c>
      <c r="I100" s="45">
        <v>7000000</v>
      </c>
      <c r="J100" s="44"/>
      <c r="K100" s="44"/>
      <c r="L100" s="44"/>
      <c r="M100" s="170">
        <v>568</v>
      </c>
      <c r="N100" s="44"/>
      <c r="O100" s="44"/>
      <c r="P100" s="45">
        <f t="shared" si="5"/>
        <v>568</v>
      </c>
      <c r="Q100" s="79">
        <f t="shared" si="6"/>
        <v>0</v>
      </c>
      <c r="R100" s="2"/>
      <c r="S100" s="2"/>
      <c r="T100" s="2"/>
      <c r="U100" s="2"/>
      <c r="V100" s="2"/>
      <c r="W100" s="2"/>
      <c r="X100" s="178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321</v>
      </c>
    </row>
    <row r="101" spans="1:37" ht="17.25" customHeight="1">
      <c r="A101" s="164"/>
      <c r="B101" s="177"/>
      <c r="C101" s="37">
        <f>SUM(C102:C104)</f>
        <v>20000000</v>
      </c>
      <c r="D101" s="51">
        <f>SUM(D102:D104)</f>
        <v>0</v>
      </c>
      <c r="E101" s="40"/>
      <c r="F101" s="40"/>
      <c r="G101" s="40"/>
      <c r="H101" s="43">
        <f t="shared" si="8"/>
        <v>20000000</v>
      </c>
      <c r="I101" s="45">
        <f>+I102+I103+I104</f>
        <v>0</v>
      </c>
      <c r="J101" s="44"/>
      <c r="K101" s="44"/>
      <c r="L101" s="44"/>
      <c r="M101" s="170"/>
      <c r="N101" s="45">
        <f>+N102+N103+N104</f>
        <v>0</v>
      </c>
      <c r="O101" s="45">
        <f>+O102+O103+O104</f>
        <v>0</v>
      </c>
      <c r="P101" s="39">
        <f t="shared" si="5"/>
        <v>0</v>
      </c>
      <c r="Q101" s="79">
        <f t="shared" si="6"/>
        <v>0</v>
      </c>
      <c r="R101" s="2"/>
      <c r="S101" s="2"/>
      <c r="T101" s="2"/>
      <c r="U101" s="2"/>
      <c r="V101" s="2"/>
      <c r="W101" s="2"/>
      <c r="X101" s="178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52.5" customHeight="1">
      <c r="A102" s="180" t="s">
        <v>578</v>
      </c>
      <c r="B102" s="192" t="s">
        <v>579</v>
      </c>
      <c r="C102" s="193">
        <v>5000000</v>
      </c>
      <c r="D102" s="193"/>
      <c r="E102" s="194"/>
      <c r="F102" s="194"/>
      <c r="G102" s="194"/>
      <c r="H102" s="194">
        <f t="shared" si="8"/>
        <v>5000000</v>
      </c>
      <c r="I102" s="195"/>
      <c r="J102" s="195"/>
      <c r="K102" s="195"/>
      <c r="L102" s="195"/>
      <c r="M102" s="184">
        <v>485558962</v>
      </c>
      <c r="N102" s="44"/>
      <c r="O102" s="44"/>
      <c r="P102" s="45">
        <f t="shared" si="5"/>
        <v>485558962</v>
      </c>
      <c r="Q102" s="79">
        <f t="shared" si="6"/>
        <v>0</v>
      </c>
      <c r="R102" s="10" t="s">
        <v>296</v>
      </c>
      <c r="S102" s="10">
        <v>0</v>
      </c>
      <c r="T102" s="10">
        <v>8</v>
      </c>
      <c r="U102" s="2"/>
      <c r="V102" s="2"/>
      <c r="W102" s="2"/>
      <c r="X102" s="178" t="s">
        <v>667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160"/>
      <c r="B103" s="171"/>
      <c r="C103" s="46">
        <v>10000000</v>
      </c>
      <c r="D103" s="46"/>
      <c r="E103" s="40"/>
      <c r="F103" s="40"/>
      <c r="G103" s="40"/>
      <c r="H103" s="40">
        <f t="shared" si="8"/>
        <v>10000000</v>
      </c>
      <c r="I103" s="41"/>
      <c r="J103" s="41"/>
      <c r="K103" s="41"/>
      <c r="L103" s="41"/>
      <c r="M103" s="169"/>
      <c r="N103" s="41"/>
      <c r="O103" s="41"/>
      <c r="P103" s="45">
        <f t="shared" si="5"/>
        <v>0</v>
      </c>
      <c r="Q103" s="79">
        <f t="shared" si="6"/>
        <v>0</v>
      </c>
      <c r="R103" s="10" t="s">
        <v>297</v>
      </c>
      <c r="S103" s="6">
        <v>0</v>
      </c>
      <c r="T103" s="6">
        <v>0</v>
      </c>
      <c r="U103" s="2"/>
      <c r="V103" s="2"/>
      <c r="W103" s="2"/>
      <c r="X103" s="178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165" t="s">
        <v>580</v>
      </c>
      <c r="B104" s="176" t="s">
        <v>470</v>
      </c>
      <c r="C104" s="46">
        <v>5000000</v>
      </c>
      <c r="D104" s="46"/>
      <c r="E104" s="40"/>
      <c r="F104" s="40"/>
      <c r="G104" s="40"/>
      <c r="H104" s="40">
        <f t="shared" si="8"/>
        <v>5000000</v>
      </c>
      <c r="I104" s="44"/>
      <c r="J104" s="44"/>
      <c r="K104" s="44"/>
      <c r="L104" s="44"/>
      <c r="M104" s="169">
        <v>188309360</v>
      </c>
      <c r="N104" s="44"/>
      <c r="O104" s="44"/>
      <c r="P104" s="45">
        <f t="shared" si="5"/>
        <v>188309360</v>
      </c>
      <c r="Q104" s="79">
        <f t="shared" si="6"/>
        <v>0</v>
      </c>
      <c r="R104" s="10" t="s">
        <v>298</v>
      </c>
      <c r="S104" s="10">
        <v>0</v>
      </c>
      <c r="T104" s="10">
        <v>1</v>
      </c>
      <c r="U104" s="2"/>
      <c r="V104" s="2"/>
      <c r="W104" s="2"/>
      <c r="X104" s="178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165"/>
      <c r="B105" s="176"/>
      <c r="C105" s="37">
        <f>SUM(C106:C114)</f>
        <v>139000000</v>
      </c>
      <c r="D105" s="37">
        <f>SUM(D106:D114)</f>
        <v>3000000</v>
      </c>
      <c r="E105" s="43">
        <f>SUM(E113)</f>
        <v>10000000</v>
      </c>
      <c r="F105" s="40"/>
      <c r="G105" s="40"/>
      <c r="H105" s="43">
        <f t="shared" si="8"/>
        <v>152000000</v>
      </c>
      <c r="I105" s="41">
        <f>+I106+I107+I108+I109+I110+I111+I112+I113+I114</f>
        <v>20000000</v>
      </c>
      <c r="J105" s="41"/>
      <c r="K105" s="41"/>
      <c r="L105" s="41"/>
      <c r="M105" s="169"/>
      <c r="N105" s="41">
        <f>+N106+N107+N108+N109+N110+N112+N113+N114</f>
        <v>721360</v>
      </c>
      <c r="O105" s="41">
        <f>+O106+O107+O108+O109+O110+O112+O113+O114</f>
        <v>721360</v>
      </c>
      <c r="P105" s="39">
        <f t="shared" si="5"/>
        <v>-721360</v>
      </c>
      <c r="Q105" s="79">
        <f t="shared" si="6"/>
        <v>0</v>
      </c>
      <c r="R105" s="2"/>
      <c r="S105" s="2"/>
      <c r="T105" s="2"/>
      <c r="U105" s="2"/>
      <c r="V105" s="2"/>
      <c r="W105" s="2"/>
      <c r="X105" s="178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28.5">
      <c r="A106" s="165" t="s">
        <v>581</v>
      </c>
      <c r="B106" s="176" t="s">
        <v>472</v>
      </c>
      <c r="C106" s="46">
        <v>35000000</v>
      </c>
      <c r="D106" s="46"/>
      <c r="E106" s="46"/>
      <c r="F106" s="40"/>
      <c r="G106" s="40"/>
      <c r="H106" s="40">
        <f aca="true" t="shared" si="9" ref="H106:H114">SUM(C106:G106)</f>
        <v>35000000</v>
      </c>
      <c r="I106" s="44"/>
      <c r="J106" s="44"/>
      <c r="K106" s="44"/>
      <c r="L106" s="44"/>
      <c r="M106" s="169">
        <v>143290000</v>
      </c>
      <c r="N106" s="45"/>
      <c r="O106" s="45"/>
      <c r="P106" s="45">
        <f t="shared" si="5"/>
        <v>143290000</v>
      </c>
      <c r="Q106" s="79">
        <f t="shared" si="6"/>
        <v>0</v>
      </c>
      <c r="R106" s="2"/>
      <c r="S106" s="2"/>
      <c r="T106" s="2"/>
      <c r="U106" s="2"/>
      <c r="V106" s="2"/>
      <c r="W106" s="2"/>
      <c r="X106" s="178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320</v>
      </c>
    </row>
    <row r="107" spans="1:37" ht="13.5" customHeight="1">
      <c r="A107" s="165"/>
      <c r="B107" s="176"/>
      <c r="C107" s="46"/>
      <c r="D107" s="46">
        <v>1000000</v>
      </c>
      <c r="E107" s="46"/>
      <c r="F107" s="40"/>
      <c r="G107" s="40"/>
      <c r="H107" s="40">
        <f t="shared" si="9"/>
        <v>1000000</v>
      </c>
      <c r="I107" s="44"/>
      <c r="J107" s="44"/>
      <c r="K107" s="44"/>
      <c r="L107" s="44"/>
      <c r="M107" s="170"/>
      <c r="N107" s="44"/>
      <c r="O107" s="44"/>
      <c r="P107" s="45">
        <f t="shared" si="5"/>
        <v>0</v>
      </c>
      <c r="Q107" s="79">
        <f t="shared" si="6"/>
        <v>0</v>
      </c>
      <c r="R107" s="2"/>
      <c r="S107" s="2"/>
      <c r="T107" s="2"/>
      <c r="U107" s="2"/>
      <c r="V107" s="2"/>
      <c r="W107" s="2"/>
      <c r="X107" s="178"/>
      <c r="Y107" s="2"/>
      <c r="Z107" s="2"/>
      <c r="AA107" s="2" t="s">
        <v>318</v>
      </c>
      <c r="AB107" s="2"/>
      <c r="AC107" s="2"/>
      <c r="AD107" s="2"/>
      <c r="AE107" s="2" t="s">
        <v>318</v>
      </c>
      <c r="AF107" s="2"/>
      <c r="AG107" s="2"/>
      <c r="AH107" s="2"/>
      <c r="AI107" s="2"/>
      <c r="AJ107" s="2"/>
      <c r="AK107" s="2"/>
    </row>
    <row r="108" spans="1:37" ht="14.25">
      <c r="A108" s="166" t="s">
        <v>582</v>
      </c>
      <c r="B108" s="175" t="s">
        <v>583</v>
      </c>
      <c r="C108" s="46">
        <v>2000000</v>
      </c>
      <c r="D108" s="37"/>
      <c r="E108" s="37"/>
      <c r="F108" s="40"/>
      <c r="G108" s="40"/>
      <c r="H108" s="40">
        <f t="shared" si="9"/>
        <v>2000000</v>
      </c>
      <c r="I108" s="41"/>
      <c r="J108" s="41"/>
      <c r="K108" s="41"/>
      <c r="L108" s="41"/>
      <c r="M108" s="170">
        <v>102372000</v>
      </c>
      <c r="N108" s="41"/>
      <c r="O108" s="41"/>
      <c r="P108" s="45">
        <f t="shared" si="5"/>
        <v>102372000</v>
      </c>
      <c r="Q108" s="79">
        <f t="shared" si="6"/>
        <v>0</v>
      </c>
      <c r="R108" s="2"/>
      <c r="S108" s="2"/>
      <c r="T108" s="2"/>
      <c r="U108" s="2"/>
      <c r="V108" s="2"/>
      <c r="W108" s="2"/>
      <c r="X108" s="178"/>
      <c r="Y108" s="2"/>
      <c r="Z108" s="2" t="s">
        <v>318</v>
      </c>
      <c r="AA108" s="2" t="s">
        <v>318</v>
      </c>
      <c r="AB108" s="2"/>
      <c r="AC108" s="2"/>
      <c r="AD108" s="2" t="s">
        <v>318</v>
      </c>
      <c r="AE108" s="2" t="s">
        <v>318</v>
      </c>
      <c r="AF108" s="2"/>
      <c r="AG108" s="2"/>
      <c r="AH108" s="2"/>
      <c r="AI108" s="2"/>
      <c r="AJ108" s="2"/>
      <c r="AK108" s="2" t="s">
        <v>321</v>
      </c>
    </row>
    <row r="109" spans="1:37" ht="14.25">
      <c r="A109" s="166" t="s">
        <v>584</v>
      </c>
      <c r="B109" s="175" t="s">
        <v>476</v>
      </c>
      <c r="C109" s="46">
        <v>1000000</v>
      </c>
      <c r="D109" s="46"/>
      <c r="E109" s="46"/>
      <c r="F109" s="40"/>
      <c r="G109" s="40"/>
      <c r="H109" s="40">
        <f t="shared" si="9"/>
        <v>1000000</v>
      </c>
      <c r="I109" s="44"/>
      <c r="J109" s="44"/>
      <c r="K109" s="44"/>
      <c r="L109" s="44"/>
      <c r="M109" s="170">
        <v>4265500</v>
      </c>
      <c r="N109" s="45"/>
      <c r="O109" s="45"/>
      <c r="P109" s="45">
        <f t="shared" si="5"/>
        <v>4265500</v>
      </c>
      <c r="Q109" s="79">
        <f t="shared" si="6"/>
        <v>0</v>
      </c>
      <c r="R109" s="2"/>
      <c r="S109" s="2"/>
      <c r="T109" s="2"/>
      <c r="U109" s="2"/>
      <c r="V109" s="2"/>
      <c r="W109" s="2"/>
      <c r="X109" s="178"/>
      <c r="Y109" s="2"/>
      <c r="Z109" s="2"/>
      <c r="AA109" s="2"/>
      <c r="AB109" s="2"/>
      <c r="AC109" s="2" t="s">
        <v>318</v>
      </c>
      <c r="AD109" s="2"/>
      <c r="AE109" s="2"/>
      <c r="AF109" s="2"/>
      <c r="AG109" s="2"/>
      <c r="AH109" s="2"/>
      <c r="AI109" s="2" t="s">
        <v>318</v>
      </c>
      <c r="AJ109" s="2"/>
      <c r="AK109" s="2"/>
    </row>
    <row r="110" spans="1:37" ht="15" customHeight="1">
      <c r="A110" s="166" t="s">
        <v>585</v>
      </c>
      <c r="B110" s="175" t="s">
        <v>478</v>
      </c>
      <c r="C110" s="46">
        <v>6000000</v>
      </c>
      <c r="D110" s="46"/>
      <c r="E110" s="46"/>
      <c r="F110" s="40"/>
      <c r="G110" s="40"/>
      <c r="H110" s="40">
        <f t="shared" si="9"/>
        <v>6000000</v>
      </c>
      <c r="I110" s="44"/>
      <c r="J110" s="44"/>
      <c r="K110" s="44"/>
      <c r="L110" s="44"/>
      <c r="M110" s="170">
        <v>8531000</v>
      </c>
      <c r="N110" s="44"/>
      <c r="O110" s="44"/>
      <c r="P110" s="45">
        <f t="shared" si="5"/>
        <v>8531000</v>
      </c>
      <c r="Q110" s="79">
        <f t="shared" si="6"/>
        <v>0</v>
      </c>
      <c r="R110" s="2"/>
      <c r="S110" s="2"/>
      <c r="T110" s="2"/>
      <c r="U110" s="2"/>
      <c r="V110" s="2"/>
      <c r="W110" s="2"/>
      <c r="X110" s="178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 customHeight="1">
      <c r="A111" s="166" t="s">
        <v>586</v>
      </c>
      <c r="B111" s="175" t="s">
        <v>480</v>
      </c>
      <c r="C111" s="46"/>
      <c r="D111" s="46">
        <v>2000000</v>
      </c>
      <c r="E111" s="46"/>
      <c r="F111" s="40"/>
      <c r="G111" s="40"/>
      <c r="H111" s="40">
        <f t="shared" si="9"/>
        <v>2000000</v>
      </c>
      <c r="I111" s="44"/>
      <c r="J111" s="44"/>
      <c r="K111" s="44"/>
      <c r="L111" s="45"/>
      <c r="M111" s="170">
        <v>4265500</v>
      </c>
      <c r="N111" s="44"/>
      <c r="O111" s="44"/>
      <c r="P111" s="45">
        <f t="shared" si="5"/>
        <v>4265500</v>
      </c>
      <c r="Q111" s="79">
        <f t="shared" si="6"/>
        <v>0</v>
      </c>
      <c r="R111" s="2"/>
      <c r="S111" s="2"/>
      <c r="T111" s="2"/>
      <c r="U111" s="2"/>
      <c r="V111" s="2"/>
      <c r="W111" s="2"/>
      <c r="X111" s="178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166" t="s">
        <v>587</v>
      </c>
      <c r="B112" s="175" t="s">
        <v>588</v>
      </c>
      <c r="C112" s="46">
        <v>15000000</v>
      </c>
      <c r="D112" s="46"/>
      <c r="E112" s="46"/>
      <c r="F112" s="40"/>
      <c r="G112" s="40"/>
      <c r="H112" s="40">
        <f t="shared" si="9"/>
        <v>15000000</v>
      </c>
      <c r="I112" s="44"/>
      <c r="J112" s="44"/>
      <c r="K112" s="44"/>
      <c r="L112" s="44"/>
      <c r="M112" s="170">
        <v>23856000</v>
      </c>
      <c r="N112" s="47">
        <v>528000</v>
      </c>
      <c r="O112" s="47">
        <v>528000</v>
      </c>
      <c r="P112" s="45">
        <f t="shared" si="5"/>
        <v>23328000</v>
      </c>
      <c r="Q112" s="79">
        <f t="shared" si="6"/>
        <v>0</v>
      </c>
      <c r="R112" s="2"/>
      <c r="S112" s="2"/>
      <c r="T112" s="2"/>
      <c r="U112" s="2"/>
      <c r="V112" s="2"/>
      <c r="W112" s="2"/>
      <c r="X112" s="178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165"/>
      <c r="B113" s="175"/>
      <c r="C113" s="46">
        <v>40000000</v>
      </c>
      <c r="D113" s="46"/>
      <c r="E113" s="46">
        <v>10000000</v>
      </c>
      <c r="F113" s="40"/>
      <c r="G113" s="40"/>
      <c r="H113" s="40">
        <f t="shared" si="9"/>
        <v>50000000</v>
      </c>
      <c r="I113" s="47">
        <v>20000000</v>
      </c>
      <c r="J113" s="44"/>
      <c r="K113" s="44"/>
      <c r="L113" s="44"/>
      <c r="M113" s="170"/>
      <c r="N113" s="44"/>
      <c r="O113" s="44"/>
      <c r="P113" s="45">
        <f t="shared" si="5"/>
        <v>0</v>
      </c>
      <c r="Q113" s="79">
        <f t="shared" si="6"/>
        <v>0</v>
      </c>
      <c r="R113" s="2"/>
      <c r="S113" s="2"/>
      <c r="T113" s="2"/>
      <c r="U113" s="2"/>
      <c r="V113" s="2"/>
      <c r="W113" s="2"/>
      <c r="X113" s="178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165" t="s">
        <v>589</v>
      </c>
      <c r="B114" s="174" t="s">
        <v>590</v>
      </c>
      <c r="C114" s="46">
        <v>40000000</v>
      </c>
      <c r="D114" s="46"/>
      <c r="E114" s="46"/>
      <c r="F114" s="40"/>
      <c r="G114" s="40"/>
      <c r="H114" s="40">
        <f t="shared" si="9"/>
        <v>40000000</v>
      </c>
      <c r="I114" s="41"/>
      <c r="J114" s="41"/>
      <c r="K114" s="41"/>
      <c r="L114" s="41"/>
      <c r="M114" s="169">
        <v>4700000</v>
      </c>
      <c r="N114" s="48">
        <f>59330+76810+57220</f>
        <v>193360</v>
      </c>
      <c r="O114" s="48">
        <f>59330+76810+57220</f>
        <v>193360</v>
      </c>
      <c r="P114" s="45">
        <f t="shared" si="5"/>
        <v>4506640</v>
      </c>
      <c r="Q114" s="79">
        <f t="shared" si="6"/>
        <v>0</v>
      </c>
      <c r="R114" s="2"/>
      <c r="S114" s="2"/>
      <c r="T114" s="2"/>
      <c r="U114" s="2"/>
      <c r="V114" s="2"/>
      <c r="W114" s="2"/>
      <c r="X114" s="178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4.25">
      <c r="A115" s="165"/>
      <c r="B115" s="175"/>
      <c r="C115" s="37">
        <f>SUM(C116:C117)</f>
        <v>57000000</v>
      </c>
      <c r="D115" s="37">
        <f>SUM(D116:D117)</f>
        <v>0</v>
      </c>
      <c r="E115" s="40"/>
      <c r="F115" s="40"/>
      <c r="G115" s="40"/>
      <c r="H115" s="43">
        <f aca="true" t="shared" si="10" ref="H115:H128">SUM(C115:G115)</f>
        <v>57000000</v>
      </c>
      <c r="I115" s="52">
        <f>+I116+I117</f>
        <v>24402629</v>
      </c>
      <c r="J115" s="44"/>
      <c r="K115" s="44"/>
      <c r="L115" s="44"/>
      <c r="M115" s="170"/>
      <c r="N115" s="42">
        <f>+N116+N117</f>
        <v>0</v>
      </c>
      <c r="O115" s="42">
        <f>+O116+O117</f>
        <v>0</v>
      </c>
      <c r="P115" s="39">
        <f t="shared" si="5"/>
        <v>0</v>
      </c>
      <c r="Q115" s="79">
        <f t="shared" si="6"/>
        <v>0</v>
      </c>
      <c r="R115" s="2"/>
      <c r="S115" s="2"/>
      <c r="T115" s="2"/>
      <c r="U115" s="2"/>
      <c r="V115" s="2"/>
      <c r="W115" s="2"/>
      <c r="X115" s="178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4.25" customHeight="1">
      <c r="A116" s="166" t="s">
        <v>591</v>
      </c>
      <c r="B116" s="175" t="s">
        <v>592</v>
      </c>
      <c r="C116" s="46">
        <v>30000000</v>
      </c>
      <c r="D116" s="46"/>
      <c r="E116" s="40"/>
      <c r="F116" s="40"/>
      <c r="G116" s="40"/>
      <c r="H116" s="40">
        <f t="shared" si="10"/>
        <v>30000000</v>
      </c>
      <c r="I116" s="53">
        <v>7402629</v>
      </c>
      <c r="J116" s="10"/>
      <c r="K116" s="10"/>
      <c r="L116" s="10"/>
      <c r="M116" s="170">
        <v>3000000</v>
      </c>
      <c r="N116" s="10"/>
      <c r="O116" s="10"/>
      <c r="P116" s="45">
        <f t="shared" si="5"/>
        <v>3000000</v>
      </c>
      <c r="Q116" s="79">
        <f t="shared" si="6"/>
        <v>0</v>
      </c>
      <c r="R116" s="2"/>
      <c r="S116" s="2"/>
      <c r="T116" s="2"/>
      <c r="U116" s="2"/>
      <c r="V116" s="2"/>
      <c r="W116" s="2"/>
      <c r="X116" s="178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4.25">
      <c r="A117" s="166" t="s">
        <v>593</v>
      </c>
      <c r="B117" s="175" t="s">
        <v>594</v>
      </c>
      <c r="C117" s="46">
        <v>27000000</v>
      </c>
      <c r="D117" s="46"/>
      <c r="E117" s="40"/>
      <c r="F117" s="40"/>
      <c r="G117" s="40"/>
      <c r="H117" s="40">
        <f t="shared" si="10"/>
        <v>27000000</v>
      </c>
      <c r="I117" s="53">
        <v>17000000</v>
      </c>
      <c r="J117" s="10"/>
      <c r="K117" s="10"/>
      <c r="L117" s="10"/>
      <c r="M117" s="170">
        <v>1000000</v>
      </c>
      <c r="N117" s="10"/>
      <c r="O117" s="10"/>
      <c r="P117" s="45">
        <f t="shared" si="5"/>
        <v>1000000</v>
      </c>
      <c r="Q117" s="79">
        <f t="shared" si="6"/>
        <v>0</v>
      </c>
      <c r="R117" s="2"/>
      <c r="S117" s="2"/>
      <c r="T117" s="2"/>
      <c r="U117" s="2"/>
      <c r="V117" s="2"/>
      <c r="W117" s="2"/>
      <c r="X117" s="178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28.5">
      <c r="A118" s="166" t="s">
        <v>595</v>
      </c>
      <c r="B118" s="175" t="s">
        <v>596</v>
      </c>
      <c r="C118" s="46"/>
      <c r="D118" s="46"/>
      <c r="E118" s="40"/>
      <c r="F118" s="40"/>
      <c r="G118" s="40"/>
      <c r="H118" s="40"/>
      <c r="I118" s="53"/>
      <c r="J118" s="10"/>
      <c r="K118" s="10"/>
      <c r="L118" s="10"/>
      <c r="M118" s="170">
        <v>700000</v>
      </c>
      <c r="N118" s="10"/>
      <c r="O118" s="10"/>
      <c r="P118" s="45"/>
      <c r="Q118" s="79"/>
      <c r="R118" s="2"/>
      <c r="S118" s="2"/>
      <c r="T118" s="2"/>
      <c r="U118" s="2"/>
      <c r="V118" s="2"/>
      <c r="W118" s="2"/>
      <c r="X118" s="178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4.25">
      <c r="A119" s="165"/>
      <c r="B119" s="176"/>
      <c r="C119" s="46"/>
      <c r="D119" s="46"/>
      <c r="E119" s="40"/>
      <c r="F119" s="40"/>
      <c r="G119" s="40"/>
      <c r="H119" s="40"/>
      <c r="I119" s="53"/>
      <c r="J119" s="10"/>
      <c r="K119" s="10"/>
      <c r="L119" s="10"/>
      <c r="M119" s="170"/>
      <c r="N119" s="10"/>
      <c r="O119" s="10"/>
      <c r="P119" s="45"/>
      <c r="Q119" s="79"/>
      <c r="R119" s="2"/>
      <c r="S119" s="2"/>
      <c r="T119" s="2"/>
      <c r="U119" s="2"/>
      <c r="V119" s="2"/>
      <c r="W119" s="2"/>
      <c r="X119" s="178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02">
      <c r="A120" s="180" t="s">
        <v>597</v>
      </c>
      <c r="B120" s="181" t="s">
        <v>486</v>
      </c>
      <c r="C120" s="188">
        <f>SUM(C121)</f>
        <v>35000000</v>
      </c>
      <c r="D120" s="188">
        <f>SUM(D121)</f>
        <v>0</v>
      </c>
      <c r="E120" s="188"/>
      <c r="F120" s="189"/>
      <c r="G120" s="189"/>
      <c r="H120" s="189">
        <f t="shared" si="10"/>
        <v>35000000</v>
      </c>
      <c r="I120" s="190"/>
      <c r="J120" s="190"/>
      <c r="K120" s="191"/>
      <c r="L120" s="191"/>
      <c r="M120" s="184">
        <v>35184360</v>
      </c>
      <c r="N120" s="54">
        <f>N121</f>
        <v>17000000</v>
      </c>
      <c r="O120" s="54">
        <f>O121</f>
        <v>8500000</v>
      </c>
      <c r="P120" s="54">
        <f>P121</f>
        <v>-8500000</v>
      </c>
      <c r="Q120" s="79">
        <f t="shared" si="6"/>
        <v>8500000</v>
      </c>
      <c r="R120" s="2"/>
      <c r="S120" s="2"/>
      <c r="T120" s="2"/>
      <c r="U120" s="2"/>
      <c r="V120" s="2"/>
      <c r="W120" s="2"/>
      <c r="X120" s="178" t="s">
        <v>662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24" customHeight="1">
      <c r="A121" s="165"/>
      <c r="B121" s="175"/>
      <c r="C121" s="46">
        <v>35000000</v>
      </c>
      <c r="D121" s="46"/>
      <c r="E121" s="46"/>
      <c r="F121" s="40"/>
      <c r="G121" s="40"/>
      <c r="H121" s="40">
        <f t="shared" si="10"/>
        <v>35000000</v>
      </c>
      <c r="I121" s="53"/>
      <c r="J121" s="53"/>
      <c r="K121" s="10"/>
      <c r="L121" s="10"/>
      <c r="M121" s="170"/>
      <c r="N121" s="53">
        <v>17000000</v>
      </c>
      <c r="O121" s="53">
        <v>8500000</v>
      </c>
      <c r="P121" s="45">
        <f t="shared" si="5"/>
        <v>-8500000</v>
      </c>
      <c r="Q121" s="80">
        <f t="shared" si="6"/>
        <v>8500000</v>
      </c>
      <c r="R121" s="2"/>
      <c r="S121" s="2"/>
      <c r="T121" s="2"/>
      <c r="U121" s="2"/>
      <c r="V121" s="2"/>
      <c r="W121" s="2"/>
      <c r="X121" s="178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4.25">
      <c r="A122" s="166" t="s">
        <v>598</v>
      </c>
      <c r="B122" s="175" t="s">
        <v>488</v>
      </c>
      <c r="C122" s="37">
        <f>SUM(C123:C124)</f>
        <v>40000000</v>
      </c>
      <c r="D122" s="37">
        <f>SUM(D123:D125)</f>
        <v>15000000</v>
      </c>
      <c r="E122" s="40"/>
      <c r="F122" s="40"/>
      <c r="G122" s="40"/>
      <c r="H122" s="43">
        <f t="shared" si="10"/>
        <v>55000000</v>
      </c>
      <c r="I122" s="54"/>
      <c r="J122" s="54"/>
      <c r="K122" s="10"/>
      <c r="L122" s="10"/>
      <c r="M122" s="170">
        <v>8710000</v>
      </c>
      <c r="N122" s="54">
        <f>+N123+N124+N125</f>
        <v>34000000</v>
      </c>
      <c r="O122" s="54">
        <f>+O123+O124+O125</f>
        <v>17000000</v>
      </c>
      <c r="P122" s="54">
        <f>+P123+P124+P125</f>
        <v>4350640</v>
      </c>
      <c r="Q122" s="79">
        <f t="shared" si="6"/>
        <v>17000000</v>
      </c>
      <c r="R122" s="2"/>
      <c r="S122" s="2"/>
      <c r="T122" s="2"/>
      <c r="U122" s="2"/>
      <c r="V122" s="2"/>
      <c r="W122" s="2"/>
      <c r="X122" s="178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">
      <c r="A123" s="166" t="s">
        <v>599</v>
      </c>
      <c r="B123" s="175" t="s">
        <v>490</v>
      </c>
      <c r="C123" s="46">
        <v>20000000</v>
      </c>
      <c r="D123" s="46">
        <v>10000000</v>
      </c>
      <c r="E123" s="40"/>
      <c r="F123" s="40"/>
      <c r="G123" s="40"/>
      <c r="H123" s="40">
        <f t="shared" si="10"/>
        <v>30000000</v>
      </c>
      <c r="I123" s="53"/>
      <c r="J123" s="53"/>
      <c r="K123" s="10"/>
      <c r="L123" s="10"/>
      <c r="M123" s="170">
        <v>12284640</v>
      </c>
      <c r="N123" s="53">
        <f>12000000+22000000</f>
        <v>34000000</v>
      </c>
      <c r="O123" s="53">
        <f>6000000+11000000</f>
        <v>17000000</v>
      </c>
      <c r="P123" s="45">
        <f t="shared" si="5"/>
        <v>-4715360</v>
      </c>
      <c r="Q123" s="80">
        <f t="shared" si="6"/>
        <v>17000000</v>
      </c>
      <c r="R123" s="64"/>
      <c r="S123" s="64"/>
      <c r="T123" s="64"/>
      <c r="U123" s="64"/>
      <c r="V123" s="64"/>
      <c r="W123" s="64"/>
      <c r="X123" s="178"/>
      <c r="Y123" s="2" t="s">
        <v>318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28.5">
      <c r="A124" s="166" t="s">
        <v>600</v>
      </c>
      <c r="B124" s="175" t="s">
        <v>492</v>
      </c>
      <c r="C124" s="46">
        <v>20000000</v>
      </c>
      <c r="D124" s="46"/>
      <c r="E124" s="40"/>
      <c r="F124" s="40"/>
      <c r="G124" s="40"/>
      <c r="H124" s="40">
        <f t="shared" si="10"/>
        <v>20000000</v>
      </c>
      <c r="I124" s="10"/>
      <c r="J124" s="10"/>
      <c r="K124" s="10"/>
      <c r="L124" s="10"/>
      <c r="M124" s="170">
        <v>535000</v>
      </c>
      <c r="N124" s="10"/>
      <c r="O124" s="10"/>
      <c r="P124" s="45">
        <f t="shared" si="5"/>
        <v>535000</v>
      </c>
      <c r="Q124" s="79">
        <f t="shared" si="6"/>
        <v>0</v>
      </c>
      <c r="R124" s="10" t="s">
        <v>300</v>
      </c>
      <c r="S124" s="10">
        <v>1</v>
      </c>
      <c r="T124" s="10">
        <v>1</v>
      </c>
      <c r="U124" s="10" t="s">
        <v>301</v>
      </c>
      <c r="V124" s="10">
        <v>55.42</v>
      </c>
      <c r="W124" s="69">
        <v>58</v>
      </c>
      <c r="X124" s="178"/>
      <c r="Y124" s="2" t="s">
        <v>318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4.25">
      <c r="A125" s="166" t="s">
        <v>601</v>
      </c>
      <c r="B125" s="175" t="s">
        <v>494</v>
      </c>
      <c r="C125" s="46"/>
      <c r="D125" s="46">
        <v>5000000</v>
      </c>
      <c r="E125" s="40"/>
      <c r="F125" s="40"/>
      <c r="G125" s="40"/>
      <c r="H125" s="40">
        <f t="shared" si="10"/>
        <v>5000000</v>
      </c>
      <c r="I125" s="10"/>
      <c r="J125" s="10"/>
      <c r="K125" s="10"/>
      <c r="L125" s="10"/>
      <c r="M125" s="170">
        <v>8531000</v>
      </c>
      <c r="N125" s="10"/>
      <c r="O125" s="10"/>
      <c r="P125" s="45">
        <f t="shared" si="5"/>
        <v>8531000</v>
      </c>
      <c r="Q125" s="79">
        <f t="shared" si="6"/>
        <v>0</v>
      </c>
      <c r="R125" s="10" t="s">
        <v>302</v>
      </c>
      <c r="S125" s="10">
        <v>1</v>
      </c>
      <c r="T125" s="10">
        <v>1</v>
      </c>
      <c r="U125" s="10"/>
      <c r="V125" s="10"/>
      <c r="W125" s="10"/>
      <c r="X125" s="178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 t="s">
        <v>318</v>
      </c>
      <c r="AK125" s="2"/>
    </row>
    <row r="126" spans="1:37" ht="14.25">
      <c r="A126" s="166" t="s">
        <v>602</v>
      </c>
      <c r="B126" s="175" t="s">
        <v>496</v>
      </c>
      <c r="C126" s="37">
        <f>SUM(C127)</f>
        <v>25000000</v>
      </c>
      <c r="D126" s="37">
        <f>SUM(D127:D128)</f>
        <v>0</v>
      </c>
      <c r="E126" s="43">
        <f>SUM(E128)</f>
        <v>15000000</v>
      </c>
      <c r="F126" s="43"/>
      <c r="G126" s="43"/>
      <c r="H126" s="43">
        <f t="shared" si="10"/>
        <v>40000000</v>
      </c>
      <c r="I126" s="10">
        <f>+I127+I128</f>
        <v>0</v>
      </c>
      <c r="J126" s="10"/>
      <c r="K126" s="10"/>
      <c r="L126" s="10"/>
      <c r="M126" s="170">
        <v>1023720</v>
      </c>
      <c r="N126" s="54">
        <f>N127+N128</f>
        <v>8402830</v>
      </c>
      <c r="O126" s="54">
        <f>O127+O128</f>
        <v>6902830</v>
      </c>
      <c r="P126" s="54">
        <f>P127+P128</f>
        <v>-2802830</v>
      </c>
      <c r="Q126" s="79">
        <f t="shared" si="6"/>
        <v>1500000</v>
      </c>
      <c r="R126" s="2"/>
      <c r="S126" s="2"/>
      <c r="T126" s="2"/>
      <c r="U126" s="2"/>
      <c r="V126" s="2"/>
      <c r="W126" s="2"/>
      <c r="X126" s="178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28.5">
      <c r="A127" s="166" t="s">
        <v>603</v>
      </c>
      <c r="B127" s="175" t="s">
        <v>498</v>
      </c>
      <c r="C127" s="46">
        <v>25000000</v>
      </c>
      <c r="D127" s="46"/>
      <c r="E127" s="40"/>
      <c r="F127" s="40"/>
      <c r="G127" s="40"/>
      <c r="H127" s="40">
        <f t="shared" si="10"/>
        <v>25000000</v>
      </c>
      <c r="I127" s="10"/>
      <c r="J127" s="10"/>
      <c r="K127" s="10"/>
      <c r="L127" s="10"/>
      <c r="M127" s="170">
        <v>4100000</v>
      </c>
      <c r="N127" s="53">
        <f>111520+1360000+6876+115807+116890+152097+7100+1360000+115600+115600+6800+151300+7100+1360000</f>
        <v>4986690</v>
      </c>
      <c r="O127" s="53">
        <f>111520+1360000+6876+115807+116890+152097+7100+1360000+115600+115600+6800+151300+7100+1360000</f>
        <v>4986690</v>
      </c>
      <c r="P127" s="45">
        <f t="shared" si="5"/>
        <v>-886690</v>
      </c>
      <c r="Q127" s="79">
        <f t="shared" si="6"/>
        <v>0</v>
      </c>
      <c r="R127" s="6"/>
      <c r="S127" s="2"/>
      <c r="T127" s="2"/>
      <c r="U127" s="2"/>
      <c r="V127" s="2"/>
      <c r="W127" s="2"/>
      <c r="X127" s="178"/>
      <c r="Y127" s="2"/>
      <c r="Z127" s="2"/>
      <c r="AA127" s="2" t="s">
        <v>318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320</v>
      </c>
    </row>
    <row r="128" spans="1:37" ht="14.25">
      <c r="A128" s="165"/>
      <c r="B128" s="175"/>
      <c r="C128" s="72"/>
      <c r="D128" s="72"/>
      <c r="E128" s="72">
        <v>15000000</v>
      </c>
      <c r="F128" s="73"/>
      <c r="G128" s="73"/>
      <c r="H128" s="73">
        <f t="shared" si="10"/>
        <v>15000000</v>
      </c>
      <c r="I128" s="74"/>
      <c r="J128" s="74"/>
      <c r="K128" s="74"/>
      <c r="L128" s="74"/>
      <c r="M128" s="170"/>
      <c r="N128" s="76">
        <f>40400+196890+98150+3000000+80700</f>
        <v>3416140</v>
      </c>
      <c r="O128" s="76">
        <f>40400+196890+98150+1500000+80700</f>
        <v>1916140</v>
      </c>
      <c r="P128" s="75">
        <f t="shared" si="5"/>
        <v>-1916140</v>
      </c>
      <c r="Q128" s="81">
        <f t="shared" si="6"/>
        <v>1500000</v>
      </c>
      <c r="R128" s="66" t="s">
        <v>303</v>
      </c>
      <c r="S128" s="2"/>
      <c r="T128" s="2"/>
      <c r="U128" s="2"/>
      <c r="V128" s="2"/>
      <c r="W128" s="2"/>
      <c r="X128" s="178"/>
      <c r="Y128" s="2"/>
      <c r="Z128" s="2"/>
      <c r="AA128" s="2"/>
      <c r="AB128" s="2" t="s">
        <v>318</v>
      </c>
      <c r="AC128" s="2"/>
      <c r="AD128" s="2"/>
      <c r="AE128" s="2"/>
      <c r="AF128" s="2"/>
      <c r="AG128" s="2"/>
      <c r="AH128" s="2"/>
      <c r="AI128" s="2"/>
      <c r="AJ128" s="2" t="s">
        <v>318</v>
      </c>
      <c r="AK128" s="2"/>
    </row>
    <row r="129" spans="1:37" s="5" customFormat="1" ht="102">
      <c r="A129" s="180" t="s">
        <v>604</v>
      </c>
      <c r="B129" s="181" t="s">
        <v>500</v>
      </c>
      <c r="C129" s="185"/>
      <c r="D129" s="185"/>
      <c r="E129" s="186"/>
      <c r="F129" s="186"/>
      <c r="G129" s="186"/>
      <c r="H129" s="186"/>
      <c r="I129" s="187"/>
      <c r="J129" s="187"/>
      <c r="K129" s="187"/>
      <c r="L129" s="187"/>
      <c r="M129" s="184">
        <v>5135000</v>
      </c>
      <c r="N129" s="2" t="s">
        <v>203</v>
      </c>
      <c r="O129" s="2"/>
      <c r="P129" s="2"/>
      <c r="Q129" s="82"/>
      <c r="R129" s="66" t="s">
        <v>304</v>
      </c>
      <c r="S129" s="2"/>
      <c r="T129" s="2"/>
      <c r="U129" s="2"/>
      <c r="V129" s="2"/>
      <c r="W129" s="2"/>
      <c r="X129" s="178" t="s">
        <v>662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321</v>
      </c>
    </row>
    <row r="130" spans="1:37" ht="21.75">
      <c r="A130" s="165"/>
      <c r="B130" s="175"/>
      <c r="C130" s="7"/>
      <c r="D130" s="7"/>
      <c r="E130" s="7"/>
      <c r="F130" s="7"/>
      <c r="G130" s="7"/>
      <c r="H130" s="7"/>
      <c r="I130" s="2"/>
      <c r="J130" s="2"/>
      <c r="K130" s="2"/>
      <c r="L130" s="2"/>
      <c r="M130" s="170"/>
      <c r="N130" s="2"/>
      <c r="O130" s="2"/>
      <c r="P130" s="2"/>
      <c r="Q130" s="2"/>
      <c r="R130" s="66" t="s">
        <v>305</v>
      </c>
      <c r="S130" s="2"/>
      <c r="T130" s="2"/>
      <c r="U130" s="2"/>
      <c r="V130" s="2"/>
      <c r="W130" s="2"/>
      <c r="X130" s="178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4.25">
      <c r="A131" s="166" t="s">
        <v>605</v>
      </c>
      <c r="B131" s="175" t="s">
        <v>502</v>
      </c>
      <c r="C131" s="7"/>
      <c r="D131" s="7"/>
      <c r="E131" s="7"/>
      <c r="F131" s="7"/>
      <c r="G131" s="7"/>
      <c r="H131" s="7"/>
      <c r="I131" s="2"/>
      <c r="J131" s="2"/>
      <c r="K131" s="2"/>
      <c r="L131" s="2"/>
      <c r="M131" s="170">
        <v>515000</v>
      </c>
      <c r="N131" s="2"/>
      <c r="O131" s="2"/>
      <c r="P131" s="2"/>
      <c r="Q131" s="2"/>
      <c r="R131" s="6"/>
      <c r="S131" s="2"/>
      <c r="T131" s="2"/>
      <c r="U131" s="2"/>
      <c r="V131" s="2"/>
      <c r="W131" s="2"/>
      <c r="X131" s="178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4.25">
      <c r="A132" s="166" t="s">
        <v>606</v>
      </c>
      <c r="B132" s="175" t="s">
        <v>504</v>
      </c>
      <c r="M132" s="170">
        <v>515000</v>
      </c>
      <c r="X132" s="178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4.25">
      <c r="A133" s="166" t="s">
        <v>607</v>
      </c>
      <c r="B133" s="175" t="s">
        <v>506</v>
      </c>
      <c r="C133"/>
      <c r="M133" s="170">
        <v>1025000</v>
      </c>
      <c r="X133" s="178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4.25">
      <c r="A134" s="166" t="s">
        <v>608</v>
      </c>
      <c r="B134" s="175" t="s">
        <v>508</v>
      </c>
      <c r="C134"/>
      <c r="M134" s="170">
        <v>3080000</v>
      </c>
      <c r="X134" s="178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4.25">
      <c r="A135" s="165"/>
      <c r="B135" s="176"/>
      <c r="M135" s="170"/>
      <c r="X135" s="178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63.75">
      <c r="A136" s="180" t="s">
        <v>609</v>
      </c>
      <c r="B136" s="181" t="s">
        <v>514</v>
      </c>
      <c r="C136" s="182"/>
      <c r="D136" s="182"/>
      <c r="E136" s="182"/>
      <c r="F136" s="182"/>
      <c r="G136" s="182"/>
      <c r="H136" s="182"/>
      <c r="I136" s="183"/>
      <c r="J136" s="183"/>
      <c r="K136" s="183"/>
      <c r="L136" s="183"/>
      <c r="M136" s="184">
        <v>123505360</v>
      </c>
      <c r="X136" s="178" t="s">
        <v>667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9" customHeight="1">
      <c r="A137" s="165"/>
      <c r="B137" s="175"/>
      <c r="M137" s="170"/>
      <c r="X137" s="178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4.25">
      <c r="A138" s="165" t="s">
        <v>610</v>
      </c>
      <c r="B138" s="174" t="s">
        <v>516</v>
      </c>
      <c r="M138" s="169">
        <v>47000000</v>
      </c>
      <c r="X138" s="178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4.25">
      <c r="A139" s="166" t="s">
        <v>611</v>
      </c>
      <c r="B139" s="175" t="s">
        <v>518</v>
      </c>
      <c r="M139" s="170">
        <v>12000000</v>
      </c>
      <c r="X139" s="178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4.25">
      <c r="A140" s="166" t="s">
        <v>612</v>
      </c>
      <c r="B140" s="175" t="s">
        <v>520</v>
      </c>
      <c r="M140" s="170">
        <v>23000000</v>
      </c>
      <c r="X140" s="178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28.5">
      <c r="A141" s="166" t="s">
        <v>613</v>
      </c>
      <c r="B141" s="175" t="s">
        <v>614</v>
      </c>
      <c r="M141" s="170">
        <v>12000000</v>
      </c>
      <c r="X141" s="178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4.25">
      <c r="A142" s="165"/>
      <c r="B142" s="175"/>
      <c r="M142" s="170"/>
      <c r="X142" s="178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4.25">
      <c r="A143" s="165" t="s">
        <v>615</v>
      </c>
      <c r="B143" s="174" t="s">
        <v>522</v>
      </c>
      <c r="M143" s="169">
        <v>76505360</v>
      </c>
      <c r="X143" s="178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4.25">
      <c r="A144" s="165"/>
      <c r="B144" s="175"/>
      <c r="M144" s="170"/>
      <c r="X144" s="178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4.25">
      <c r="A145" s="166" t="s">
        <v>616</v>
      </c>
      <c r="B145" s="175" t="s">
        <v>524</v>
      </c>
      <c r="M145" s="170">
        <v>8000000</v>
      </c>
      <c r="X145" s="178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4.25">
      <c r="A146" s="166" t="s">
        <v>617</v>
      </c>
      <c r="B146" s="175" t="s">
        <v>618</v>
      </c>
      <c r="M146" s="170">
        <v>1000000</v>
      </c>
      <c r="X146" s="178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4.25">
      <c r="A147" s="166" t="s">
        <v>619</v>
      </c>
      <c r="B147" s="175" t="s">
        <v>620</v>
      </c>
      <c r="M147" s="170">
        <v>12000000</v>
      </c>
      <c r="X147" s="178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4.25">
      <c r="A148" s="166" t="s">
        <v>621</v>
      </c>
      <c r="B148" s="175" t="s">
        <v>622</v>
      </c>
      <c r="M148" s="170">
        <v>400000</v>
      </c>
      <c r="X148" s="178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28.5">
      <c r="A149" s="166" t="s">
        <v>623</v>
      </c>
      <c r="B149" s="175" t="s">
        <v>624</v>
      </c>
      <c r="M149" s="170">
        <v>9500000</v>
      </c>
      <c r="X149" s="178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28.5">
      <c r="A150" s="166" t="s">
        <v>625</v>
      </c>
      <c r="B150" s="175" t="s">
        <v>626</v>
      </c>
      <c r="M150" s="170">
        <v>12000000</v>
      </c>
      <c r="X150" s="178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28.5">
      <c r="A151" s="166" t="s">
        <v>627</v>
      </c>
      <c r="B151" s="175" t="s">
        <v>628</v>
      </c>
      <c r="M151" s="170">
        <v>400000</v>
      </c>
      <c r="X151" s="178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4.25">
      <c r="A152" s="166" t="s">
        <v>629</v>
      </c>
      <c r="B152" s="175" t="s">
        <v>630</v>
      </c>
      <c r="M152" s="170">
        <v>12000000</v>
      </c>
      <c r="X152" s="178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4.25">
      <c r="A153" s="166" t="s">
        <v>631</v>
      </c>
      <c r="B153" s="175" t="s">
        <v>632</v>
      </c>
      <c r="M153" s="170">
        <v>300000</v>
      </c>
      <c r="X153" s="178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4.25">
      <c r="A154" s="166" t="s">
        <v>633</v>
      </c>
      <c r="B154" s="175" t="s">
        <v>634</v>
      </c>
      <c r="M154" s="170">
        <v>100000</v>
      </c>
      <c r="X154" s="178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4.25">
      <c r="A155" s="166" t="s">
        <v>635</v>
      </c>
      <c r="B155" s="175" t="s">
        <v>636</v>
      </c>
      <c r="M155" s="170">
        <v>2000000</v>
      </c>
      <c r="X155" s="178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28.5">
      <c r="A156" s="166" t="s">
        <v>637</v>
      </c>
      <c r="B156" s="175" t="s">
        <v>638</v>
      </c>
      <c r="M156" s="170">
        <v>2000000</v>
      </c>
      <c r="X156" s="178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4.25">
      <c r="A157" s="166" t="s">
        <v>639</v>
      </c>
      <c r="B157" s="175" t="s">
        <v>526</v>
      </c>
      <c r="M157" s="170">
        <v>1800000</v>
      </c>
      <c r="X157" s="178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28.5">
      <c r="A158" s="166" t="s">
        <v>640</v>
      </c>
      <c r="B158" s="175" t="s">
        <v>641</v>
      </c>
      <c r="M158" s="170">
        <v>1500000</v>
      </c>
      <c r="X158" s="178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4.25">
      <c r="A159" s="166" t="s">
        <v>642</v>
      </c>
      <c r="B159" s="175" t="s">
        <v>643</v>
      </c>
      <c r="M159" s="170">
        <v>1105360</v>
      </c>
      <c r="X159" s="178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4.25">
      <c r="A160" s="166" t="s">
        <v>644</v>
      </c>
      <c r="B160" s="175" t="s">
        <v>645</v>
      </c>
      <c r="M160" s="170">
        <v>6900000</v>
      </c>
      <c r="X160" s="178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28.5">
      <c r="A161" s="166" t="s">
        <v>646</v>
      </c>
      <c r="B161" s="175" t="s">
        <v>647</v>
      </c>
      <c r="M161" s="170">
        <v>5000000</v>
      </c>
      <c r="X161" s="178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28.5">
      <c r="A162" s="166" t="s">
        <v>648</v>
      </c>
      <c r="B162" s="175" t="s">
        <v>538</v>
      </c>
      <c r="M162" s="170">
        <v>500000</v>
      </c>
      <c r="X162" s="178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4.25">
      <c r="A163" s="165"/>
      <c r="B163" s="175"/>
      <c r="M163" s="170"/>
      <c r="X163" s="178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63.75">
      <c r="A164" s="180" t="s">
        <v>649</v>
      </c>
      <c r="B164" s="181" t="s">
        <v>650</v>
      </c>
      <c r="C164" s="182"/>
      <c r="D164" s="182"/>
      <c r="E164" s="182"/>
      <c r="F164" s="182"/>
      <c r="G164" s="182"/>
      <c r="H164" s="182"/>
      <c r="I164" s="183"/>
      <c r="J164" s="183"/>
      <c r="K164" s="183"/>
      <c r="L164" s="183"/>
      <c r="M164" s="184">
        <v>173744242</v>
      </c>
      <c r="X164" s="178" t="s">
        <v>669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4.25">
      <c r="A165" s="165"/>
      <c r="B165" s="175"/>
      <c r="M165" s="170"/>
      <c r="X165" s="17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4.25">
      <c r="A166" s="166" t="s">
        <v>651</v>
      </c>
      <c r="B166" s="175" t="s">
        <v>652</v>
      </c>
      <c r="M166" s="170">
        <v>6000000</v>
      </c>
      <c r="X166" s="17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28.5">
      <c r="A167" s="166" t="s">
        <v>653</v>
      </c>
      <c r="B167" s="175" t="s">
        <v>654</v>
      </c>
      <c r="M167" s="170">
        <v>163744242</v>
      </c>
      <c r="X167" s="17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4.25">
      <c r="A168" s="166" t="s">
        <v>655</v>
      </c>
      <c r="B168" s="175" t="s">
        <v>656</v>
      </c>
      <c r="M168" s="170">
        <v>4000000</v>
      </c>
      <c r="X168" s="17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</sheetData>
  <sheetProtection/>
  <mergeCells count="14">
    <mergeCell ref="I5:J5"/>
    <mergeCell ref="K5:L5"/>
    <mergeCell ref="A4:A5"/>
    <mergeCell ref="B4:B5"/>
    <mergeCell ref="R6:T6"/>
    <mergeCell ref="U6:W6"/>
    <mergeCell ref="A1:Q1"/>
    <mergeCell ref="A2:Q2"/>
    <mergeCell ref="A3:Q3"/>
    <mergeCell ref="I4:L4"/>
    <mergeCell ref="N4:N6"/>
    <mergeCell ref="O4:O6"/>
    <mergeCell ref="P4:P6"/>
    <mergeCell ref="Q4:Q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</dc:creator>
  <cp:keywords/>
  <dc:description/>
  <cp:lastModifiedBy>Mayra Leguizamon</cp:lastModifiedBy>
  <cp:lastPrinted>2010-04-16T17:27:58Z</cp:lastPrinted>
  <dcterms:created xsi:type="dcterms:W3CDTF">2009-10-30T15:55:29Z</dcterms:created>
  <dcterms:modified xsi:type="dcterms:W3CDTF">2013-09-12T15:20:34Z</dcterms:modified>
  <cp:category/>
  <cp:version/>
  <cp:contentType/>
  <cp:contentStatus/>
</cp:coreProperties>
</file>