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465" activeTab="0"/>
  </bookViews>
  <sheets>
    <sheet name="NOMINA JUNIO 2012" sheetId="1" r:id="rId1"/>
    <sheet name="DESC NOMINA JUNIO 2012" sheetId="2" r:id="rId2"/>
    <sheet name="PRIMASERVICIOS" sheetId="3" r:id="rId3"/>
  </sheets>
  <definedNames>
    <definedName name="_xlnm.Print_Area" localSheetId="0">'NOMINA JUNIO 2012'!$A$1:$P$61</definedName>
    <definedName name="_xlnm.Print_Titles" localSheetId="0">'NOMINA JUNIO 2012'!$1:$2</definedName>
  </definedNames>
  <calcPr fullCalcOnLoad="1"/>
</workbook>
</file>

<file path=xl/comments2.xml><?xml version="1.0" encoding="utf-8"?>
<comments xmlns="http://schemas.openxmlformats.org/spreadsheetml/2006/main">
  <authors>
    <author>miguel</author>
    <author>user</author>
    <author>hacienda1</author>
  </authors>
  <commentList>
    <comment ref="F14" authorId="0">
      <text>
        <r>
          <rPr>
            <b/>
            <sz val="8"/>
            <rFont val="Tahoma"/>
            <family val="2"/>
          </rPr>
          <t>VIVIENDA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VIVIENDA
</t>
        </r>
      </text>
    </comment>
    <comment ref="N41" authorId="1">
      <text>
        <r>
          <rPr>
            <b/>
            <sz val="8"/>
            <rFont val="Tahoma"/>
            <family val="2"/>
          </rPr>
          <t>a partir de julio de 2009 el descuento por alimentos es $ 120.000 para el juzgado de Mosquera (conciliacion).
Hizo conciliacion con Dora en la comisaria de Bojacá</t>
        </r>
      </text>
    </comment>
    <comment ref="F8" authorId="2">
      <text>
        <r>
          <rPr>
            <b/>
            <sz val="8"/>
            <rFont val="Tahoma"/>
            <family val="0"/>
          </rPr>
          <t>corpoagil</t>
        </r>
      </text>
    </comment>
  </commentList>
</comments>
</file>

<file path=xl/sharedStrings.xml><?xml version="1.0" encoding="utf-8"?>
<sst xmlns="http://schemas.openxmlformats.org/spreadsheetml/2006/main" count="387" uniqueCount="239">
  <si>
    <t>ACERO SUAREZ ANDREA</t>
  </si>
  <si>
    <t>APONTE ROJAS LUZ MARLENE</t>
  </si>
  <si>
    <t>GAITAN CHIRIVI GLORIA MARCELA</t>
  </si>
  <si>
    <t>MOLINA MARTINEZ MAURICIO</t>
  </si>
  <si>
    <t>GARCIA MONROY ANA ELIANA</t>
  </si>
  <si>
    <t>CORREDOR QUINTERO YOLANDA</t>
  </si>
  <si>
    <t>HILARION RUBIANO LIZETH ADRIANA</t>
  </si>
  <si>
    <t>RODRIGUEZ JOSE ISMAEL</t>
  </si>
  <si>
    <t>MIRANDA GAMA ROSA ALICIA</t>
  </si>
  <si>
    <t>BUSTOS TRIANA OMAR ESNEIDER</t>
  </si>
  <si>
    <t>RODRIGUEZ GAMBA ANA IRIS</t>
  </si>
  <si>
    <t>CARDENAS JIMENEZ RICARDO</t>
  </si>
  <si>
    <t>APONTE GARZON MIGUEL GERARDO</t>
  </si>
  <si>
    <t>SANCHEZ OLGA LUCIA</t>
  </si>
  <si>
    <t>VENTO QUIÑONEZ CARMEN PATRICIA</t>
  </si>
  <si>
    <t>CASTELLANOS FRANCO EDUARDO</t>
  </si>
  <si>
    <t>ZABALA GAITÀN OBDULIA</t>
  </si>
  <si>
    <t>GARZON RAMIREZ ELSA YANED</t>
  </si>
  <si>
    <t>CHIRIVI CHIRIVI BETTY EUGENIA</t>
  </si>
  <si>
    <t>GONZALEZ GOMEZ DIEGO FERNANDO</t>
  </si>
  <si>
    <t>FRANCO BERMUDEZ FERNANDO</t>
  </si>
  <si>
    <t>REYES CARDENAS OLGA PATRICIA</t>
  </si>
  <si>
    <t>LOZANO RODRIGUEZ SANDRA PATRICIA</t>
  </si>
  <si>
    <t>AMAYA CARPETA DANNY JAVIER</t>
  </si>
  <si>
    <t>PEÑA DURAN JOSE RODULFO</t>
  </si>
  <si>
    <t>REYES MOUR GEOVANNY</t>
  </si>
  <si>
    <t>CUBILLOS GARAVITO NOHORA MABEL</t>
  </si>
  <si>
    <t>RIOS OTERO ANA CECILIA</t>
  </si>
  <si>
    <t>MORENO GARROTE SANDRA MILENA</t>
  </si>
  <si>
    <t>BRICEÑO RODRIGUEZ BERNARDO</t>
  </si>
  <si>
    <t>TOVAR APONTE RAMIRO ENRIQUE</t>
  </si>
  <si>
    <t>NEUTA  ALFONSO</t>
  </si>
  <si>
    <t>TOCARRUNCHO  OLEGARIO</t>
  </si>
  <si>
    <t>RINCON MENDIVELSO CRISTOBAL</t>
  </si>
  <si>
    <t>REYES GARZON LUIS ALBERTO</t>
  </si>
  <si>
    <t>CRUZ TARQUINO MARIA DEL CARMEN</t>
  </si>
  <si>
    <t>RICO PACHECO MARCO ANTONIO</t>
  </si>
  <si>
    <t>ROJAS APONTE NADIA</t>
  </si>
  <si>
    <t>TINOCO ZAMORA URIEL</t>
  </si>
  <si>
    <t>CAMACHO ROMERO NUBIA JAINE</t>
  </si>
  <si>
    <t>REYES AVELLANEDA MARIA EUFRASIA</t>
  </si>
  <si>
    <t>RUIZ PEÑA ODILIA</t>
  </si>
  <si>
    <t>C.C.</t>
  </si>
  <si>
    <t>Nombre</t>
  </si>
  <si>
    <t>No. Dias</t>
  </si>
  <si>
    <t>Total Devengado</t>
  </si>
  <si>
    <t>Salud</t>
  </si>
  <si>
    <t>Pension</t>
  </si>
  <si>
    <t>F.S.P.</t>
  </si>
  <si>
    <t>Otros Desc</t>
  </si>
  <si>
    <t>Total Desc</t>
  </si>
  <si>
    <t>Neto Pagar</t>
  </si>
  <si>
    <t>CEDULA</t>
  </si>
  <si>
    <t>PRIMER</t>
  </si>
  <si>
    <t>SEGUNDO</t>
  </si>
  <si>
    <t>NOMBRES</t>
  </si>
  <si>
    <t>CORPORACION SOCIAL</t>
  </si>
  <si>
    <t>BANCO POPULAR</t>
  </si>
  <si>
    <t xml:space="preserve">AUXILIO </t>
  </si>
  <si>
    <t>ACE SEGUROS</t>
  </si>
  <si>
    <t>SURAMERICA</t>
  </si>
  <si>
    <t>SEGUROS</t>
  </si>
  <si>
    <t>GAFAS</t>
  </si>
  <si>
    <t>DEPOSITOS</t>
  </si>
  <si>
    <t xml:space="preserve">TOTAL </t>
  </si>
  <si>
    <t>CIUDADANIA</t>
  </si>
  <si>
    <t>APELLIDO</t>
  </si>
  <si>
    <t>APORTES</t>
  </si>
  <si>
    <t>CREDITO</t>
  </si>
  <si>
    <t>TOTAL</t>
  </si>
  <si>
    <t>FUNERARIO</t>
  </si>
  <si>
    <t>BOLIVAR</t>
  </si>
  <si>
    <t>IMAGEN OPTICA</t>
  </si>
  <si>
    <t>JUDICIALES</t>
  </si>
  <si>
    <t>DESCUENTOS</t>
  </si>
  <si>
    <t>ACERO</t>
  </si>
  <si>
    <t>SUAREZ</t>
  </si>
  <si>
    <t>ANDREA</t>
  </si>
  <si>
    <t>GAITAN</t>
  </si>
  <si>
    <t>CHIRIVI</t>
  </si>
  <si>
    <t>GLORIA MARCELA</t>
  </si>
  <si>
    <t>APONTE</t>
  </si>
  <si>
    <t xml:space="preserve">ROJAS </t>
  </si>
  <si>
    <t>LUZ MARLENE</t>
  </si>
  <si>
    <t>GARCIA</t>
  </si>
  <si>
    <t>MONROY</t>
  </si>
  <si>
    <t>ANA ELIANA</t>
  </si>
  <si>
    <t>MOLINA</t>
  </si>
  <si>
    <t>MARTINEZ</t>
  </si>
  <si>
    <t>MAURICIO</t>
  </si>
  <si>
    <t>CORREDOR</t>
  </si>
  <si>
    <t>QUINTERO</t>
  </si>
  <si>
    <t>YOLANDA</t>
  </si>
  <si>
    <t>HILARION</t>
  </si>
  <si>
    <t>RUBIANO</t>
  </si>
  <si>
    <t>LIZETH ADRIANA</t>
  </si>
  <si>
    <t>BUSTOS</t>
  </si>
  <si>
    <t>TRIANA</t>
  </si>
  <si>
    <t>OMAR ESNEIDER</t>
  </si>
  <si>
    <t xml:space="preserve">MIRANDA </t>
  </si>
  <si>
    <t>GAMA</t>
  </si>
  <si>
    <t>ROSA ALICIA</t>
  </si>
  <si>
    <t>RODRIGUEZ</t>
  </si>
  <si>
    <t>JOSE ISMAEL</t>
  </si>
  <si>
    <t>CARDENAS</t>
  </si>
  <si>
    <t>JIMENEZ</t>
  </si>
  <si>
    <t>RICARDO</t>
  </si>
  <si>
    <t xml:space="preserve">RODRIGUEZ </t>
  </si>
  <si>
    <t>GAMBA</t>
  </si>
  <si>
    <t>ANA IRIS</t>
  </si>
  <si>
    <t>VENTO</t>
  </si>
  <si>
    <t>QUIÑONEZ</t>
  </si>
  <si>
    <t>CARMEN PATRICIA</t>
  </si>
  <si>
    <t>GARZON</t>
  </si>
  <si>
    <t>MIGUEL GERARDO</t>
  </si>
  <si>
    <t>SANCHEZ</t>
  </si>
  <si>
    <t>OLGA LUCIA</t>
  </si>
  <si>
    <t>FRANCO</t>
  </si>
  <si>
    <t>BERMUDEZ</t>
  </si>
  <si>
    <t>FERNANDO</t>
  </si>
  <si>
    <t>REYES</t>
  </si>
  <si>
    <t>OLGA PATRICIA</t>
  </si>
  <si>
    <t>RAMIREZ</t>
  </si>
  <si>
    <t>ELSA YANED</t>
  </si>
  <si>
    <t>BETTY EUGENIA</t>
  </si>
  <si>
    <t>GONZALEZ</t>
  </si>
  <si>
    <t>GOMEZ</t>
  </si>
  <si>
    <t>DIEGO FERNANDO</t>
  </si>
  <si>
    <t>PEÑA</t>
  </si>
  <si>
    <t>DURAN</t>
  </si>
  <si>
    <t>JOSE RODULFO</t>
  </si>
  <si>
    <t>MUR</t>
  </si>
  <si>
    <t>GEOVANNY</t>
  </si>
  <si>
    <t>AMAYA</t>
  </si>
  <si>
    <t>CARPETA</t>
  </si>
  <si>
    <t>DANNY JAVIER</t>
  </si>
  <si>
    <t>LOZANO</t>
  </si>
  <si>
    <t>SANDRA PATRICIA</t>
  </si>
  <si>
    <t>RIOS</t>
  </si>
  <si>
    <t>OTERO</t>
  </si>
  <si>
    <t>ANA CECILIA</t>
  </si>
  <si>
    <t>CUBILLOS</t>
  </si>
  <si>
    <t>GARAVITO</t>
  </si>
  <si>
    <t>NOHORA MABEL</t>
  </si>
  <si>
    <t>RUIZ</t>
  </si>
  <si>
    <t>ODILIA</t>
  </si>
  <si>
    <t xml:space="preserve">CAMACHO </t>
  </si>
  <si>
    <t>ROMERO</t>
  </si>
  <si>
    <t>NUBIA JAINE</t>
  </si>
  <si>
    <t>AVELLANEDA</t>
  </si>
  <si>
    <t>MARIA EUFRASIA</t>
  </si>
  <si>
    <t>TOTALES</t>
  </si>
  <si>
    <t>AEC SEGUROS</t>
  </si>
  <si>
    <t>ROJAS</t>
  </si>
  <si>
    <t>NADIA</t>
  </si>
  <si>
    <t>BRICEÑO</t>
  </si>
  <si>
    <t>BERNARDO</t>
  </si>
  <si>
    <t>TINOCO</t>
  </si>
  <si>
    <t>ZAMORA</t>
  </si>
  <si>
    <t>URIEL</t>
  </si>
  <si>
    <t>NEUTA</t>
  </si>
  <si>
    <t>ALFONSO</t>
  </si>
  <si>
    <t>TOVAR</t>
  </si>
  <si>
    <t>RAMIRO ENRIQUE</t>
  </si>
  <si>
    <t>CRUZ</t>
  </si>
  <si>
    <t>TARQUINO</t>
  </si>
  <si>
    <t>MARIA DEL CARMEN</t>
  </si>
  <si>
    <t>FLOREZ</t>
  </si>
  <si>
    <t>BUITRAGO</t>
  </si>
  <si>
    <t>VICENTE</t>
  </si>
  <si>
    <t xml:space="preserve">REYES </t>
  </si>
  <si>
    <t>LUIS ALBERTO</t>
  </si>
  <si>
    <t>RICO</t>
  </si>
  <si>
    <t>PACHECO</t>
  </si>
  <si>
    <t>MARCO ANTONIO</t>
  </si>
  <si>
    <t>RINCON</t>
  </si>
  <si>
    <t>MENDIVELSO</t>
  </si>
  <si>
    <t>CRISTOBAL</t>
  </si>
  <si>
    <t>TOCARRUNCHO</t>
  </si>
  <si>
    <t>OLEGARIO</t>
  </si>
  <si>
    <t>CHIPATECUA VICTOR JULIO</t>
  </si>
  <si>
    <t>Totales</t>
  </si>
  <si>
    <t>Sueldo</t>
  </si>
  <si>
    <t>Sueldo 2012</t>
  </si>
  <si>
    <t>Elaboró: Rosa Alicia Miranda Gama</t>
  </si>
  <si>
    <t>Revisó: Omar Esneider Bustos Triana</t>
  </si>
  <si>
    <t>Aprobó: Ana Eliana Garcia Monroy</t>
  </si>
  <si>
    <t>Alcaldesa Municipal de Bojacá</t>
  </si>
  <si>
    <t>Secretario de Desarrollo Institucional</t>
  </si>
  <si>
    <t>Secretaria</t>
  </si>
  <si>
    <t>Subsidio Alimentación</t>
  </si>
  <si>
    <t>Subsidio Transporte</t>
  </si>
  <si>
    <t>Retefuente</t>
  </si>
  <si>
    <t>APELLIDOS NOMBRES</t>
  </si>
  <si>
    <t>DEPENDENCIA</t>
  </si>
  <si>
    <t>CARGO</t>
  </si>
  <si>
    <t>ASIGNACION</t>
  </si>
  <si>
    <t>SUBSIDIO</t>
  </si>
  <si>
    <t>AUXILIO DE</t>
  </si>
  <si>
    <t>DIAS</t>
  </si>
  <si>
    <t xml:space="preserve">PRIMA DE </t>
  </si>
  <si>
    <t>BASICA</t>
  </si>
  <si>
    <t>ALIMENTACION</t>
  </si>
  <si>
    <t>TRANSPORTE</t>
  </si>
  <si>
    <t>DEVENGADO</t>
  </si>
  <si>
    <t>TRABAJADOS</t>
  </si>
  <si>
    <t>SERVICIOS</t>
  </si>
  <si>
    <t>CONCEJO MUNICIPAL</t>
  </si>
  <si>
    <t>SECRETARIA</t>
  </si>
  <si>
    <t>PERSONERIA MUNICIPAL</t>
  </si>
  <si>
    <t>PERSONERA</t>
  </si>
  <si>
    <t>DESPACHO DEL ALCALDE</t>
  </si>
  <si>
    <t>CONDUCTOR DESPECHO</t>
  </si>
  <si>
    <t>ALCALDESA</t>
  </si>
  <si>
    <t>SECRETARIA .EJECUTIVA</t>
  </si>
  <si>
    <t>AUXILIAR SERVICIOS GENERALES</t>
  </si>
  <si>
    <t>SECRET.DESARROLL INSTITUCIONAL</t>
  </si>
  <si>
    <t>AUXILIAR ADMINISTRATIVO</t>
  </si>
  <si>
    <t>SECRETARIO DESPACHO</t>
  </si>
  <si>
    <t>SECRETARIA DE GOBIERNO</t>
  </si>
  <si>
    <t>SECRETARIA  DE  HACIENDA</t>
  </si>
  <si>
    <t>TECNICO ADMINISTRATIVO</t>
  </si>
  <si>
    <t>SECRETARIA DESARROLLO SOCIAL</t>
  </si>
  <si>
    <t>CONDUCTOR</t>
  </si>
  <si>
    <t>PROFESIONAL</t>
  </si>
  <si>
    <t>SECRETARIA DE PLANEACION</t>
  </si>
  <si>
    <t>SEC.DESARRO ECONOMICO</t>
  </si>
  <si>
    <t>GUEVARA RICO LILIA ISABEL</t>
  </si>
  <si>
    <t>SECRETARIA SERVICIOS PUBLICOS</t>
  </si>
  <si>
    <t>OPERARIO</t>
  </si>
  <si>
    <t>FLOREZ BUITRAGO VICENTE</t>
  </si>
  <si>
    <t>COMISARIA DE FAMILIA</t>
  </si>
  <si>
    <t>COMISARIA</t>
  </si>
  <si>
    <t>Prima de Servicios</t>
  </si>
  <si>
    <t>MORENO</t>
  </si>
  <si>
    <t>GARROTE</t>
  </si>
  <si>
    <t>SANDRA MILENA</t>
  </si>
  <si>
    <t>CHIPATECUA</t>
  </si>
  <si>
    <t>VICTOR JULIO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</si>
</sst>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17" xfId="0" applyNumberFormat="1" applyFont="1" applyBorder="1" applyAlignment="1">
      <alignment/>
    </xf>
    <xf numFmtId="0" fontId="41" fillId="0" borderId="17" xfId="0" applyFont="1" applyBorder="1" applyAlignment="1">
      <alignment/>
    </xf>
    <xf numFmtId="3" fontId="42" fillId="0" borderId="17" xfId="0" applyNumberFormat="1" applyFont="1" applyBorder="1" applyAlignment="1">
      <alignment/>
    </xf>
    <xf numFmtId="3" fontId="41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3" fillId="0" borderId="17" xfId="0" applyFont="1" applyBorder="1" applyAlignment="1">
      <alignment/>
    </xf>
    <xf numFmtId="0" fontId="42" fillId="34" borderId="17" xfId="0" applyFont="1" applyFill="1" applyBorder="1" applyAlignment="1">
      <alignment horizontal="justify"/>
    </xf>
    <xf numFmtId="0" fontId="41" fillId="0" borderId="18" xfId="0" applyFont="1" applyBorder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34" borderId="17" xfId="0" applyFont="1" applyFill="1" applyBorder="1" applyAlignment="1">
      <alignment horizontal="justify"/>
    </xf>
    <xf numFmtId="3" fontId="24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0" fontId="41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0" xfId="0" applyAlignment="1">
      <alignment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2" fillId="35" borderId="17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3" fontId="42" fillId="0" borderId="17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8" xfId="0" applyFont="1" applyFill="1" applyBorder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7"/>
  <sheetViews>
    <sheetView tabSelected="1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52" sqref="J52"/>
    </sheetView>
  </sheetViews>
  <sheetFormatPr defaultColWidth="11.421875" defaultRowHeight="15"/>
  <cols>
    <col min="1" max="1" width="10.8515625" style="38" bestFit="1" customWidth="1"/>
    <col min="2" max="2" width="26.140625" style="38" bestFit="1" customWidth="1"/>
    <col min="3" max="3" width="7.8515625" style="38" customWidth="1"/>
    <col min="4" max="4" width="3.7109375" style="38" customWidth="1"/>
    <col min="5" max="5" width="11.28125" style="38" customWidth="1"/>
    <col min="6" max="6" width="10.57421875" style="38" customWidth="1"/>
    <col min="7" max="7" width="9.7109375" style="38" customWidth="1"/>
    <col min="8" max="8" width="8.140625" style="38" customWidth="1"/>
    <col min="9" max="9" width="8.7109375" style="77" customWidth="1"/>
    <col min="10" max="11" width="7.8515625" style="38" customWidth="1"/>
    <col min="12" max="12" width="6.57421875" style="38" customWidth="1"/>
    <col min="13" max="13" width="8.57421875" style="38" customWidth="1"/>
    <col min="14" max="15" width="8.7109375" style="38" customWidth="1"/>
    <col min="16" max="16" width="8.7109375" style="50" bestFit="1" customWidth="1"/>
    <col min="17" max="16384" width="11.421875" style="38" customWidth="1"/>
  </cols>
  <sheetData>
    <row r="2" spans="1:16" ht="33.75">
      <c r="A2" s="46" t="s">
        <v>42</v>
      </c>
      <c r="B2" s="46" t="s">
        <v>43</v>
      </c>
      <c r="C2" s="46" t="s">
        <v>183</v>
      </c>
      <c r="D2" s="46" t="s">
        <v>44</v>
      </c>
      <c r="E2" s="46" t="s">
        <v>182</v>
      </c>
      <c r="F2" s="46" t="s">
        <v>233</v>
      </c>
      <c r="G2" s="46" t="s">
        <v>190</v>
      </c>
      <c r="H2" s="46" t="s">
        <v>191</v>
      </c>
      <c r="I2" s="46" t="s">
        <v>45</v>
      </c>
      <c r="J2" s="46" t="s">
        <v>46</v>
      </c>
      <c r="K2" s="46" t="s">
        <v>47</v>
      </c>
      <c r="L2" s="46" t="s">
        <v>48</v>
      </c>
      <c r="M2" s="46" t="s">
        <v>192</v>
      </c>
      <c r="N2" s="46" t="s">
        <v>49</v>
      </c>
      <c r="O2" s="46" t="s">
        <v>50</v>
      </c>
      <c r="P2" s="51" t="s">
        <v>51</v>
      </c>
    </row>
    <row r="3" spans="1:18" ht="19.5" customHeight="1">
      <c r="A3" s="39">
        <v>52375971</v>
      </c>
      <c r="B3" s="40" t="s">
        <v>0</v>
      </c>
      <c r="C3" s="39">
        <v>868219</v>
      </c>
      <c r="D3" s="40">
        <v>30</v>
      </c>
      <c r="E3" s="39">
        <f>ROUND((C3/30)*D3,0)</f>
        <v>868219</v>
      </c>
      <c r="F3" s="39">
        <v>0</v>
      </c>
      <c r="G3" s="39">
        <f>ROUND((44655/30)*24,0)</f>
        <v>35724</v>
      </c>
      <c r="H3" s="39">
        <f>ROUND((67800/30)*24,0)</f>
        <v>54240</v>
      </c>
      <c r="I3" s="42">
        <f>SUM(E3:H3)</f>
        <v>958183</v>
      </c>
      <c r="J3" s="39">
        <f>ROUND((C3*4)/100,0)</f>
        <v>34729</v>
      </c>
      <c r="K3" s="39">
        <f aca="true" t="shared" si="0" ref="K3:K17">ROUND((C3*4)/100,0)</f>
        <v>34729</v>
      </c>
      <c r="L3" s="42"/>
      <c r="M3" s="42"/>
      <c r="N3" s="39">
        <f>VLOOKUP(A3,'DESC NOMINA JUNIO 2012'!$A$2:$O$57,15,FALSE)</f>
        <v>167367</v>
      </c>
      <c r="O3" s="39">
        <f aca="true" t="shared" si="1" ref="O3:O46">SUM(J3:N3)</f>
        <v>236825</v>
      </c>
      <c r="P3" s="52">
        <f aca="true" t="shared" si="2" ref="P3:P46">I3-O3</f>
        <v>721358</v>
      </c>
      <c r="Q3" s="49">
        <v>509775</v>
      </c>
      <c r="R3" s="49">
        <f>ROUND((C3+F3+Q3),-3)</f>
        <v>1378000</v>
      </c>
    </row>
    <row r="4" spans="1:18" ht="19.5" customHeight="1">
      <c r="A4" s="39">
        <v>20404417</v>
      </c>
      <c r="B4" s="40" t="s">
        <v>1</v>
      </c>
      <c r="C4" s="39">
        <v>868219</v>
      </c>
      <c r="D4" s="40">
        <v>30</v>
      </c>
      <c r="E4" s="39">
        <f aca="true" t="shared" si="3" ref="E4:F46">ROUND((C4/30)*D4,0)</f>
        <v>868219</v>
      </c>
      <c r="F4" s="39">
        <v>0</v>
      </c>
      <c r="G4" s="39">
        <v>44655</v>
      </c>
      <c r="H4" s="39">
        <v>67800</v>
      </c>
      <c r="I4" s="42">
        <f aca="true" t="shared" si="4" ref="I4:I46">SUM(E4:H4)</f>
        <v>980674</v>
      </c>
      <c r="J4" s="39">
        <f aca="true" t="shared" si="5" ref="J4:J46">ROUND((C4*4)/100,0)</f>
        <v>34729</v>
      </c>
      <c r="K4" s="39">
        <f t="shared" si="0"/>
        <v>34729</v>
      </c>
      <c r="L4" s="43"/>
      <c r="M4" s="43"/>
      <c r="N4" s="39">
        <f>VLOOKUP(A4,'DESC NOMINA JUNIO 2012'!$A$2:$O$57,15,FALSE)</f>
        <v>0</v>
      </c>
      <c r="O4" s="39">
        <f t="shared" si="1"/>
        <v>69458</v>
      </c>
      <c r="P4" s="52">
        <f t="shared" si="2"/>
        <v>911216</v>
      </c>
      <c r="Q4" s="49"/>
      <c r="R4" s="49">
        <f aca="true" t="shared" si="6" ref="R4:R46">ROUND((C4+F4+Q4),-3)</f>
        <v>868000</v>
      </c>
    </row>
    <row r="5" spans="1:18" ht="19.5" customHeight="1">
      <c r="A5" s="39">
        <v>20405057</v>
      </c>
      <c r="B5" s="40" t="s">
        <v>2</v>
      </c>
      <c r="C5" s="39">
        <v>2829165</v>
      </c>
      <c r="D5" s="40">
        <v>30</v>
      </c>
      <c r="E5" s="39">
        <f t="shared" si="3"/>
        <v>2829165</v>
      </c>
      <c r="F5" s="39">
        <v>0</v>
      </c>
      <c r="G5" s="39"/>
      <c r="H5" s="39"/>
      <c r="I5" s="42">
        <f t="shared" si="4"/>
        <v>2829165</v>
      </c>
      <c r="J5" s="39">
        <f t="shared" si="5"/>
        <v>113167</v>
      </c>
      <c r="K5" s="39">
        <f t="shared" si="0"/>
        <v>113167</v>
      </c>
      <c r="L5" s="42">
        <f>ROUND((C5*1)/100,-2)</f>
        <v>28300</v>
      </c>
      <c r="M5" s="42"/>
      <c r="N5" s="39">
        <f>VLOOKUP(A5,'DESC NOMINA JUNIO 2012'!$A$2:$O$57,15,FALSE)</f>
        <v>226000</v>
      </c>
      <c r="O5" s="39">
        <f t="shared" si="1"/>
        <v>480634</v>
      </c>
      <c r="P5" s="52">
        <f t="shared" si="2"/>
        <v>2348531</v>
      </c>
      <c r="Q5" s="49"/>
      <c r="R5" s="49">
        <f t="shared" si="6"/>
        <v>2829000</v>
      </c>
    </row>
    <row r="6" spans="1:18" ht="19.5" customHeight="1">
      <c r="A6" s="39">
        <v>2969536</v>
      </c>
      <c r="B6" s="40" t="s">
        <v>3</v>
      </c>
      <c r="C6" s="39">
        <v>997505</v>
      </c>
      <c r="D6" s="40">
        <v>30</v>
      </c>
      <c r="E6" s="39">
        <f>ROUND((C6/30)*D6,0)</f>
        <v>997505</v>
      </c>
      <c r="F6" s="39">
        <v>0</v>
      </c>
      <c r="G6" s="39">
        <v>44655</v>
      </c>
      <c r="H6" s="39">
        <v>67800</v>
      </c>
      <c r="I6" s="42">
        <f t="shared" si="4"/>
        <v>1109960</v>
      </c>
      <c r="J6" s="39">
        <f t="shared" si="5"/>
        <v>39900</v>
      </c>
      <c r="K6" s="39">
        <f t="shared" si="0"/>
        <v>39900</v>
      </c>
      <c r="L6" s="43"/>
      <c r="M6" s="43"/>
      <c r="N6" s="39">
        <f>VLOOKUP(A6,'DESC NOMINA JUNIO 2012'!$A$2:$O$57,15,FALSE)</f>
        <v>252786</v>
      </c>
      <c r="O6" s="39">
        <f t="shared" si="1"/>
        <v>332586</v>
      </c>
      <c r="P6" s="52">
        <f t="shared" si="2"/>
        <v>777374</v>
      </c>
      <c r="Q6" s="49"/>
      <c r="R6" s="49">
        <f t="shared" si="6"/>
        <v>998000</v>
      </c>
    </row>
    <row r="7" spans="1:18" ht="19.5" customHeight="1">
      <c r="A7" s="39">
        <v>20404663</v>
      </c>
      <c r="B7" s="40" t="s">
        <v>4</v>
      </c>
      <c r="C7" s="39">
        <v>2879348</v>
      </c>
      <c r="D7" s="40">
        <v>30</v>
      </c>
      <c r="E7" s="39">
        <f t="shared" si="3"/>
        <v>2879348</v>
      </c>
      <c r="F7" s="39">
        <v>0</v>
      </c>
      <c r="G7" s="39"/>
      <c r="H7" s="39"/>
      <c r="I7" s="42">
        <f t="shared" si="4"/>
        <v>2879348</v>
      </c>
      <c r="J7" s="39">
        <f t="shared" si="5"/>
        <v>115174</v>
      </c>
      <c r="K7" s="39">
        <f t="shared" si="0"/>
        <v>115174</v>
      </c>
      <c r="L7" s="42">
        <f>ROUND((C7*1)/100,-2)</f>
        <v>28800</v>
      </c>
      <c r="M7" s="42">
        <v>0</v>
      </c>
      <c r="N7" s="39">
        <f>VLOOKUP(A7,'DESC NOMINA JUNIO 2012'!$A$2:$O$57,15,FALSE)</f>
        <v>316937</v>
      </c>
      <c r="O7" s="39">
        <f t="shared" si="1"/>
        <v>576085</v>
      </c>
      <c r="P7" s="52">
        <f t="shared" si="2"/>
        <v>2303263</v>
      </c>
      <c r="Q7" s="49"/>
      <c r="R7" s="49">
        <f t="shared" si="6"/>
        <v>2879000</v>
      </c>
    </row>
    <row r="8" spans="1:18" ht="19.5" customHeight="1">
      <c r="A8" s="39">
        <v>20404891</v>
      </c>
      <c r="B8" s="40" t="s">
        <v>5</v>
      </c>
      <c r="C8" s="39">
        <v>997505</v>
      </c>
      <c r="D8" s="40">
        <v>30</v>
      </c>
      <c r="E8" s="39">
        <f t="shared" si="3"/>
        <v>997505</v>
      </c>
      <c r="F8" s="39">
        <v>0</v>
      </c>
      <c r="G8" s="39">
        <v>44655</v>
      </c>
      <c r="H8" s="39">
        <v>67800</v>
      </c>
      <c r="I8" s="42">
        <f t="shared" si="4"/>
        <v>1109960</v>
      </c>
      <c r="J8" s="39">
        <f t="shared" si="5"/>
        <v>39900</v>
      </c>
      <c r="K8" s="39">
        <f t="shared" si="0"/>
        <v>39900</v>
      </c>
      <c r="L8" s="43"/>
      <c r="M8" s="43"/>
      <c r="N8" s="39">
        <f>VLOOKUP(A8,'DESC NOMINA JUNIO 2012'!$A$2:$O$57,15,FALSE)</f>
        <v>254475</v>
      </c>
      <c r="O8" s="39">
        <f t="shared" si="1"/>
        <v>334275</v>
      </c>
      <c r="P8" s="52">
        <f t="shared" si="2"/>
        <v>775685</v>
      </c>
      <c r="Q8" s="49"/>
      <c r="R8" s="49">
        <f t="shared" si="6"/>
        <v>998000</v>
      </c>
    </row>
    <row r="9" spans="1:18" ht="19.5" customHeight="1">
      <c r="A9" s="39">
        <v>1073427262</v>
      </c>
      <c r="B9" s="40" t="s">
        <v>6</v>
      </c>
      <c r="C9" s="39">
        <v>675107</v>
      </c>
      <c r="D9" s="40">
        <v>30</v>
      </c>
      <c r="E9" s="39">
        <f t="shared" si="3"/>
        <v>675107</v>
      </c>
      <c r="F9" s="39">
        <v>0</v>
      </c>
      <c r="G9" s="39">
        <v>44655</v>
      </c>
      <c r="H9" s="39">
        <v>67800</v>
      </c>
      <c r="I9" s="42">
        <f t="shared" si="4"/>
        <v>787562</v>
      </c>
      <c r="J9" s="39">
        <f t="shared" si="5"/>
        <v>27004</v>
      </c>
      <c r="K9" s="39">
        <f t="shared" si="0"/>
        <v>27004</v>
      </c>
      <c r="L9" s="43"/>
      <c r="M9" s="43"/>
      <c r="N9" s="39">
        <f>VLOOKUP(A9,'DESC NOMINA JUNIO 2012'!$A$2:$O$57,15,FALSE)</f>
        <v>27000</v>
      </c>
      <c r="O9" s="39">
        <f t="shared" si="1"/>
        <v>81008</v>
      </c>
      <c r="P9" s="52">
        <f t="shared" si="2"/>
        <v>706554</v>
      </c>
      <c r="Q9" s="49"/>
      <c r="R9" s="49">
        <f t="shared" si="6"/>
        <v>675000</v>
      </c>
    </row>
    <row r="10" spans="1:18" ht="19.5" customHeight="1">
      <c r="A10" s="39">
        <v>11426458</v>
      </c>
      <c r="B10" s="40" t="s">
        <v>7</v>
      </c>
      <c r="C10" s="39">
        <v>702112</v>
      </c>
      <c r="D10" s="40">
        <v>30</v>
      </c>
      <c r="E10" s="39">
        <f t="shared" si="3"/>
        <v>702112</v>
      </c>
      <c r="F10" s="39">
        <v>0</v>
      </c>
      <c r="G10" s="39">
        <v>44655</v>
      </c>
      <c r="H10" s="39">
        <v>67800</v>
      </c>
      <c r="I10" s="42">
        <f t="shared" si="4"/>
        <v>814567</v>
      </c>
      <c r="J10" s="39">
        <f t="shared" si="5"/>
        <v>28084</v>
      </c>
      <c r="K10" s="39">
        <f t="shared" si="0"/>
        <v>28084</v>
      </c>
      <c r="L10" s="43"/>
      <c r="M10" s="43"/>
      <c r="N10" s="39">
        <f>VLOOKUP(A10,'DESC NOMINA JUNIO 2012'!$A$2:$O$57,15,FALSE)</f>
        <v>222027</v>
      </c>
      <c r="O10" s="39">
        <f t="shared" si="1"/>
        <v>278195</v>
      </c>
      <c r="P10" s="52">
        <f t="shared" si="2"/>
        <v>536372</v>
      </c>
      <c r="Q10" s="49"/>
      <c r="R10" s="49">
        <f t="shared" si="6"/>
        <v>702000</v>
      </c>
    </row>
    <row r="11" spans="1:18" ht="19.5" customHeight="1">
      <c r="A11" s="39">
        <v>20404381</v>
      </c>
      <c r="B11" s="40" t="s">
        <v>8</v>
      </c>
      <c r="C11" s="39">
        <v>868219</v>
      </c>
      <c r="D11" s="40">
        <v>30</v>
      </c>
      <c r="E11" s="39">
        <f t="shared" si="3"/>
        <v>868219</v>
      </c>
      <c r="F11" s="39">
        <v>0</v>
      </c>
      <c r="G11" s="39">
        <v>44655</v>
      </c>
      <c r="H11" s="39">
        <v>67800</v>
      </c>
      <c r="I11" s="42">
        <f t="shared" si="4"/>
        <v>980674</v>
      </c>
      <c r="J11" s="39">
        <f t="shared" si="5"/>
        <v>34729</v>
      </c>
      <c r="K11" s="39">
        <f t="shared" si="0"/>
        <v>34729</v>
      </c>
      <c r="L11" s="43"/>
      <c r="M11" s="43"/>
      <c r="N11" s="39">
        <f>VLOOKUP(A11,'DESC NOMINA JUNIO 2012'!$A$2:$O$57,15,FALSE)</f>
        <v>503281</v>
      </c>
      <c r="O11" s="39">
        <f t="shared" si="1"/>
        <v>572739</v>
      </c>
      <c r="P11" s="52">
        <f t="shared" si="2"/>
        <v>407935</v>
      </c>
      <c r="Q11" s="49"/>
      <c r="R11" s="49">
        <f t="shared" si="6"/>
        <v>868000</v>
      </c>
    </row>
    <row r="12" spans="1:18" ht="19.5" customHeight="1">
      <c r="A12" s="39">
        <v>80255224</v>
      </c>
      <c r="B12" s="40" t="s">
        <v>9</v>
      </c>
      <c r="C12" s="39">
        <v>2534424</v>
      </c>
      <c r="D12" s="40">
        <v>30</v>
      </c>
      <c r="E12" s="39">
        <f t="shared" si="3"/>
        <v>2534424</v>
      </c>
      <c r="F12" s="39">
        <v>0</v>
      </c>
      <c r="G12" s="39"/>
      <c r="H12" s="39"/>
      <c r="I12" s="42">
        <f t="shared" si="4"/>
        <v>2534424</v>
      </c>
      <c r="J12" s="39">
        <f t="shared" si="5"/>
        <v>101377</v>
      </c>
      <c r="K12" s="39">
        <f t="shared" si="0"/>
        <v>101377</v>
      </c>
      <c r="L12" s="42">
        <f>ROUND((C12*1)/100,-2)</f>
        <v>25300</v>
      </c>
      <c r="M12" s="42">
        <v>0</v>
      </c>
      <c r="N12" s="39">
        <f>VLOOKUP(A12,'DESC NOMINA JUNIO 2012'!$A$2:$O$57,15,FALSE)</f>
        <v>918877</v>
      </c>
      <c r="O12" s="39">
        <f t="shared" si="1"/>
        <v>1146931</v>
      </c>
      <c r="P12" s="52">
        <f t="shared" si="2"/>
        <v>1387493</v>
      </c>
      <c r="Q12" s="49"/>
      <c r="R12" s="49">
        <f t="shared" si="6"/>
        <v>2534000</v>
      </c>
    </row>
    <row r="13" spans="1:18" ht="19.5" customHeight="1">
      <c r="A13" s="39">
        <v>20404683</v>
      </c>
      <c r="B13" s="40" t="s">
        <v>10</v>
      </c>
      <c r="C13" s="39">
        <v>868219</v>
      </c>
      <c r="D13" s="40">
        <v>30</v>
      </c>
      <c r="E13" s="39">
        <f t="shared" si="3"/>
        <v>868219</v>
      </c>
      <c r="F13" s="39">
        <v>0</v>
      </c>
      <c r="G13" s="39">
        <v>44655</v>
      </c>
      <c r="H13" s="39">
        <v>67800</v>
      </c>
      <c r="I13" s="42">
        <f t="shared" si="4"/>
        <v>980674</v>
      </c>
      <c r="J13" s="39">
        <f t="shared" si="5"/>
        <v>34729</v>
      </c>
      <c r="K13" s="39">
        <f t="shared" si="0"/>
        <v>34729</v>
      </c>
      <c r="L13" s="43"/>
      <c r="M13" s="43"/>
      <c r="N13" s="39">
        <f>VLOOKUP(A13,'DESC NOMINA JUNIO 2012'!$A$2:$O$57,15,FALSE)</f>
        <v>377611</v>
      </c>
      <c r="O13" s="39">
        <f t="shared" si="1"/>
        <v>447069</v>
      </c>
      <c r="P13" s="52">
        <f t="shared" si="2"/>
        <v>533605</v>
      </c>
      <c r="Q13" s="49"/>
      <c r="R13" s="49">
        <f t="shared" si="6"/>
        <v>868000</v>
      </c>
    </row>
    <row r="14" spans="1:18" ht="19.5" customHeight="1">
      <c r="A14" s="39">
        <v>11433691</v>
      </c>
      <c r="B14" s="40" t="s">
        <v>11</v>
      </c>
      <c r="C14" s="39">
        <v>2534424</v>
      </c>
      <c r="D14" s="40">
        <v>30</v>
      </c>
      <c r="E14" s="39">
        <f t="shared" si="3"/>
        <v>2534424</v>
      </c>
      <c r="F14" s="39">
        <v>0</v>
      </c>
      <c r="G14" s="39"/>
      <c r="H14" s="39"/>
      <c r="I14" s="42">
        <f t="shared" si="4"/>
        <v>2534424</v>
      </c>
      <c r="J14" s="39">
        <f t="shared" si="5"/>
        <v>101377</v>
      </c>
      <c r="K14" s="39">
        <f t="shared" si="0"/>
        <v>101377</v>
      </c>
      <c r="L14" s="42">
        <f>ROUND((C14*1)/100,-2)</f>
        <v>25300</v>
      </c>
      <c r="M14" s="42"/>
      <c r="N14" s="39">
        <f>VLOOKUP(A14,'DESC NOMINA JUNIO 2012'!$A$2:$O$57,15,FALSE)</f>
        <v>149350</v>
      </c>
      <c r="O14" s="39">
        <f t="shared" si="1"/>
        <v>377404</v>
      </c>
      <c r="P14" s="52">
        <f t="shared" si="2"/>
        <v>2157020</v>
      </c>
      <c r="Q14" s="49"/>
      <c r="R14" s="49">
        <f t="shared" si="6"/>
        <v>2534000</v>
      </c>
    </row>
    <row r="15" spans="1:18" ht="19.5" customHeight="1">
      <c r="A15" s="39">
        <v>2969538</v>
      </c>
      <c r="B15" s="40" t="s">
        <v>12</v>
      </c>
      <c r="C15" s="39">
        <v>1211457</v>
      </c>
      <c r="D15" s="40">
        <v>30</v>
      </c>
      <c r="E15" s="39">
        <f t="shared" si="3"/>
        <v>1211457</v>
      </c>
      <c r="F15" s="39">
        <v>0</v>
      </c>
      <c r="G15" s="39">
        <v>44655</v>
      </c>
      <c r="H15" s="39"/>
      <c r="I15" s="42">
        <f t="shared" si="4"/>
        <v>1256112</v>
      </c>
      <c r="J15" s="39">
        <f t="shared" si="5"/>
        <v>48458</v>
      </c>
      <c r="K15" s="39">
        <f t="shared" si="0"/>
        <v>48458</v>
      </c>
      <c r="L15" s="43"/>
      <c r="M15" s="43"/>
      <c r="N15" s="39">
        <f>VLOOKUP(A15,'DESC NOMINA JUNIO 2012'!$A$2:$O$57,15,FALSE)</f>
        <v>657621</v>
      </c>
      <c r="O15" s="39">
        <f t="shared" si="1"/>
        <v>754537</v>
      </c>
      <c r="P15" s="52">
        <f t="shared" si="2"/>
        <v>501575</v>
      </c>
      <c r="Q15" s="49"/>
      <c r="R15" s="49">
        <f t="shared" si="6"/>
        <v>1211000</v>
      </c>
    </row>
    <row r="16" spans="1:18" ht="19.5" customHeight="1">
      <c r="A16" s="39">
        <v>39636843</v>
      </c>
      <c r="B16" s="40" t="s">
        <v>13</v>
      </c>
      <c r="C16" s="39">
        <v>868219</v>
      </c>
      <c r="D16" s="40">
        <v>30</v>
      </c>
      <c r="E16" s="39">
        <f t="shared" si="3"/>
        <v>868219</v>
      </c>
      <c r="F16" s="39">
        <v>0</v>
      </c>
      <c r="G16" s="39">
        <v>44655</v>
      </c>
      <c r="H16" s="39">
        <v>67800</v>
      </c>
      <c r="I16" s="42">
        <f t="shared" si="4"/>
        <v>980674</v>
      </c>
      <c r="J16" s="39">
        <f t="shared" si="5"/>
        <v>34729</v>
      </c>
      <c r="K16" s="39">
        <f t="shared" si="0"/>
        <v>34729</v>
      </c>
      <c r="L16" s="43"/>
      <c r="M16" s="43"/>
      <c r="N16" s="39">
        <f>VLOOKUP(A16,'DESC NOMINA JUNIO 2012'!$A$2:$O$57,15,FALSE)</f>
        <v>512491</v>
      </c>
      <c r="O16" s="39">
        <f t="shared" si="1"/>
        <v>581949</v>
      </c>
      <c r="P16" s="52">
        <f t="shared" si="2"/>
        <v>398725</v>
      </c>
      <c r="Q16" s="49"/>
      <c r="R16" s="49">
        <f t="shared" si="6"/>
        <v>868000</v>
      </c>
    </row>
    <row r="17" spans="1:18" ht="19.5" customHeight="1">
      <c r="A17" s="39">
        <v>20738283</v>
      </c>
      <c r="B17" s="40" t="s">
        <v>14</v>
      </c>
      <c r="C17" s="39">
        <v>2534424</v>
      </c>
      <c r="D17" s="40">
        <v>30</v>
      </c>
      <c r="E17" s="39">
        <f t="shared" si="3"/>
        <v>2534424</v>
      </c>
      <c r="F17" s="39">
        <v>0</v>
      </c>
      <c r="G17" s="39"/>
      <c r="H17" s="39"/>
      <c r="I17" s="42">
        <f t="shared" si="4"/>
        <v>2534424</v>
      </c>
      <c r="J17" s="39">
        <f t="shared" si="5"/>
        <v>101377</v>
      </c>
      <c r="K17" s="39">
        <f t="shared" si="0"/>
        <v>101377</v>
      </c>
      <c r="L17" s="42">
        <f>ROUND((C17*1)/100,-2)</f>
        <v>25300</v>
      </c>
      <c r="M17" s="42"/>
      <c r="N17" s="39">
        <f>VLOOKUP(A17,'DESC NOMINA JUNIO 2012'!$A$2:$O$57,15,FALSE)</f>
        <v>380000</v>
      </c>
      <c r="O17" s="39">
        <f t="shared" si="1"/>
        <v>608054</v>
      </c>
      <c r="P17" s="52">
        <f t="shared" si="2"/>
        <v>1926370</v>
      </c>
      <c r="Q17" s="49"/>
      <c r="R17" s="49">
        <f t="shared" si="6"/>
        <v>2534000</v>
      </c>
    </row>
    <row r="18" spans="1:18" s="80" customFormat="1" ht="19.5" customHeight="1">
      <c r="A18" s="55">
        <v>192642</v>
      </c>
      <c r="B18" s="82" t="s">
        <v>15</v>
      </c>
      <c r="C18" s="55">
        <v>587000</v>
      </c>
      <c r="D18" s="82">
        <v>30</v>
      </c>
      <c r="E18" s="55">
        <f t="shared" si="3"/>
        <v>587000</v>
      </c>
      <c r="F18" s="55">
        <f t="shared" si="3"/>
        <v>587000</v>
      </c>
      <c r="G18" s="55"/>
      <c r="H18" s="55"/>
      <c r="I18" s="55">
        <f t="shared" si="4"/>
        <v>1174000</v>
      </c>
      <c r="J18" s="55">
        <f>ROUND((C18*12.5)/100,-2)</f>
        <v>73400</v>
      </c>
      <c r="K18" s="55">
        <v>0</v>
      </c>
      <c r="L18" s="82"/>
      <c r="M18" s="82"/>
      <c r="N18" s="55">
        <v>0</v>
      </c>
      <c r="O18" s="55">
        <f t="shared" si="1"/>
        <v>73400</v>
      </c>
      <c r="P18" s="57">
        <f t="shared" si="2"/>
        <v>1100600</v>
      </c>
      <c r="Q18" s="79"/>
      <c r="R18" s="79">
        <f t="shared" si="6"/>
        <v>1174000</v>
      </c>
    </row>
    <row r="19" spans="1:18" s="80" customFormat="1" ht="19.5" customHeight="1">
      <c r="A19" s="55">
        <v>20403835</v>
      </c>
      <c r="B19" s="82" t="s">
        <v>16</v>
      </c>
      <c r="C19" s="55">
        <v>587000</v>
      </c>
      <c r="D19" s="82">
        <v>30</v>
      </c>
      <c r="E19" s="55">
        <f t="shared" si="3"/>
        <v>587000</v>
      </c>
      <c r="F19" s="55">
        <f t="shared" si="3"/>
        <v>587000</v>
      </c>
      <c r="G19" s="55"/>
      <c r="H19" s="55"/>
      <c r="I19" s="55">
        <f t="shared" si="4"/>
        <v>1174000</v>
      </c>
      <c r="J19" s="55">
        <f>ROUND((C19*12.5)/100,-2)</f>
        <v>73400</v>
      </c>
      <c r="K19" s="55">
        <v>0</v>
      </c>
      <c r="L19" s="82"/>
      <c r="M19" s="82"/>
      <c r="N19" s="55">
        <v>0</v>
      </c>
      <c r="O19" s="55">
        <f t="shared" si="1"/>
        <v>73400</v>
      </c>
      <c r="P19" s="57">
        <f t="shared" si="2"/>
        <v>1100600</v>
      </c>
      <c r="Q19" s="79"/>
      <c r="R19" s="79">
        <f t="shared" si="6"/>
        <v>1174000</v>
      </c>
    </row>
    <row r="20" spans="1:18" ht="19.5" customHeight="1">
      <c r="A20" s="39">
        <v>52617781</v>
      </c>
      <c r="B20" s="40" t="s">
        <v>17</v>
      </c>
      <c r="C20" s="39">
        <v>868219</v>
      </c>
      <c r="D20" s="40">
        <v>30</v>
      </c>
      <c r="E20" s="39">
        <f t="shared" si="3"/>
        <v>868219</v>
      </c>
      <c r="F20" s="39">
        <v>0</v>
      </c>
      <c r="G20" s="39">
        <v>44655</v>
      </c>
      <c r="H20" s="39">
        <v>67800</v>
      </c>
      <c r="I20" s="42">
        <f t="shared" si="4"/>
        <v>980674</v>
      </c>
      <c r="J20" s="39">
        <f t="shared" si="5"/>
        <v>34729</v>
      </c>
      <c r="K20" s="39">
        <f>ROUND((C20*4)/100,0)</f>
        <v>34729</v>
      </c>
      <c r="L20" s="43"/>
      <c r="M20" s="43"/>
      <c r="N20" s="39">
        <f>VLOOKUP(A20,'DESC NOMINA JUNIO 2012'!$A$2:$O$57,15,FALSE)</f>
        <v>375321</v>
      </c>
      <c r="O20" s="39">
        <f t="shared" si="1"/>
        <v>444779</v>
      </c>
      <c r="P20" s="52">
        <f t="shared" si="2"/>
        <v>535895</v>
      </c>
      <c r="Q20" s="49"/>
      <c r="R20" s="49">
        <f t="shared" si="6"/>
        <v>868000</v>
      </c>
    </row>
    <row r="21" spans="1:18" ht="19.5" customHeight="1">
      <c r="A21" s="39">
        <v>20404565</v>
      </c>
      <c r="B21" s="40" t="s">
        <v>18</v>
      </c>
      <c r="C21" s="39">
        <v>868219</v>
      </c>
      <c r="D21" s="40">
        <v>30</v>
      </c>
      <c r="E21" s="39">
        <f t="shared" si="3"/>
        <v>868219</v>
      </c>
      <c r="F21" s="39">
        <v>0</v>
      </c>
      <c r="G21" s="39">
        <v>44655</v>
      </c>
      <c r="H21" s="39">
        <v>67800</v>
      </c>
      <c r="I21" s="42">
        <f t="shared" si="4"/>
        <v>980674</v>
      </c>
      <c r="J21" s="39">
        <f t="shared" si="5"/>
        <v>34729</v>
      </c>
      <c r="K21" s="39">
        <f>ROUND((C21*4)/100,0)</f>
        <v>34729</v>
      </c>
      <c r="L21" s="43"/>
      <c r="M21" s="43"/>
      <c r="N21" s="39">
        <f>VLOOKUP(A21,'DESC NOMINA JUNIO 2012'!$A$2:$O$57,15,FALSE)</f>
        <v>405247</v>
      </c>
      <c r="O21" s="39">
        <f t="shared" si="1"/>
        <v>474705</v>
      </c>
      <c r="P21" s="52">
        <f t="shared" si="2"/>
        <v>505969</v>
      </c>
      <c r="Q21" s="49"/>
      <c r="R21" s="49">
        <f t="shared" si="6"/>
        <v>868000</v>
      </c>
    </row>
    <row r="22" spans="1:18" ht="19.5" customHeight="1">
      <c r="A22" s="39">
        <v>2970016</v>
      </c>
      <c r="B22" s="40" t="s">
        <v>19</v>
      </c>
      <c r="C22" s="39">
        <v>810131</v>
      </c>
      <c r="D22" s="40">
        <v>30</v>
      </c>
      <c r="E22" s="39">
        <f t="shared" si="3"/>
        <v>810131</v>
      </c>
      <c r="F22" s="39">
        <v>0</v>
      </c>
      <c r="G22" s="39">
        <v>44655</v>
      </c>
      <c r="H22" s="39">
        <v>67800</v>
      </c>
      <c r="I22" s="42">
        <f t="shared" si="4"/>
        <v>922586</v>
      </c>
      <c r="J22" s="39">
        <f t="shared" si="5"/>
        <v>32405</v>
      </c>
      <c r="K22" s="39">
        <f>ROUND((C22*4)/100,0)</f>
        <v>32405</v>
      </c>
      <c r="L22" s="43"/>
      <c r="M22" s="43"/>
      <c r="N22" s="39">
        <f>VLOOKUP(A22,'DESC NOMINA JUNIO 2012'!$A$2:$O$57,15,FALSE)</f>
        <v>92175</v>
      </c>
      <c r="O22" s="39">
        <f t="shared" si="1"/>
        <v>156985</v>
      </c>
      <c r="P22" s="52">
        <f t="shared" si="2"/>
        <v>765601</v>
      </c>
      <c r="Q22" s="49"/>
      <c r="R22" s="49">
        <f t="shared" si="6"/>
        <v>810000</v>
      </c>
    </row>
    <row r="23" spans="1:18" ht="19.5" customHeight="1">
      <c r="A23" s="39">
        <v>19220404</v>
      </c>
      <c r="B23" s="40" t="s">
        <v>20</v>
      </c>
      <c r="C23" s="39">
        <v>2534424</v>
      </c>
      <c r="D23" s="40">
        <v>30</v>
      </c>
      <c r="E23" s="39">
        <f t="shared" si="3"/>
        <v>2534424</v>
      </c>
      <c r="F23" s="39">
        <v>0</v>
      </c>
      <c r="G23" s="39"/>
      <c r="H23" s="39"/>
      <c r="I23" s="42">
        <f t="shared" si="4"/>
        <v>2534424</v>
      </c>
      <c r="J23" s="39">
        <f t="shared" si="5"/>
        <v>101377</v>
      </c>
      <c r="K23" s="39">
        <v>0</v>
      </c>
      <c r="L23" s="42">
        <f>ROUND((C23*1)/100,-2)</f>
        <v>25300</v>
      </c>
      <c r="M23" s="42"/>
      <c r="N23" s="39">
        <f>VLOOKUP(A23,'DESC NOMINA JUNIO 2012'!$A$2:$O$57,15,FALSE)</f>
        <v>327350</v>
      </c>
      <c r="O23" s="39">
        <f t="shared" si="1"/>
        <v>454027</v>
      </c>
      <c r="P23" s="52">
        <f t="shared" si="2"/>
        <v>2080397</v>
      </c>
      <c r="Q23" s="49"/>
      <c r="R23" s="49">
        <f t="shared" si="6"/>
        <v>2534000</v>
      </c>
    </row>
    <row r="24" spans="1:18" ht="19.5" customHeight="1">
      <c r="A24" s="39">
        <v>20404827</v>
      </c>
      <c r="B24" s="40" t="s">
        <v>21</v>
      </c>
      <c r="C24" s="39">
        <v>1717560</v>
      </c>
      <c r="D24" s="40">
        <v>30</v>
      </c>
      <c r="E24" s="39">
        <f t="shared" si="3"/>
        <v>1717560</v>
      </c>
      <c r="F24" s="39">
        <v>0</v>
      </c>
      <c r="G24" s="39"/>
      <c r="H24" s="39"/>
      <c r="I24" s="42">
        <f t="shared" si="4"/>
        <v>1717560</v>
      </c>
      <c r="J24" s="39">
        <f t="shared" si="5"/>
        <v>68702</v>
      </c>
      <c r="K24" s="39">
        <f aca="true" t="shared" si="7" ref="K24:K31">ROUND((C24*4)/100,0)</f>
        <v>68702</v>
      </c>
      <c r="L24" s="43"/>
      <c r="M24" s="43"/>
      <c r="N24" s="39">
        <f>VLOOKUP(A24,'DESC NOMINA JUNIO 2012'!$A$2:$O$57,15,FALSE)</f>
        <v>142963</v>
      </c>
      <c r="O24" s="39">
        <f t="shared" si="1"/>
        <v>280367</v>
      </c>
      <c r="P24" s="52">
        <f t="shared" si="2"/>
        <v>1437193</v>
      </c>
      <c r="Q24" s="49"/>
      <c r="R24" s="49">
        <f t="shared" si="6"/>
        <v>1718000</v>
      </c>
    </row>
    <row r="25" spans="1:18" ht="19.5" customHeight="1">
      <c r="A25" s="39">
        <v>35528604</v>
      </c>
      <c r="B25" s="40" t="s">
        <v>22</v>
      </c>
      <c r="C25" s="39">
        <v>1717560</v>
      </c>
      <c r="D25" s="40">
        <v>30</v>
      </c>
      <c r="E25" s="39">
        <f t="shared" si="3"/>
        <v>1717560</v>
      </c>
      <c r="F25" s="39">
        <v>0</v>
      </c>
      <c r="G25" s="39"/>
      <c r="H25" s="39"/>
      <c r="I25" s="42">
        <f t="shared" si="4"/>
        <v>1717560</v>
      </c>
      <c r="J25" s="39">
        <f t="shared" si="5"/>
        <v>68702</v>
      </c>
      <c r="K25" s="39">
        <f t="shared" si="7"/>
        <v>68702</v>
      </c>
      <c r="L25" s="43"/>
      <c r="M25" s="39">
        <v>0</v>
      </c>
      <c r="N25" s="39">
        <f>VLOOKUP(A25,'DESC NOMINA JUNIO 2012'!$A$2:$O$57,15,FALSE)</f>
        <v>405812</v>
      </c>
      <c r="O25" s="39">
        <f t="shared" si="1"/>
        <v>543216</v>
      </c>
      <c r="P25" s="52">
        <f t="shared" si="2"/>
        <v>1174344</v>
      </c>
      <c r="Q25" s="49">
        <v>892859</v>
      </c>
      <c r="R25" s="49">
        <f t="shared" si="6"/>
        <v>2610000</v>
      </c>
    </row>
    <row r="26" spans="1:19" ht="19.5" customHeight="1">
      <c r="A26" s="39">
        <v>11441546</v>
      </c>
      <c r="B26" s="40" t="s">
        <v>23</v>
      </c>
      <c r="C26" s="39">
        <v>1717560</v>
      </c>
      <c r="D26" s="40">
        <v>30</v>
      </c>
      <c r="E26" s="39">
        <f t="shared" si="3"/>
        <v>1717560</v>
      </c>
      <c r="F26" s="39">
        <v>0</v>
      </c>
      <c r="G26" s="39"/>
      <c r="H26" s="39"/>
      <c r="I26" s="42">
        <f t="shared" si="4"/>
        <v>1717560</v>
      </c>
      <c r="J26" s="39">
        <f t="shared" si="5"/>
        <v>68702</v>
      </c>
      <c r="K26" s="39">
        <f t="shared" si="7"/>
        <v>68702</v>
      </c>
      <c r="L26" s="43"/>
      <c r="M26" s="43"/>
      <c r="N26" s="39">
        <f>VLOOKUP(A26,'DESC NOMINA JUNIO 2012'!$A$2:$O$57,15,FALSE)</f>
        <v>717676</v>
      </c>
      <c r="O26" s="39">
        <f t="shared" si="1"/>
        <v>855080</v>
      </c>
      <c r="P26" s="52">
        <f t="shared" si="2"/>
        <v>862480</v>
      </c>
      <c r="Q26" s="49"/>
      <c r="R26" s="49">
        <f t="shared" si="6"/>
        <v>1718000</v>
      </c>
      <c r="S26" s="49"/>
    </row>
    <row r="27" spans="1:18" ht="19.5" customHeight="1">
      <c r="A27" s="39">
        <v>80427925</v>
      </c>
      <c r="B27" s="40" t="s">
        <v>24</v>
      </c>
      <c r="C27" s="39">
        <v>810131</v>
      </c>
      <c r="D27" s="40">
        <v>30</v>
      </c>
      <c r="E27" s="39">
        <f t="shared" si="3"/>
        <v>810131</v>
      </c>
      <c r="F27" s="39">
        <v>0</v>
      </c>
      <c r="G27" s="39">
        <v>44655</v>
      </c>
      <c r="H27" s="39">
        <v>67800</v>
      </c>
      <c r="I27" s="42">
        <f t="shared" si="4"/>
        <v>922586</v>
      </c>
      <c r="J27" s="39">
        <f t="shared" si="5"/>
        <v>32405</v>
      </c>
      <c r="K27" s="39">
        <f t="shared" si="7"/>
        <v>32405</v>
      </c>
      <c r="L27" s="43"/>
      <c r="M27" s="43"/>
      <c r="N27" s="39">
        <f>VLOOKUP(A27,'DESC NOMINA JUNIO 2012'!$A$2:$O$57,15,FALSE)</f>
        <v>468102</v>
      </c>
      <c r="O27" s="39">
        <f t="shared" si="1"/>
        <v>532912</v>
      </c>
      <c r="P27" s="52">
        <f t="shared" si="2"/>
        <v>389674</v>
      </c>
      <c r="Q27" s="49"/>
      <c r="R27" s="49">
        <f t="shared" si="6"/>
        <v>810000</v>
      </c>
    </row>
    <row r="28" spans="1:18" ht="19.5" customHeight="1">
      <c r="A28" s="39">
        <v>79963600</v>
      </c>
      <c r="B28" s="40" t="s">
        <v>25</v>
      </c>
      <c r="C28" s="39">
        <v>2534424</v>
      </c>
      <c r="D28" s="40">
        <v>30</v>
      </c>
      <c r="E28" s="39">
        <f t="shared" si="3"/>
        <v>2534424</v>
      </c>
      <c r="F28" s="39">
        <v>0</v>
      </c>
      <c r="G28" s="39"/>
      <c r="H28" s="39"/>
      <c r="I28" s="42">
        <f t="shared" si="4"/>
        <v>2534424</v>
      </c>
      <c r="J28" s="39">
        <f t="shared" si="5"/>
        <v>101377</v>
      </c>
      <c r="K28" s="39">
        <f t="shared" si="7"/>
        <v>101377</v>
      </c>
      <c r="L28" s="42">
        <f>ROUND((C28*1)/100,-2)</f>
        <v>25300</v>
      </c>
      <c r="M28" s="42"/>
      <c r="N28" s="39">
        <f>VLOOKUP(A28,'DESC NOMINA JUNIO 2012'!$A$2:$O$57,15,FALSE)</f>
        <v>380000</v>
      </c>
      <c r="O28" s="39">
        <f t="shared" si="1"/>
        <v>608054</v>
      </c>
      <c r="P28" s="52">
        <f t="shared" si="2"/>
        <v>1926370</v>
      </c>
      <c r="Q28" s="49"/>
      <c r="R28" s="49">
        <f t="shared" si="6"/>
        <v>2534000</v>
      </c>
    </row>
    <row r="29" spans="1:18" ht="19.5" customHeight="1">
      <c r="A29" s="39">
        <v>52113893</v>
      </c>
      <c r="B29" s="40" t="s">
        <v>26</v>
      </c>
      <c r="C29" s="39">
        <v>1211457</v>
      </c>
      <c r="D29" s="40">
        <v>30</v>
      </c>
      <c r="E29" s="39">
        <f t="shared" si="3"/>
        <v>1211457</v>
      </c>
      <c r="F29" s="39">
        <v>0</v>
      </c>
      <c r="G29" s="39">
        <f>ROUND((44655/30)*24,0)</f>
        <v>35724</v>
      </c>
      <c r="H29" s="39"/>
      <c r="I29" s="42">
        <f t="shared" si="4"/>
        <v>1247181</v>
      </c>
      <c r="J29" s="39">
        <f t="shared" si="5"/>
        <v>48458</v>
      </c>
      <c r="K29" s="39">
        <f t="shared" si="7"/>
        <v>48458</v>
      </c>
      <c r="L29" s="43"/>
      <c r="M29" s="43"/>
      <c r="N29" s="39">
        <f>VLOOKUP(A29,'DESC NOMINA JUNIO 2012'!$A$2:$O$57,15,FALSE)</f>
        <v>407136</v>
      </c>
      <c r="O29" s="39">
        <f t="shared" si="1"/>
        <v>504052</v>
      </c>
      <c r="P29" s="52">
        <f t="shared" si="2"/>
        <v>743129</v>
      </c>
      <c r="Q29" s="49"/>
      <c r="R29" s="49">
        <f t="shared" si="6"/>
        <v>1211000</v>
      </c>
    </row>
    <row r="30" spans="1:18" ht="19.5" customHeight="1">
      <c r="A30" s="39">
        <v>34991002</v>
      </c>
      <c r="B30" s="40" t="s">
        <v>27</v>
      </c>
      <c r="C30" s="39">
        <v>2534424</v>
      </c>
      <c r="D30" s="40">
        <v>30</v>
      </c>
      <c r="E30" s="39">
        <f t="shared" si="3"/>
        <v>2534424</v>
      </c>
      <c r="F30" s="39">
        <v>0</v>
      </c>
      <c r="G30" s="39"/>
      <c r="H30" s="39"/>
      <c r="I30" s="42">
        <f t="shared" si="4"/>
        <v>2534424</v>
      </c>
      <c r="J30" s="39">
        <f t="shared" si="5"/>
        <v>101377</v>
      </c>
      <c r="K30" s="39">
        <f t="shared" si="7"/>
        <v>101377</v>
      </c>
      <c r="L30" s="42">
        <f>ROUND((C30*1)/100,-2)</f>
        <v>25300</v>
      </c>
      <c r="M30" s="42"/>
      <c r="N30" s="39">
        <f>VLOOKUP(A30,'DESC NOMINA JUNIO 2012'!$A$2:$O$57,15,FALSE)</f>
        <v>254000</v>
      </c>
      <c r="O30" s="39">
        <f>SUM(J30:N30)</f>
        <v>482054</v>
      </c>
      <c r="P30" s="52">
        <f t="shared" si="2"/>
        <v>2052370</v>
      </c>
      <c r="Q30" s="49"/>
      <c r="R30" s="49">
        <f t="shared" si="6"/>
        <v>2534000</v>
      </c>
    </row>
    <row r="31" spans="1:18" ht="19.5" customHeight="1">
      <c r="A31" s="39">
        <v>20404835</v>
      </c>
      <c r="B31" s="40" t="s">
        <v>28</v>
      </c>
      <c r="C31" s="39">
        <v>868219</v>
      </c>
      <c r="D31" s="40">
        <v>30</v>
      </c>
      <c r="E31" s="39">
        <f t="shared" si="3"/>
        <v>868219</v>
      </c>
      <c r="F31" s="39">
        <v>0</v>
      </c>
      <c r="G31" s="39">
        <v>44655</v>
      </c>
      <c r="H31" s="39">
        <v>67800</v>
      </c>
      <c r="I31" s="42">
        <f t="shared" si="4"/>
        <v>980674</v>
      </c>
      <c r="J31" s="39">
        <f t="shared" si="5"/>
        <v>34729</v>
      </c>
      <c r="K31" s="39">
        <f t="shared" si="7"/>
        <v>34729</v>
      </c>
      <c r="L31" s="43"/>
      <c r="M31" s="43"/>
      <c r="N31" s="39">
        <f>VLOOKUP(A31,'DESC NOMINA JUNIO 2012'!$A$2:$O$57,15,FALSE)</f>
        <v>67990</v>
      </c>
      <c r="O31" s="39">
        <f t="shared" si="1"/>
        <v>137448</v>
      </c>
      <c r="P31" s="52">
        <f t="shared" si="2"/>
        <v>843226</v>
      </c>
      <c r="Q31" s="49"/>
      <c r="R31" s="49">
        <f t="shared" si="6"/>
        <v>868000</v>
      </c>
    </row>
    <row r="32" spans="1:18" ht="19.5" customHeight="1">
      <c r="A32" s="39">
        <v>20404727</v>
      </c>
      <c r="B32" s="40" t="s">
        <v>227</v>
      </c>
      <c r="C32" s="39"/>
      <c r="D32" s="40"/>
      <c r="E32" s="39"/>
      <c r="F32" s="39">
        <v>0</v>
      </c>
      <c r="G32" s="39"/>
      <c r="H32" s="39"/>
      <c r="I32" s="42">
        <f t="shared" si="4"/>
        <v>0</v>
      </c>
      <c r="J32" s="39"/>
      <c r="K32" s="39"/>
      <c r="L32" s="43"/>
      <c r="M32" s="43"/>
      <c r="N32" s="39"/>
      <c r="O32" s="39">
        <f t="shared" si="1"/>
        <v>0</v>
      </c>
      <c r="P32" s="52">
        <f t="shared" si="2"/>
        <v>0</v>
      </c>
      <c r="Q32" s="49"/>
      <c r="R32" s="49">
        <f t="shared" si="6"/>
        <v>0</v>
      </c>
    </row>
    <row r="33" spans="1:18" ht="19.5" customHeight="1">
      <c r="A33" s="39">
        <v>193475</v>
      </c>
      <c r="B33" s="40" t="s">
        <v>29</v>
      </c>
      <c r="C33" s="39">
        <v>810131</v>
      </c>
      <c r="D33" s="40">
        <v>30</v>
      </c>
      <c r="E33" s="39">
        <f t="shared" si="3"/>
        <v>810131</v>
      </c>
      <c r="F33" s="39">
        <v>0</v>
      </c>
      <c r="G33" s="39">
        <f>ROUND((44655/30)*24,0)</f>
        <v>35724</v>
      </c>
      <c r="H33" s="39">
        <f>ROUND((67800/30)*24,0)</f>
        <v>54240</v>
      </c>
      <c r="I33" s="42">
        <f t="shared" si="4"/>
        <v>900095</v>
      </c>
      <c r="J33" s="39">
        <f t="shared" si="5"/>
        <v>32405</v>
      </c>
      <c r="K33" s="39">
        <f aca="true" t="shared" si="8" ref="K33:K46">ROUND((C33*4)/100,0)</f>
        <v>32405</v>
      </c>
      <c r="L33" s="43"/>
      <c r="M33" s="43"/>
      <c r="N33" s="39">
        <f>VLOOKUP(A33,'DESC NOMINA JUNIO 2012'!$A$2:$O$57,15,FALSE)</f>
        <v>464707</v>
      </c>
      <c r="O33" s="39">
        <f t="shared" si="1"/>
        <v>529517</v>
      </c>
      <c r="P33" s="52">
        <f t="shared" si="2"/>
        <v>370578</v>
      </c>
      <c r="Q33" s="49">
        <v>479578</v>
      </c>
      <c r="R33" s="49">
        <f t="shared" si="6"/>
        <v>1290000</v>
      </c>
    </row>
    <row r="34" spans="1:18" ht="19.5" customHeight="1">
      <c r="A34" s="39">
        <v>193175</v>
      </c>
      <c r="B34" s="40" t="s">
        <v>30</v>
      </c>
      <c r="C34" s="39">
        <v>810131</v>
      </c>
      <c r="D34" s="40">
        <v>30</v>
      </c>
      <c r="E34" s="39">
        <f t="shared" si="3"/>
        <v>810131</v>
      </c>
      <c r="F34" s="39">
        <v>0</v>
      </c>
      <c r="G34" s="39">
        <f>ROUND((44655/30)*18,0)</f>
        <v>26793</v>
      </c>
      <c r="H34" s="39">
        <f>ROUND((67800/30)*18,0)</f>
        <v>40680</v>
      </c>
      <c r="I34" s="42">
        <f t="shared" si="4"/>
        <v>877604</v>
      </c>
      <c r="J34" s="39">
        <f t="shared" si="5"/>
        <v>32405</v>
      </c>
      <c r="K34" s="39">
        <f t="shared" si="8"/>
        <v>32405</v>
      </c>
      <c r="L34" s="43"/>
      <c r="M34" s="43"/>
      <c r="N34" s="39">
        <f>VLOOKUP(A34,'DESC NOMINA JUNIO 2012'!$A$2:$O$57,15,FALSE)</f>
        <v>314955</v>
      </c>
      <c r="O34" s="39">
        <f t="shared" si="1"/>
        <v>379765</v>
      </c>
      <c r="P34" s="52">
        <f t="shared" si="2"/>
        <v>497839</v>
      </c>
      <c r="Q34" s="49">
        <v>479578</v>
      </c>
      <c r="R34" s="49">
        <f t="shared" si="6"/>
        <v>1290000</v>
      </c>
    </row>
    <row r="35" spans="1:18" s="77" customFormat="1" ht="19.5" customHeight="1">
      <c r="A35" s="42">
        <v>19296836</v>
      </c>
      <c r="B35" s="43" t="s">
        <v>31</v>
      </c>
      <c r="C35" s="42">
        <v>810131</v>
      </c>
      <c r="D35" s="43">
        <v>26</v>
      </c>
      <c r="E35" s="42">
        <f t="shared" si="3"/>
        <v>702114</v>
      </c>
      <c r="F35" s="42">
        <v>0</v>
      </c>
      <c r="G35" s="42">
        <f>ROUND((44655/30)*25,0)</f>
        <v>37213</v>
      </c>
      <c r="H35" s="42">
        <f>ROUND((67800/30)*25,0)</f>
        <v>56500</v>
      </c>
      <c r="I35" s="42">
        <f>SUM(E35:H35)</f>
        <v>795827</v>
      </c>
      <c r="J35" s="42">
        <f t="shared" si="5"/>
        <v>32405</v>
      </c>
      <c r="K35" s="42">
        <f t="shared" si="8"/>
        <v>32405</v>
      </c>
      <c r="L35" s="43"/>
      <c r="M35" s="43"/>
      <c r="N35" s="42">
        <f>VLOOKUP(A35,'DESC NOMINA JUNIO 2012'!$A$2:$O$57,15,FALSE)</f>
        <v>416949</v>
      </c>
      <c r="O35" s="42">
        <f t="shared" si="1"/>
        <v>481759</v>
      </c>
      <c r="P35" s="57">
        <f t="shared" si="2"/>
        <v>314068</v>
      </c>
      <c r="Q35" s="81"/>
      <c r="R35" s="81">
        <f t="shared" si="6"/>
        <v>810000</v>
      </c>
    </row>
    <row r="36" spans="1:18" ht="19.5" customHeight="1">
      <c r="A36" s="42">
        <v>11432745</v>
      </c>
      <c r="B36" s="43" t="s">
        <v>180</v>
      </c>
      <c r="C36" s="39">
        <v>675107</v>
      </c>
      <c r="D36" s="40">
        <v>30</v>
      </c>
      <c r="E36" s="39">
        <f t="shared" si="3"/>
        <v>675107</v>
      </c>
      <c r="F36" s="39">
        <v>0</v>
      </c>
      <c r="G36" s="39">
        <f>ROUND((44655/30)*30,0)</f>
        <v>44655</v>
      </c>
      <c r="H36" s="39">
        <f>ROUND((67800/30)*30,0)</f>
        <v>67800</v>
      </c>
      <c r="I36" s="42">
        <f t="shared" si="4"/>
        <v>787562</v>
      </c>
      <c r="J36" s="39">
        <f t="shared" si="5"/>
        <v>27004</v>
      </c>
      <c r="K36" s="39">
        <f t="shared" si="8"/>
        <v>27004</v>
      </c>
      <c r="L36" s="43"/>
      <c r="M36" s="43"/>
      <c r="N36" s="39">
        <f>VLOOKUP(A36,'DESC NOMINA JUNIO 2012'!$A$2:$O$57,15,FALSE)</f>
        <v>27000</v>
      </c>
      <c r="O36" s="39">
        <f t="shared" si="1"/>
        <v>81008</v>
      </c>
      <c r="P36" s="52">
        <f t="shared" si="2"/>
        <v>706554</v>
      </c>
      <c r="Q36" s="49"/>
      <c r="R36" s="49">
        <f t="shared" si="6"/>
        <v>675000</v>
      </c>
    </row>
    <row r="37" spans="1:18" ht="19.5" customHeight="1">
      <c r="A37" s="39">
        <v>14957732</v>
      </c>
      <c r="B37" s="40" t="s">
        <v>32</v>
      </c>
      <c r="C37" s="39">
        <v>675107</v>
      </c>
      <c r="D37" s="40">
        <v>30</v>
      </c>
      <c r="E37" s="39">
        <f t="shared" si="3"/>
        <v>675107</v>
      </c>
      <c r="F37" s="39">
        <v>0</v>
      </c>
      <c r="G37" s="39">
        <f>ROUND((44655/30)*24,0)</f>
        <v>35724</v>
      </c>
      <c r="H37" s="39">
        <f>ROUND((67800/30)*24,0)</f>
        <v>54240</v>
      </c>
      <c r="I37" s="42">
        <f t="shared" si="4"/>
        <v>765071</v>
      </c>
      <c r="J37" s="39">
        <f t="shared" si="5"/>
        <v>27004</v>
      </c>
      <c r="K37" s="39">
        <f t="shared" si="8"/>
        <v>27004</v>
      </c>
      <c r="L37" s="43"/>
      <c r="M37" s="43"/>
      <c r="N37" s="39">
        <f>VLOOKUP(A37,'DESC NOMINA JUNIO 2012'!$A$2:$O$57,15,FALSE)</f>
        <v>295612</v>
      </c>
      <c r="O37" s="39">
        <f t="shared" si="1"/>
        <v>349620</v>
      </c>
      <c r="P37" s="52">
        <f t="shared" si="2"/>
        <v>415451</v>
      </c>
      <c r="Q37" s="49">
        <v>409387</v>
      </c>
      <c r="R37" s="49">
        <f t="shared" si="6"/>
        <v>1084000</v>
      </c>
    </row>
    <row r="38" spans="1:18" ht="19.5" customHeight="1">
      <c r="A38" s="39">
        <v>1052134</v>
      </c>
      <c r="B38" s="40" t="s">
        <v>33</v>
      </c>
      <c r="C38" s="39">
        <v>675107</v>
      </c>
      <c r="D38" s="40">
        <v>30</v>
      </c>
      <c r="E38" s="39">
        <f t="shared" si="3"/>
        <v>675107</v>
      </c>
      <c r="F38" s="39">
        <v>0</v>
      </c>
      <c r="G38" s="39">
        <v>44655</v>
      </c>
      <c r="H38" s="39">
        <v>67800</v>
      </c>
      <c r="I38" s="42">
        <f t="shared" si="4"/>
        <v>787562</v>
      </c>
      <c r="J38" s="39">
        <f t="shared" si="5"/>
        <v>27004</v>
      </c>
      <c r="K38" s="39">
        <f t="shared" si="8"/>
        <v>27004</v>
      </c>
      <c r="L38" s="43"/>
      <c r="M38" s="43"/>
      <c r="N38" s="55">
        <f>VLOOKUP(A38,'DESC NOMINA JUNIO 2012'!$A$2:$O$57,15,FALSE)</f>
        <v>134669</v>
      </c>
      <c r="O38" s="39">
        <f t="shared" si="1"/>
        <v>188677</v>
      </c>
      <c r="P38" s="57">
        <f t="shared" si="2"/>
        <v>598885</v>
      </c>
      <c r="Q38" s="49"/>
      <c r="R38" s="49">
        <f t="shared" si="6"/>
        <v>675000</v>
      </c>
    </row>
    <row r="39" spans="1:18" ht="19.5" customHeight="1">
      <c r="A39" s="39">
        <v>2970273</v>
      </c>
      <c r="B39" s="40" t="s">
        <v>34</v>
      </c>
      <c r="C39" s="39">
        <v>675107</v>
      </c>
      <c r="D39" s="40">
        <v>30</v>
      </c>
      <c r="E39" s="39">
        <f t="shared" si="3"/>
        <v>675107</v>
      </c>
      <c r="F39" s="39">
        <v>0</v>
      </c>
      <c r="G39" s="39">
        <f>ROUND((44655/30)*8,0)</f>
        <v>11908</v>
      </c>
      <c r="H39" s="39">
        <f>ROUND((67800/30)*8,0)</f>
        <v>18080</v>
      </c>
      <c r="I39" s="42">
        <f t="shared" si="4"/>
        <v>705095</v>
      </c>
      <c r="J39" s="39">
        <f t="shared" si="5"/>
        <v>27004</v>
      </c>
      <c r="K39" s="39">
        <f t="shared" si="8"/>
        <v>27004</v>
      </c>
      <c r="L39" s="43"/>
      <c r="M39" s="43"/>
      <c r="N39" s="39">
        <f>VLOOKUP(A39,'DESC NOMINA JUNIO 2012'!$A$2:$O$57,15,FALSE)</f>
        <v>138782</v>
      </c>
      <c r="O39" s="39">
        <f t="shared" si="1"/>
        <v>192790</v>
      </c>
      <c r="P39" s="52">
        <f t="shared" si="2"/>
        <v>512305</v>
      </c>
      <c r="Q39" s="49">
        <v>409387</v>
      </c>
      <c r="R39" s="49">
        <f t="shared" si="6"/>
        <v>1084000</v>
      </c>
    </row>
    <row r="40" spans="1:18" ht="19.5" customHeight="1">
      <c r="A40" s="39">
        <v>52468344</v>
      </c>
      <c r="B40" s="40" t="s">
        <v>35</v>
      </c>
      <c r="C40" s="39">
        <v>675107</v>
      </c>
      <c r="D40" s="40">
        <v>30</v>
      </c>
      <c r="E40" s="39">
        <f t="shared" si="3"/>
        <v>675107</v>
      </c>
      <c r="F40" s="39">
        <v>0</v>
      </c>
      <c r="G40" s="39">
        <f>ROUND((44655/30)*30,0)</f>
        <v>44655</v>
      </c>
      <c r="H40" s="39">
        <f>ROUND((67800/30)*30,0)</f>
        <v>67800</v>
      </c>
      <c r="I40" s="42">
        <f t="shared" si="4"/>
        <v>787562</v>
      </c>
      <c r="J40" s="39">
        <f t="shared" si="5"/>
        <v>27004</v>
      </c>
      <c r="K40" s="39">
        <f t="shared" si="8"/>
        <v>27004</v>
      </c>
      <c r="L40" s="43"/>
      <c r="M40" s="43"/>
      <c r="N40" s="39">
        <f>VLOOKUP(A40,'DESC NOMINA JUNIO 2012'!$A$2:$O$57,15,FALSE)</f>
        <v>257710</v>
      </c>
      <c r="O40" s="39">
        <f t="shared" si="1"/>
        <v>311718</v>
      </c>
      <c r="P40" s="52">
        <f t="shared" si="2"/>
        <v>475844</v>
      </c>
      <c r="Q40" s="49"/>
      <c r="R40" s="49">
        <f t="shared" si="6"/>
        <v>675000</v>
      </c>
    </row>
    <row r="41" spans="1:18" ht="19.5" customHeight="1">
      <c r="A41" s="39">
        <v>193419</v>
      </c>
      <c r="B41" s="40" t="s">
        <v>36</v>
      </c>
      <c r="C41" s="39">
        <v>810131</v>
      </c>
      <c r="D41" s="40">
        <v>30</v>
      </c>
      <c r="E41" s="39">
        <f t="shared" si="3"/>
        <v>810131</v>
      </c>
      <c r="F41" s="39">
        <v>0</v>
      </c>
      <c r="G41" s="39">
        <v>44655</v>
      </c>
      <c r="H41" s="39">
        <v>67800</v>
      </c>
      <c r="I41" s="42">
        <f t="shared" si="4"/>
        <v>922586</v>
      </c>
      <c r="J41" s="39">
        <f t="shared" si="5"/>
        <v>32405</v>
      </c>
      <c r="K41" s="39">
        <f t="shared" si="8"/>
        <v>32405</v>
      </c>
      <c r="L41" s="43"/>
      <c r="M41" s="43"/>
      <c r="N41" s="39">
        <f>VLOOKUP(A41,'DESC NOMINA JUNIO 2012'!$A$2:$O$57,15,FALSE)</f>
        <v>282599</v>
      </c>
      <c r="O41" s="39">
        <f t="shared" si="1"/>
        <v>347409</v>
      </c>
      <c r="P41" s="52">
        <f t="shared" si="2"/>
        <v>575177</v>
      </c>
      <c r="Q41" s="49"/>
      <c r="R41" s="49">
        <f t="shared" si="6"/>
        <v>810000</v>
      </c>
    </row>
    <row r="42" spans="1:18" ht="19.5" customHeight="1">
      <c r="A42" s="39">
        <v>20404499</v>
      </c>
      <c r="B42" s="40" t="s">
        <v>37</v>
      </c>
      <c r="C42" s="39">
        <v>868219</v>
      </c>
      <c r="D42" s="40">
        <v>30</v>
      </c>
      <c r="E42" s="39">
        <f t="shared" si="3"/>
        <v>868219</v>
      </c>
      <c r="F42" s="39">
        <v>0</v>
      </c>
      <c r="G42" s="39">
        <v>44655</v>
      </c>
      <c r="H42" s="39">
        <v>67800</v>
      </c>
      <c r="I42" s="42">
        <f t="shared" si="4"/>
        <v>980674</v>
      </c>
      <c r="J42" s="39">
        <f t="shared" si="5"/>
        <v>34729</v>
      </c>
      <c r="K42" s="39">
        <f t="shared" si="8"/>
        <v>34729</v>
      </c>
      <c r="L42" s="43"/>
      <c r="M42" s="43"/>
      <c r="N42" s="39">
        <f>VLOOKUP(A42,'DESC NOMINA JUNIO 2012'!$A$2:$O$57,15,FALSE)</f>
        <v>53519</v>
      </c>
      <c r="O42" s="39">
        <f t="shared" si="1"/>
        <v>122977</v>
      </c>
      <c r="P42" s="52">
        <f t="shared" si="2"/>
        <v>857697</v>
      </c>
      <c r="Q42" s="49"/>
      <c r="R42" s="49">
        <f t="shared" si="6"/>
        <v>868000</v>
      </c>
    </row>
    <row r="43" spans="1:18" ht="19.5" customHeight="1">
      <c r="A43" s="39">
        <v>79506847</v>
      </c>
      <c r="B43" s="40" t="s">
        <v>38</v>
      </c>
      <c r="C43" s="39">
        <v>2534424</v>
      </c>
      <c r="D43" s="40">
        <v>30</v>
      </c>
      <c r="E43" s="39">
        <f t="shared" si="3"/>
        <v>2534424</v>
      </c>
      <c r="F43" s="39">
        <v>0</v>
      </c>
      <c r="G43" s="39"/>
      <c r="H43" s="39"/>
      <c r="I43" s="42">
        <f t="shared" si="4"/>
        <v>2534424</v>
      </c>
      <c r="J43" s="39">
        <f t="shared" si="5"/>
        <v>101377</v>
      </c>
      <c r="K43" s="39">
        <f t="shared" si="8"/>
        <v>101377</v>
      </c>
      <c r="L43" s="42">
        <f>ROUND((C43*1)/100,-2)</f>
        <v>25300</v>
      </c>
      <c r="M43" s="42"/>
      <c r="N43" s="39">
        <f>VLOOKUP(A43,'DESC NOMINA JUNIO 2012'!$A$2:$O$57,15,FALSE)</f>
        <v>27043</v>
      </c>
      <c r="O43" s="39">
        <f t="shared" si="1"/>
        <v>255097</v>
      </c>
      <c r="P43" s="52">
        <f t="shared" si="2"/>
        <v>2279327</v>
      </c>
      <c r="Q43" s="49"/>
      <c r="R43" s="49">
        <f t="shared" si="6"/>
        <v>2534000</v>
      </c>
    </row>
    <row r="44" spans="1:18" ht="19.5" customHeight="1">
      <c r="A44" s="39">
        <v>35527534</v>
      </c>
      <c r="B44" s="40" t="s">
        <v>39</v>
      </c>
      <c r="C44" s="39">
        <v>2215275</v>
      </c>
      <c r="D44" s="40">
        <v>30</v>
      </c>
      <c r="E44" s="39">
        <f t="shared" si="3"/>
        <v>2215275</v>
      </c>
      <c r="F44" s="39">
        <v>0</v>
      </c>
      <c r="G44" s="39"/>
      <c r="H44" s="39"/>
      <c r="I44" s="42">
        <f t="shared" si="4"/>
        <v>2215275</v>
      </c>
      <c r="J44" s="39">
        <f t="shared" si="5"/>
        <v>88611</v>
      </c>
      <c r="K44" s="39">
        <f t="shared" si="8"/>
        <v>88611</v>
      </c>
      <c r="L44" s="42"/>
      <c r="M44" s="42"/>
      <c r="N44" s="39">
        <f>VLOOKUP(A44,'DESC NOMINA JUNIO 2012'!$A$2:$O$57,15,FALSE)</f>
        <v>377542</v>
      </c>
      <c r="O44" s="39">
        <f t="shared" si="1"/>
        <v>554764</v>
      </c>
      <c r="P44" s="52">
        <f t="shared" si="2"/>
        <v>1660511</v>
      </c>
      <c r="Q44" s="49"/>
      <c r="R44" s="49">
        <f t="shared" si="6"/>
        <v>2215000</v>
      </c>
    </row>
    <row r="45" spans="1:18" s="80" customFormat="1" ht="19.5" customHeight="1">
      <c r="A45" s="55">
        <v>20404958</v>
      </c>
      <c r="B45" s="82" t="s">
        <v>40</v>
      </c>
      <c r="C45" s="55">
        <v>1717560</v>
      </c>
      <c r="D45" s="82">
        <v>27</v>
      </c>
      <c r="E45" s="55">
        <f t="shared" si="3"/>
        <v>1545804</v>
      </c>
      <c r="F45" s="55">
        <v>0</v>
      </c>
      <c r="G45" s="55"/>
      <c r="H45" s="55"/>
      <c r="I45" s="55">
        <f t="shared" si="4"/>
        <v>1545804</v>
      </c>
      <c r="J45" s="55">
        <f t="shared" si="5"/>
        <v>68702</v>
      </c>
      <c r="K45" s="55">
        <f t="shared" si="8"/>
        <v>68702</v>
      </c>
      <c r="L45" s="82"/>
      <c r="M45" s="82"/>
      <c r="N45" s="55">
        <f>VLOOKUP(A45,'DESC NOMINA JUNIO 2012'!$A$2:$O$57,15,FALSE)</f>
        <v>0</v>
      </c>
      <c r="O45" s="55">
        <f t="shared" si="1"/>
        <v>137404</v>
      </c>
      <c r="P45" s="57">
        <f t="shared" si="2"/>
        <v>1408400</v>
      </c>
      <c r="Q45" s="79"/>
      <c r="R45" s="79">
        <f t="shared" si="6"/>
        <v>1718000</v>
      </c>
    </row>
    <row r="46" spans="1:18" ht="19.5" customHeight="1">
      <c r="A46" s="39">
        <v>51781431</v>
      </c>
      <c r="B46" s="40" t="s">
        <v>41</v>
      </c>
      <c r="C46" s="39">
        <v>868219</v>
      </c>
      <c r="D46" s="40">
        <v>30</v>
      </c>
      <c r="E46" s="39">
        <f t="shared" si="3"/>
        <v>868219</v>
      </c>
      <c r="F46" s="39">
        <v>0</v>
      </c>
      <c r="G46" s="39">
        <v>44655</v>
      </c>
      <c r="H46" s="39">
        <v>67800</v>
      </c>
      <c r="I46" s="42">
        <f t="shared" si="4"/>
        <v>980674</v>
      </c>
      <c r="J46" s="39">
        <f t="shared" si="5"/>
        <v>34729</v>
      </c>
      <c r="K46" s="39">
        <f t="shared" si="8"/>
        <v>34729</v>
      </c>
      <c r="L46" s="43"/>
      <c r="M46" s="43"/>
      <c r="N46" s="39">
        <f>VLOOKUP(A46,'DESC NOMINA JUNIO 2012'!$A$2:$O$57,15,FALSE)</f>
        <v>43672</v>
      </c>
      <c r="O46" s="39">
        <f t="shared" si="1"/>
        <v>113130</v>
      </c>
      <c r="P46" s="52">
        <f t="shared" si="2"/>
        <v>867544</v>
      </c>
      <c r="Q46" s="49"/>
      <c r="R46" s="49">
        <f t="shared" si="6"/>
        <v>868000</v>
      </c>
    </row>
    <row r="47" spans="1:16" ht="11.25">
      <c r="A47" s="40"/>
      <c r="B47" s="40"/>
      <c r="C47" s="40"/>
      <c r="D47" s="40"/>
      <c r="E47" s="40"/>
      <c r="F47" s="39">
        <v>0</v>
      </c>
      <c r="G47" s="40"/>
      <c r="H47" s="40"/>
      <c r="I47" s="43"/>
      <c r="J47" s="40"/>
      <c r="K47" s="40"/>
      <c r="L47" s="43"/>
      <c r="M47" s="43"/>
      <c r="N47" s="40"/>
      <c r="O47" s="40"/>
      <c r="P47" s="58"/>
    </row>
    <row r="48" spans="1:16" ht="11.25">
      <c r="A48" s="45">
        <v>5</v>
      </c>
      <c r="B48" s="44" t="s">
        <v>181</v>
      </c>
      <c r="C48" s="44"/>
      <c r="D48" s="41"/>
      <c r="E48" s="41">
        <f>SUM(E3:E47)</f>
        <v>56142877</v>
      </c>
      <c r="F48" s="39">
        <v>0</v>
      </c>
      <c r="G48" s="41">
        <f aca="true" t="shared" si="9" ref="G48:L48">SUM(G3:G47)</f>
        <v>1111910</v>
      </c>
      <c r="H48" s="41">
        <f t="shared" si="9"/>
        <v>1566180</v>
      </c>
      <c r="I48" s="76">
        <f t="shared" si="9"/>
        <v>59994967</v>
      </c>
      <c r="J48" s="41">
        <f t="shared" si="9"/>
        <v>2356743</v>
      </c>
      <c r="K48" s="41">
        <f t="shared" si="9"/>
        <v>2108566</v>
      </c>
      <c r="L48" s="41">
        <f t="shared" si="9"/>
        <v>234200</v>
      </c>
      <c r="M48" s="41"/>
      <c r="N48" s="41">
        <f>SUM(N3:N47)</f>
        <v>11844354</v>
      </c>
      <c r="O48" s="41">
        <f>SUM(O3:O47)</f>
        <v>16543863</v>
      </c>
      <c r="P48" s="52">
        <f>SUM(P3:P47)</f>
        <v>43451104</v>
      </c>
    </row>
    <row r="49" spans="5:16" ht="11.25">
      <c r="E49" s="41">
        <f>+E48-E18-E19</f>
        <v>54968877</v>
      </c>
      <c r="F49" s="39">
        <v>0</v>
      </c>
      <c r="G49" s="41">
        <f aca="true" t="shared" si="10" ref="G49:P49">+G48-G18-G19</f>
        <v>1111910</v>
      </c>
      <c r="H49" s="41">
        <f t="shared" si="10"/>
        <v>1566180</v>
      </c>
      <c r="I49" s="76">
        <f t="shared" si="10"/>
        <v>57646967</v>
      </c>
      <c r="J49" s="41">
        <f t="shared" si="10"/>
        <v>2209943</v>
      </c>
      <c r="K49" s="41">
        <f t="shared" si="10"/>
        <v>2108566</v>
      </c>
      <c r="L49" s="41">
        <f t="shared" si="10"/>
        <v>234200</v>
      </c>
      <c r="M49" s="41">
        <f t="shared" si="10"/>
        <v>0</v>
      </c>
      <c r="N49" s="41">
        <f t="shared" si="10"/>
        <v>11844354</v>
      </c>
      <c r="O49" s="41">
        <f t="shared" si="10"/>
        <v>16397063</v>
      </c>
      <c r="P49" s="41">
        <f t="shared" si="10"/>
        <v>41249904</v>
      </c>
    </row>
    <row r="51" ht="11.25">
      <c r="P51" s="56"/>
    </row>
    <row r="52" ht="11.25">
      <c r="P52" s="56"/>
    </row>
    <row r="53" ht="11.25">
      <c r="P53" s="56"/>
    </row>
    <row r="54" spans="2:16" ht="11.25">
      <c r="B54" s="47"/>
      <c r="C54" s="59"/>
      <c r="D54" s="59"/>
      <c r="E54" s="59"/>
      <c r="F54" s="59"/>
      <c r="G54" s="47"/>
      <c r="H54" s="53"/>
      <c r="I54" s="78"/>
      <c r="M54" s="59"/>
      <c r="N54" s="47"/>
      <c r="O54" s="47"/>
      <c r="P54" s="47"/>
    </row>
    <row r="55" spans="2:16" ht="11.25">
      <c r="B55" s="48" t="s">
        <v>184</v>
      </c>
      <c r="G55" s="48" t="s">
        <v>185</v>
      </c>
      <c r="H55" s="50"/>
      <c r="N55" s="48" t="s">
        <v>186</v>
      </c>
      <c r="P55" s="38"/>
    </row>
    <row r="56" spans="2:16" ht="11.25">
      <c r="B56" s="38" t="s">
        <v>189</v>
      </c>
      <c r="G56" s="38" t="s">
        <v>188</v>
      </c>
      <c r="H56" s="50"/>
      <c r="N56" s="38" t="s">
        <v>187</v>
      </c>
      <c r="P56" s="38"/>
    </row>
    <row r="59" spans="7:9" ht="11.25">
      <c r="G59" s="56"/>
      <c r="H59" s="56"/>
      <c r="I59" s="79"/>
    </row>
    <row r="60" spans="7:9" ht="11.25">
      <c r="G60" s="56"/>
      <c r="H60" s="56"/>
      <c r="I60" s="79"/>
    </row>
    <row r="61" spans="7:9" ht="11.25">
      <c r="G61" s="56"/>
      <c r="H61" s="56"/>
      <c r="I61" s="79"/>
    </row>
    <row r="62" spans="7:9" ht="11.25">
      <c r="G62" s="56"/>
      <c r="H62" s="56"/>
      <c r="I62" s="79"/>
    </row>
    <row r="63" spans="7:9" ht="11.25">
      <c r="G63" s="56"/>
      <c r="H63" s="56"/>
      <c r="I63" s="79"/>
    </row>
    <row r="64" spans="7:9" ht="11.25">
      <c r="G64" s="56"/>
      <c r="H64" s="56"/>
      <c r="I64" s="79"/>
    </row>
    <row r="65" spans="7:9" ht="11.25">
      <c r="G65" s="56"/>
      <c r="H65" s="56"/>
      <c r="I65" s="79"/>
    </row>
    <row r="66" spans="7:9" ht="11.25">
      <c r="G66" s="50"/>
      <c r="H66" s="50"/>
      <c r="I66" s="80"/>
    </row>
    <row r="67" spans="7:9" ht="11.25">
      <c r="G67" s="56"/>
      <c r="H67" s="56"/>
      <c r="I67" s="79"/>
    </row>
  </sheetData>
  <sheetProtection/>
  <printOptions horizontalCentered="1"/>
  <pageMargins left="1.7322834645669292" right="0" top="0.8267716535433072" bottom="0.5511811023622047" header="0.31496062992125984" footer="0.31496062992125984"/>
  <pageSetup horizontalDpi="300" verticalDpi="300" orientation="landscape" paperSize="5" scale="80" r:id="rId1"/>
  <headerFooter>
    <oddHeader>&amp;C&amp;"-,Cursiva"&amp;20Alcaldia de Bojacá&amp;"-,Normal"&amp;11
&amp;"-,Negrita"&amp;14Nomina Mes de Junio de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pane xSplit="4" ySplit="2" topLeftCell="E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31" sqref="L31"/>
    </sheetView>
  </sheetViews>
  <sheetFormatPr defaultColWidth="11.421875" defaultRowHeight="15"/>
  <sheetData>
    <row r="1" spans="1:15" ht="15">
      <c r="A1" s="2" t="s">
        <v>52</v>
      </c>
      <c r="B1" s="3" t="s">
        <v>53</v>
      </c>
      <c r="C1" s="2" t="s">
        <v>54</v>
      </c>
      <c r="D1" s="4" t="s">
        <v>55</v>
      </c>
      <c r="E1" s="5" t="s">
        <v>56</v>
      </c>
      <c r="F1" s="6"/>
      <c r="G1" s="7"/>
      <c r="H1" s="3" t="s">
        <v>57</v>
      </c>
      <c r="I1" s="3" t="s">
        <v>58</v>
      </c>
      <c r="J1" s="3" t="s">
        <v>59</v>
      </c>
      <c r="K1" s="8" t="s">
        <v>60</v>
      </c>
      <c r="L1" s="3" t="s">
        <v>61</v>
      </c>
      <c r="M1" s="3" t="s">
        <v>62</v>
      </c>
      <c r="N1" s="3" t="s">
        <v>63</v>
      </c>
      <c r="O1" s="4" t="s">
        <v>64</v>
      </c>
    </row>
    <row r="2" spans="1:15" ht="15">
      <c r="A2" s="9" t="s">
        <v>65</v>
      </c>
      <c r="B2" s="10" t="s">
        <v>66</v>
      </c>
      <c r="C2" s="9" t="s">
        <v>66</v>
      </c>
      <c r="D2" s="11"/>
      <c r="E2" s="10" t="s">
        <v>67</v>
      </c>
      <c r="F2" s="12" t="s">
        <v>68</v>
      </c>
      <c r="G2" s="12" t="s">
        <v>69</v>
      </c>
      <c r="H2" s="10" t="s">
        <v>68</v>
      </c>
      <c r="I2" s="10" t="s">
        <v>70</v>
      </c>
      <c r="J2" s="10"/>
      <c r="K2" s="12" t="s">
        <v>61</v>
      </c>
      <c r="L2" s="10" t="s">
        <v>71</v>
      </c>
      <c r="M2" s="10" t="s">
        <v>72</v>
      </c>
      <c r="N2" s="10" t="s">
        <v>73</v>
      </c>
      <c r="O2" s="11" t="s">
        <v>74</v>
      </c>
    </row>
    <row r="3" spans="1:19" ht="15">
      <c r="A3" s="13">
        <v>52375971</v>
      </c>
      <c r="B3" s="14" t="s">
        <v>75</v>
      </c>
      <c r="C3" s="15" t="s">
        <v>76</v>
      </c>
      <c r="D3" s="16" t="s">
        <v>77</v>
      </c>
      <c r="E3" s="17">
        <v>35000</v>
      </c>
      <c r="F3" s="18">
        <v>121192</v>
      </c>
      <c r="G3" s="18">
        <f>E3+F3</f>
        <v>156192</v>
      </c>
      <c r="H3" s="14"/>
      <c r="I3" s="14"/>
      <c r="J3" s="14"/>
      <c r="K3" s="19">
        <v>11175</v>
      </c>
      <c r="L3" s="14"/>
      <c r="M3" s="20"/>
      <c r="N3" s="14"/>
      <c r="O3" s="17">
        <f>SUM(G3:N3)</f>
        <v>167367</v>
      </c>
      <c r="Q3" s="37"/>
      <c r="R3" s="1"/>
      <c r="S3" s="1"/>
    </row>
    <row r="4" spans="1:19" ht="15">
      <c r="A4" s="54">
        <v>20405057</v>
      </c>
      <c r="B4" s="21" t="s">
        <v>78</v>
      </c>
      <c r="C4" s="21" t="s">
        <v>79</v>
      </c>
      <c r="D4" s="21" t="s">
        <v>80</v>
      </c>
      <c r="E4" s="17">
        <v>226000</v>
      </c>
      <c r="F4" s="17"/>
      <c r="G4" s="18">
        <f aca="true" t="shared" si="0" ref="G4:G32">E4+F4</f>
        <v>226000</v>
      </c>
      <c r="H4" s="17"/>
      <c r="I4" s="17"/>
      <c r="J4" s="17"/>
      <c r="K4" s="17"/>
      <c r="L4" s="17"/>
      <c r="M4" s="17"/>
      <c r="N4" s="17"/>
      <c r="O4" s="17">
        <f aca="true" t="shared" si="1" ref="O4:O32">SUM(G4:N4)</f>
        <v>226000</v>
      </c>
      <c r="Q4" s="37"/>
      <c r="R4" s="1"/>
      <c r="S4" s="1"/>
    </row>
    <row r="5" spans="1:19" ht="15">
      <c r="A5" s="20">
        <v>20404417</v>
      </c>
      <c r="B5" s="22" t="s">
        <v>81</v>
      </c>
      <c r="C5" s="22" t="s">
        <v>82</v>
      </c>
      <c r="D5" s="21" t="s">
        <v>83</v>
      </c>
      <c r="E5" s="66"/>
      <c r="F5" s="17"/>
      <c r="G5" s="18">
        <f t="shared" si="0"/>
        <v>0</v>
      </c>
      <c r="H5" s="20"/>
      <c r="I5" s="20"/>
      <c r="J5" s="20"/>
      <c r="K5" s="17"/>
      <c r="L5" s="20"/>
      <c r="M5" s="20"/>
      <c r="N5" s="20"/>
      <c r="O5" s="17">
        <f t="shared" si="1"/>
        <v>0</v>
      </c>
      <c r="Q5" s="37"/>
      <c r="R5" s="1"/>
      <c r="S5" s="1"/>
    </row>
    <row r="6" spans="1:19" ht="15">
      <c r="A6" s="20">
        <v>20404663</v>
      </c>
      <c r="B6" s="22" t="s">
        <v>84</v>
      </c>
      <c r="C6" s="22" t="s">
        <v>85</v>
      </c>
      <c r="D6" s="21" t="s">
        <v>86</v>
      </c>
      <c r="E6" s="20">
        <v>289000</v>
      </c>
      <c r="F6" s="17"/>
      <c r="G6" s="18">
        <f t="shared" si="0"/>
        <v>289000</v>
      </c>
      <c r="H6" s="20"/>
      <c r="I6" s="20"/>
      <c r="J6" s="20"/>
      <c r="K6" s="17">
        <f>27518+419</f>
        <v>27937</v>
      </c>
      <c r="L6" s="20"/>
      <c r="M6" s="20"/>
      <c r="N6" s="20"/>
      <c r="O6" s="17">
        <f t="shared" si="1"/>
        <v>316937</v>
      </c>
      <c r="Q6" s="37"/>
      <c r="R6" s="1"/>
      <c r="S6" s="1"/>
    </row>
    <row r="7" spans="1:19" ht="15">
      <c r="A7" s="20">
        <v>2969536</v>
      </c>
      <c r="B7" s="22" t="s">
        <v>87</v>
      </c>
      <c r="C7" s="22" t="s">
        <v>88</v>
      </c>
      <c r="D7" s="21" t="s">
        <v>89</v>
      </c>
      <c r="E7" s="20">
        <v>50000</v>
      </c>
      <c r="F7" s="17">
        <v>202786</v>
      </c>
      <c r="G7" s="18">
        <f>E7+F7</f>
        <v>252786</v>
      </c>
      <c r="H7" s="20"/>
      <c r="I7" s="20"/>
      <c r="J7" s="20"/>
      <c r="K7" s="17"/>
      <c r="L7" s="20"/>
      <c r="M7" s="20"/>
      <c r="N7" s="20"/>
      <c r="O7" s="17">
        <f>SUM(G7:N7)</f>
        <v>252786</v>
      </c>
      <c r="Q7" s="37"/>
      <c r="R7" s="1"/>
      <c r="S7" s="1"/>
    </row>
    <row r="8" spans="1:19" ht="15">
      <c r="A8" s="20">
        <v>20404891</v>
      </c>
      <c r="B8" s="22" t="s">
        <v>90</v>
      </c>
      <c r="C8" s="22" t="s">
        <v>91</v>
      </c>
      <c r="D8" s="21" t="s">
        <v>92</v>
      </c>
      <c r="E8" s="20">
        <v>90000</v>
      </c>
      <c r="F8" s="66">
        <v>164475</v>
      </c>
      <c r="G8" s="18">
        <f t="shared" si="0"/>
        <v>254475</v>
      </c>
      <c r="H8" s="20"/>
      <c r="I8" s="20"/>
      <c r="J8" s="20"/>
      <c r="K8" s="17"/>
      <c r="L8" s="20"/>
      <c r="M8" s="20"/>
      <c r="N8" s="20"/>
      <c r="O8" s="17">
        <f t="shared" si="1"/>
        <v>254475</v>
      </c>
      <c r="Q8" s="37"/>
      <c r="R8" s="1"/>
      <c r="S8" s="1"/>
    </row>
    <row r="9" spans="1:19" ht="15">
      <c r="A9" s="20">
        <v>1073427262</v>
      </c>
      <c r="B9" s="22" t="s">
        <v>93</v>
      </c>
      <c r="C9" s="22" t="s">
        <v>94</v>
      </c>
      <c r="D9" s="21" t="s">
        <v>95</v>
      </c>
      <c r="E9" s="20">
        <v>27000</v>
      </c>
      <c r="F9" s="17"/>
      <c r="G9" s="18">
        <f t="shared" si="0"/>
        <v>27000</v>
      </c>
      <c r="H9" s="20"/>
      <c r="I9" s="20"/>
      <c r="J9" s="17"/>
      <c r="K9" s="17"/>
      <c r="L9" s="20"/>
      <c r="M9" s="20"/>
      <c r="N9" s="20"/>
      <c r="O9" s="17">
        <f t="shared" si="1"/>
        <v>27000</v>
      </c>
      <c r="Q9" s="37"/>
      <c r="R9" s="1"/>
      <c r="S9" s="1"/>
    </row>
    <row r="10" spans="1:19" ht="15">
      <c r="A10" s="20">
        <v>80255224</v>
      </c>
      <c r="B10" s="22" t="s">
        <v>96</v>
      </c>
      <c r="C10" s="22" t="s">
        <v>97</v>
      </c>
      <c r="D10" s="21" t="s">
        <v>98</v>
      </c>
      <c r="E10" s="20">
        <v>127000</v>
      </c>
      <c r="F10" s="17">
        <f>337977+415517</f>
        <v>753494</v>
      </c>
      <c r="G10" s="18">
        <f>E10+F10</f>
        <v>880494</v>
      </c>
      <c r="H10" s="20"/>
      <c r="I10" s="20"/>
      <c r="J10" s="20"/>
      <c r="K10" s="17"/>
      <c r="L10" s="66">
        <v>38383</v>
      </c>
      <c r="M10" s="17"/>
      <c r="N10" s="20"/>
      <c r="O10" s="17">
        <f>SUM(G10:N10)</f>
        <v>918877</v>
      </c>
      <c r="Q10" s="37"/>
      <c r="R10" s="1"/>
      <c r="S10" s="1"/>
    </row>
    <row r="11" spans="1:19" ht="15">
      <c r="A11" s="20">
        <v>20404381</v>
      </c>
      <c r="B11" s="22" t="s">
        <v>99</v>
      </c>
      <c r="C11" s="22" t="s">
        <v>100</v>
      </c>
      <c r="D11" s="21" t="s">
        <v>101</v>
      </c>
      <c r="E11" s="20">
        <v>35000</v>
      </c>
      <c r="F11" s="17">
        <f>393553-393553+449774</f>
        <v>449774</v>
      </c>
      <c r="G11" s="18">
        <f>E11+F11</f>
        <v>484774</v>
      </c>
      <c r="H11" s="20"/>
      <c r="I11" s="20"/>
      <c r="J11" s="20"/>
      <c r="K11" s="17">
        <v>18507</v>
      </c>
      <c r="L11" s="17"/>
      <c r="M11" s="20"/>
      <c r="N11" s="20"/>
      <c r="O11" s="17">
        <f>SUM(G11:N11)</f>
        <v>503281</v>
      </c>
      <c r="Q11" s="37"/>
      <c r="R11" s="1"/>
      <c r="S11" s="1"/>
    </row>
    <row r="12" spans="1:19" ht="15">
      <c r="A12" s="23">
        <v>11426458</v>
      </c>
      <c r="B12" s="24" t="s">
        <v>102</v>
      </c>
      <c r="C12" s="24"/>
      <c r="D12" s="21" t="s">
        <v>103</v>
      </c>
      <c r="E12" s="23">
        <v>28000</v>
      </c>
      <c r="F12" s="17">
        <v>182852</v>
      </c>
      <c r="G12" s="18">
        <f t="shared" si="0"/>
        <v>210852</v>
      </c>
      <c r="H12" s="23"/>
      <c r="I12" s="23"/>
      <c r="J12" s="23"/>
      <c r="K12" s="17">
        <v>11175</v>
      </c>
      <c r="L12" s="23"/>
      <c r="M12" s="23"/>
      <c r="N12" s="23"/>
      <c r="O12" s="17">
        <f t="shared" si="1"/>
        <v>222027</v>
      </c>
      <c r="Q12" s="37"/>
      <c r="R12" s="1"/>
      <c r="S12" s="1"/>
    </row>
    <row r="13" spans="1:19" ht="15">
      <c r="A13" s="20">
        <v>11433691</v>
      </c>
      <c r="B13" s="22" t="s">
        <v>104</v>
      </c>
      <c r="C13" s="22" t="s">
        <v>105</v>
      </c>
      <c r="D13" s="21" t="s">
        <v>106</v>
      </c>
      <c r="E13" s="20">
        <v>127000</v>
      </c>
      <c r="F13" s="17"/>
      <c r="G13" s="18">
        <f t="shared" si="0"/>
        <v>127000</v>
      </c>
      <c r="H13" s="20"/>
      <c r="I13" s="20"/>
      <c r="J13" s="20"/>
      <c r="K13" s="17">
        <v>22350</v>
      </c>
      <c r="L13" s="20"/>
      <c r="M13" s="20"/>
      <c r="N13" s="20"/>
      <c r="O13" s="17">
        <f t="shared" si="1"/>
        <v>149350</v>
      </c>
      <c r="Q13" s="37"/>
      <c r="R13" s="1"/>
      <c r="S13" s="1"/>
    </row>
    <row r="14" spans="1:19" ht="15">
      <c r="A14" s="20">
        <v>20404683</v>
      </c>
      <c r="B14" s="22" t="s">
        <v>107</v>
      </c>
      <c r="C14" s="22" t="s">
        <v>108</v>
      </c>
      <c r="D14" s="21" t="s">
        <v>109</v>
      </c>
      <c r="E14" s="20">
        <v>35000</v>
      </c>
      <c r="F14" s="17">
        <v>318827</v>
      </c>
      <c r="G14" s="18">
        <f t="shared" si="0"/>
        <v>353827</v>
      </c>
      <c r="H14" s="20"/>
      <c r="I14" s="20"/>
      <c r="J14" s="20"/>
      <c r="K14" s="17">
        <v>23784</v>
      </c>
      <c r="L14" s="17"/>
      <c r="M14" s="20"/>
      <c r="N14" s="20"/>
      <c r="O14" s="17">
        <f t="shared" si="1"/>
        <v>377611</v>
      </c>
      <c r="Q14" s="37"/>
      <c r="R14" s="1"/>
      <c r="S14" s="1"/>
    </row>
    <row r="15" spans="1:19" ht="15">
      <c r="A15" s="20">
        <v>20738283</v>
      </c>
      <c r="B15" s="22" t="s">
        <v>110</v>
      </c>
      <c r="C15" s="22" t="s">
        <v>111</v>
      </c>
      <c r="D15" s="21" t="s">
        <v>112</v>
      </c>
      <c r="E15" s="20">
        <v>380000</v>
      </c>
      <c r="F15" s="17"/>
      <c r="G15" s="18">
        <f t="shared" si="0"/>
        <v>380000</v>
      </c>
      <c r="H15" s="20"/>
      <c r="I15" s="20"/>
      <c r="J15" s="20"/>
      <c r="K15" s="17"/>
      <c r="L15" s="17"/>
      <c r="M15" s="20"/>
      <c r="N15" s="20"/>
      <c r="O15" s="17">
        <f t="shared" si="1"/>
        <v>380000</v>
      </c>
      <c r="Q15" s="37"/>
      <c r="R15" s="1"/>
      <c r="S15" s="1"/>
    </row>
    <row r="16" spans="1:19" ht="15">
      <c r="A16" s="20">
        <v>2969538</v>
      </c>
      <c r="B16" s="22" t="s">
        <v>81</v>
      </c>
      <c r="C16" s="22" t="s">
        <v>113</v>
      </c>
      <c r="D16" s="21" t="s">
        <v>114</v>
      </c>
      <c r="E16" s="20">
        <v>48000</v>
      </c>
      <c r="F16" s="17">
        <f>546804</f>
        <v>546804</v>
      </c>
      <c r="G16" s="18">
        <f t="shared" si="0"/>
        <v>594804</v>
      </c>
      <c r="H16" s="20">
        <v>51642</v>
      </c>
      <c r="I16" s="20"/>
      <c r="J16" s="20"/>
      <c r="K16" s="17">
        <v>11175</v>
      </c>
      <c r="L16" s="20"/>
      <c r="M16" s="20"/>
      <c r="N16" s="20"/>
      <c r="O16" s="17">
        <f t="shared" si="1"/>
        <v>657621</v>
      </c>
      <c r="Q16" s="37"/>
      <c r="R16" s="1"/>
      <c r="S16" s="1"/>
    </row>
    <row r="17" spans="1:19" ht="15">
      <c r="A17" s="20">
        <v>39636843</v>
      </c>
      <c r="B17" s="22" t="s">
        <v>115</v>
      </c>
      <c r="C17" s="22"/>
      <c r="D17" s="21" t="s">
        <v>116</v>
      </c>
      <c r="E17" s="20">
        <v>35000</v>
      </c>
      <c r="F17" s="17">
        <f>376841+75506</f>
        <v>452347</v>
      </c>
      <c r="G17" s="18">
        <f t="shared" si="0"/>
        <v>487347</v>
      </c>
      <c r="H17" s="20"/>
      <c r="I17" s="20"/>
      <c r="J17" s="20"/>
      <c r="K17" s="17">
        <v>25144</v>
      </c>
      <c r="L17" s="17"/>
      <c r="M17" s="17"/>
      <c r="N17" s="20"/>
      <c r="O17" s="17">
        <f t="shared" si="1"/>
        <v>512491</v>
      </c>
      <c r="Q17" s="37"/>
      <c r="R17" s="1"/>
      <c r="S17" s="1"/>
    </row>
    <row r="18" spans="1:19" ht="15">
      <c r="A18" s="20">
        <v>19220404</v>
      </c>
      <c r="B18" s="22" t="s">
        <v>117</v>
      </c>
      <c r="C18" s="22" t="s">
        <v>118</v>
      </c>
      <c r="D18" s="21" t="s">
        <v>119</v>
      </c>
      <c r="E18" s="20">
        <v>305000</v>
      </c>
      <c r="F18" s="17"/>
      <c r="G18" s="18">
        <f t="shared" si="0"/>
        <v>305000</v>
      </c>
      <c r="H18" s="20"/>
      <c r="I18" s="20"/>
      <c r="J18" s="20"/>
      <c r="K18" s="17">
        <v>22350</v>
      </c>
      <c r="L18" s="17"/>
      <c r="M18" s="17"/>
      <c r="N18" s="20"/>
      <c r="O18" s="17">
        <f t="shared" si="1"/>
        <v>327350</v>
      </c>
      <c r="Q18" s="37"/>
      <c r="R18" s="1"/>
      <c r="S18" s="1"/>
    </row>
    <row r="19" spans="1:19" ht="15">
      <c r="A19" s="20">
        <v>20404827</v>
      </c>
      <c r="B19" s="22" t="s">
        <v>120</v>
      </c>
      <c r="C19" s="22" t="s">
        <v>104</v>
      </c>
      <c r="D19" s="21" t="s">
        <v>121</v>
      </c>
      <c r="E19" s="20">
        <v>103000</v>
      </c>
      <c r="F19" s="17"/>
      <c r="G19" s="18">
        <f t="shared" si="0"/>
        <v>103000</v>
      </c>
      <c r="H19" s="20"/>
      <c r="I19" s="20"/>
      <c r="J19" s="20"/>
      <c r="K19" s="17">
        <v>11175</v>
      </c>
      <c r="L19" s="66">
        <v>28788</v>
      </c>
      <c r="M19" s="17"/>
      <c r="N19" s="20"/>
      <c r="O19" s="17">
        <f t="shared" si="1"/>
        <v>142963</v>
      </c>
      <c r="Q19" s="37"/>
      <c r="R19" s="1"/>
      <c r="S19" s="1"/>
    </row>
    <row r="20" spans="1:19" ht="15">
      <c r="A20" s="23">
        <v>52617781</v>
      </c>
      <c r="B20" s="24" t="s">
        <v>113</v>
      </c>
      <c r="C20" s="24" t="s">
        <v>122</v>
      </c>
      <c r="D20" s="21" t="s">
        <v>123</v>
      </c>
      <c r="E20" s="20">
        <v>35000</v>
      </c>
      <c r="F20" s="17">
        <v>329146</v>
      </c>
      <c r="G20" s="18">
        <f t="shared" si="0"/>
        <v>364146</v>
      </c>
      <c r="H20" s="23"/>
      <c r="I20" s="23"/>
      <c r="J20" s="23"/>
      <c r="K20" s="17">
        <v>11175</v>
      </c>
      <c r="L20" s="23"/>
      <c r="M20" s="23"/>
      <c r="N20" s="23"/>
      <c r="O20" s="17">
        <f t="shared" si="1"/>
        <v>375321</v>
      </c>
      <c r="Q20" s="37"/>
      <c r="R20" s="1"/>
      <c r="S20" s="1"/>
    </row>
    <row r="21" spans="1:19" ht="15">
      <c r="A21" s="20">
        <v>20404565</v>
      </c>
      <c r="B21" s="22" t="s">
        <v>79</v>
      </c>
      <c r="C21" s="22" t="s">
        <v>79</v>
      </c>
      <c r="D21" s="21" t="s">
        <v>124</v>
      </c>
      <c r="E21" s="20">
        <v>35000</v>
      </c>
      <c r="F21" s="17">
        <f>359072</f>
        <v>359072</v>
      </c>
      <c r="G21" s="18">
        <f t="shared" si="0"/>
        <v>394072</v>
      </c>
      <c r="H21" s="20"/>
      <c r="I21" s="20"/>
      <c r="J21" s="20"/>
      <c r="K21" s="17">
        <v>11175</v>
      </c>
      <c r="L21" s="20"/>
      <c r="M21" s="20"/>
      <c r="N21" s="20"/>
      <c r="O21" s="17">
        <f t="shared" si="1"/>
        <v>405247</v>
      </c>
      <c r="Q21" s="37"/>
      <c r="R21" s="1"/>
      <c r="S21" s="1"/>
    </row>
    <row r="22" spans="1:19" ht="15">
      <c r="A22" s="20">
        <v>2970016</v>
      </c>
      <c r="B22" s="22" t="s">
        <v>125</v>
      </c>
      <c r="C22" s="22" t="s">
        <v>126</v>
      </c>
      <c r="D22" s="21" t="s">
        <v>127</v>
      </c>
      <c r="E22" s="20">
        <v>81000</v>
      </c>
      <c r="F22" s="17"/>
      <c r="G22" s="18">
        <f t="shared" si="0"/>
        <v>81000</v>
      </c>
      <c r="H22" s="20"/>
      <c r="I22" s="20"/>
      <c r="J22" s="20"/>
      <c r="K22" s="17">
        <v>11175</v>
      </c>
      <c r="L22" s="20"/>
      <c r="M22" s="20"/>
      <c r="N22" s="20"/>
      <c r="O22" s="17">
        <f t="shared" si="1"/>
        <v>92175</v>
      </c>
      <c r="Q22" s="37"/>
      <c r="R22" s="1"/>
      <c r="S22" s="1"/>
    </row>
    <row r="23" spans="1:19" ht="15">
      <c r="A23" s="23">
        <v>80427925</v>
      </c>
      <c r="B23" s="24" t="s">
        <v>128</v>
      </c>
      <c r="C23" s="24" t="s">
        <v>129</v>
      </c>
      <c r="D23" s="21" t="s">
        <v>130</v>
      </c>
      <c r="E23" s="23">
        <v>57000</v>
      </c>
      <c r="F23" s="17">
        <v>403758</v>
      </c>
      <c r="G23" s="18">
        <f t="shared" si="0"/>
        <v>460758</v>
      </c>
      <c r="H23" s="23"/>
      <c r="I23" s="20">
        <v>7344</v>
      </c>
      <c r="J23" s="20"/>
      <c r="K23" s="17"/>
      <c r="L23" s="23"/>
      <c r="M23" s="23"/>
      <c r="N23" s="23"/>
      <c r="O23" s="17">
        <f t="shared" si="1"/>
        <v>468102</v>
      </c>
      <c r="Q23" s="37"/>
      <c r="R23" s="1"/>
      <c r="S23" s="1"/>
    </row>
    <row r="24" spans="1:19" ht="15">
      <c r="A24" s="20">
        <v>79963600</v>
      </c>
      <c r="B24" s="22" t="s">
        <v>120</v>
      </c>
      <c r="C24" s="22" t="s">
        <v>131</v>
      </c>
      <c r="D24" s="21" t="s">
        <v>132</v>
      </c>
      <c r="E24" s="20">
        <v>380000</v>
      </c>
      <c r="F24" s="17"/>
      <c r="G24" s="18">
        <f t="shared" si="0"/>
        <v>380000</v>
      </c>
      <c r="H24" s="20"/>
      <c r="I24" s="20"/>
      <c r="J24" s="20"/>
      <c r="K24" s="17"/>
      <c r="L24" s="20"/>
      <c r="M24" s="20"/>
      <c r="N24" s="20"/>
      <c r="O24" s="17">
        <f t="shared" si="1"/>
        <v>380000</v>
      </c>
      <c r="Q24" s="37"/>
      <c r="R24" s="1"/>
      <c r="S24" s="1"/>
    </row>
    <row r="25" spans="1:19" s="70" customFormat="1" ht="15">
      <c r="A25" s="68">
        <v>11441546</v>
      </c>
      <c r="B25" s="69" t="s">
        <v>133</v>
      </c>
      <c r="C25" s="69" t="s">
        <v>134</v>
      </c>
      <c r="D25" s="69" t="s">
        <v>135</v>
      </c>
      <c r="E25" s="66">
        <v>103000</v>
      </c>
      <c r="F25" s="66">
        <f>326223+281109</f>
        <v>607332</v>
      </c>
      <c r="G25" s="67">
        <f t="shared" si="0"/>
        <v>710332</v>
      </c>
      <c r="H25" s="66"/>
      <c r="I25" s="66">
        <v>7344</v>
      </c>
      <c r="J25" s="66"/>
      <c r="K25" s="66"/>
      <c r="L25" s="66"/>
      <c r="M25" s="66"/>
      <c r="N25" s="66"/>
      <c r="O25" s="66">
        <f t="shared" si="1"/>
        <v>717676</v>
      </c>
      <c r="Q25" s="71"/>
      <c r="R25" s="72"/>
      <c r="S25" s="72"/>
    </row>
    <row r="26" spans="1:19" ht="15">
      <c r="A26" s="25">
        <v>35528604</v>
      </c>
      <c r="B26" s="22" t="s">
        <v>136</v>
      </c>
      <c r="C26" s="22" t="s">
        <v>102</v>
      </c>
      <c r="D26" s="21" t="s">
        <v>137</v>
      </c>
      <c r="E26" s="20">
        <v>138000</v>
      </c>
      <c r="F26" s="17">
        <f>257541</f>
        <v>257541</v>
      </c>
      <c r="G26" s="18">
        <f t="shared" si="0"/>
        <v>395541</v>
      </c>
      <c r="H26" s="20"/>
      <c r="I26" s="20"/>
      <c r="J26" s="20"/>
      <c r="K26" s="17"/>
      <c r="L26" s="66">
        <v>10271</v>
      </c>
      <c r="M26" s="20"/>
      <c r="N26" s="20"/>
      <c r="O26" s="17">
        <f t="shared" si="1"/>
        <v>405812</v>
      </c>
      <c r="Q26" s="37"/>
      <c r="R26" s="1"/>
      <c r="S26" s="1"/>
    </row>
    <row r="27" spans="1:19" ht="15">
      <c r="A27" s="20">
        <v>34991002</v>
      </c>
      <c r="B27" s="22" t="s">
        <v>138</v>
      </c>
      <c r="C27" s="22" t="s">
        <v>139</v>
      </c>
      <c r="D27" s="21" t="s">
        <v>140</v>
      </c>
      <c r="E27" s="20">
        <v>254000</v>
      </c>
      <c r="F27" s="17">
        <f>400587-400587</f>
        <v>0</v>
      </c>
      <c r="G27" s="18">
        <f t="shared" si="0"/>
        <v>254000</v>
      </c>
      <c r="H27" s="20"/>
      <c r="I27" s="20"/>
      <c r="J27" s="20"/>
      <c r="K27" s="17"/>
      <c r="L27" s="20"/>
      <c r="M27" s="20"/>
      <c r="N27" s="20"/>
      <c r="O27" s="17">
        <f t="shared" si="1"/>
        <v>254000</v>
      </c>
      <c r="Q27" s="37"/>
      <c r="R27" s="1"/>
      <c r="S27" s="1"/>
    </row>
    <row r="28" spans="1:19" ht="15">
      <c r="A28" s="20">
        <v>52113893</v>
      </c>
      <c r="B28" s="22" t="s">
        <v>141</v>
      </c>
      <c r="C28" s="22" t="s">
        <v>142</v>
      </c>
      <c r="D28" s="21" t="s">
        <v>143</v>
      </c>
      <c r="E28" s="20">
        <v>182000</v>
      </c>
      <c r="F28" s="17">
        <v>202786</v>
      </c>
      <c r="G28" s="18">
        <f t="shared" si="0"/>
        <v>384786</v>
      </c>
      <c r="H28" s="20"/>
      <c r="I28" s="20"/>
      <c r="J28" s="20"/>
      <c r="K28" s="17">
        <v>22350</v>
      </c>
      <c r="L28" s="20"/>
      <c r="M28" s="20"/>
      <c r="N28" s="20"/>
      <c r="O28" s="17">
        <f t="shared" si="1"/>
        <v>407136</v>
      </c>
      <c r="Q28" s="37"/>
      <c r="R28" s="1"/>
      <c r="S28" s="1"/>
    </row>
    <row r="29" spans="1:19" ht="15">
      <c r="A29" s="20">
        <v>20404835</v>
      </c>
      <c r="B29" s="22" t="s">
        <v>234</v>
      </c>
      <c r="C29" s="22" t="s">
        <v>235</v>
      </c>
      <c r="D29" s="21" t="s">
        <v>236</v>
      </c>
      <c r="E29" s="20">
        <v>44000</v>
      </c>
      <c r="F29" s="17"/>
      <c r="G29" s="18">
        <f t="shared" si="0"/>
        <v>44000</v>
      </c>
      <c r="H29" s="20"/>
      <c r="I29" s="20"/>
      <c r="J29" s="20"/>
      <c r="K29" s="17"/>
      <c r="L29" s="66">
        <v>23990</v>
      </c>
      <c r="M29" s="26"/>
      <c r="N29" s="20"/>
      <c r="O29" s="17">
        <f t="shared" si="1"/>
        <v>67990</v>
      </c>
      <c r="Q29" s="37"/>
      <c r="R29" s="1"/>
      <c r="S29" s="1"/>
    </row>
    <row r="30" spans="1:19" ht="15">
      <c r="A30" s="20">
        <v>51781431</v>
      </c>
      <c r="B30" s="22" t="s">
        <v>144</v>
      </c>
      <c r="C30" s="22" t="s">
        <v>128</v>
      </c>
      <c r="D30" s="21" t="s">
        <v>145</v>
      </c>
      <c r="E30" s="20">
        <v>0</v>
      </c>
      <c r="F30" s="17">
        <f>247813-247813</f>
        <v>0</v>
      </c>
      <c r="G30" s="18">
        <f t="shared" si="0"/>
        <v>0</v>
      </c>
      <c r="H30" s="20"/>
      <c r="I30" s="20"/>
      <c r="J30" s="20"/>
      <c r="K30" s="17"/>
      <c r="L30" s="66">
        <v>43672</v>
      </c>
      <c r="M30" s="20"/>
      <c r="N30" s="20"/>
      <c r="O30" s="17">
        <f t="shared" si="1"/>
        <v>43672</v>
      </c>
      <c r="Q30" s="37"/>
      <c r="R30" s="1"/>
      <c r="S30" s="1"/>
    </row>
    <row r="31" spans="1:19" ht="15">
      <c r="A31" s="20">
        <v>35527534</v>
      </c>
      <c r="B31" s="22" t="s">
        <v>146</v>
      </c>
      <c r="C31" s="22" t="s">
        <v>147</v>
      </c>
      <c r="D31" s="21" t="s">
        <v>148</v>
      </c>
      <c r="E31" s="20">
        <v>88000</v>
      </c>
      <c r="F31" s="17">
        <f>289542</f>
        <v>289542</v>
      </c>
      <c r="G31" s="18">
        <f t="shared" si="0"/>
        <v>377542</v>
      </c>
      <c r="H31" s="20"/>
      <c r="I31" s="20"/>
      <c r="J31" s="20"/>
      <c r="K31" s="17"/>
      <c r="L31" s="20"/>
      <c r="M31" s="20"/>
      <c r="N31" s="20"/>
      <c r="O31" s="17">
        <f t="shared" si="1"/>
        <v>377542</v>
      </c>
      <c r="Q31" s="37"/>
      <c r="R31" s="1"/>
      <c r="S31" s="1"/>
    </row>
    <row r="32" spans="1:19" ht="15">
      <c r="A32" s="20">
        <v>20404958</v>
      </c>
      <c r="B32" s="22" t="s">
        <v>120</v>
      </c>
      <c r="C32" s="22" t="s">
        <v>149</v>
      </c>
      <c r="D32" s="21" t="s">
        <v>150</v>
      </c>
      <c r="E32" s="20">
        <v>0</v>
      </c>
      <c r="F32" s="17">
        <f>313431-313431</f>
        <v>0</v>
      </c>
      <c r="G32" s="18">
        <f t="shared" si="0"/>
        <v>0</v>
      </c>
      <c r="H32" s="20"/>
      <c r="I32" s="20"/>
      <c r="J32" s="20"/>
      <c r="K32" s="17"/>
      <c r="L32" s="20"/>
      <c r="M32" s="20"/>
      <c r="N32" s="20"/>
      <c r="O32" s="17">
        <f t="shared" si="1"/>
        <v>0</v>
      </c>
      <c r="Q32" s="37"/>
      <c r="R32" s="1"/>
      <c r="S32" s="1"/>
    </row>
    <row r="33" spans="1:19" ht="15">
      <c r="A33" s="22"/>
      <c r="B33" s="22"/>
      <c r="C33" s="22"/>
      <c r="D33" s="21"/>
      <c r="E33" s="22"/>
      <c r="F33" s="21"/>
      <c r="G33" s="21"/>
      <c r="H33" s="22"/>
      <c r="I33" s="22"/>
      <c r="J33" s="22"/>
      <c r="K33" s="21"/>
      <c r="L33" s="22"/>
      <c r="M33" s="22"/>
      <c r="N33" s="22"/>
      <c r="O33" s="21"/>
      <c r="Q33" s="37"/>
      <c r="R33" s="1"/>
      <c r="S33" s="1"/>
    </row>
    <row r="34" spans="1:19" ht="15">
      <c r="A34" s="22"/>
      <c r="B34" s="22"/>
      <c r="C34" s="22"/>
      <c r="D34" s="21" t="s">
        <v>151</v>
      </c>
      <c r="E34" s="20">
        <f>SUM(E3:E33)</f>
        <v>3337000</v>
      </c>
      <c r="F34" s="20">
        <f>SUM(F3:F33)</f>
        <v>5641728</v>
      </c>
      <c r="G34" s="20"/>
      <c r="H34" s="20">
        <f aca="true" t="shared" si="2" ref="H34:O34">SUM(H3:H33)</f>
        <v>51642</v>
      </c>
      <c r="I34" s="20">
        <f t="shared" si="2"/>
        <v>14688</v>
      </c>
      <c r="J34" s="20">
        <f t="shared" si="2"/>
        <v>0</v>
      </c>
      <c r="K34" s="17">
        <f t="shared" si="2"/>
        <v>240647</v>
      </c>
      <c r="L34" s="20">
        <f t="shared" si="2"/>
        <v>145104</v>
      </c>
      <c r="M34" s="20">
        <f t="shared" si="2"/>
        <v>0</v>
      </c>
      <c r="N34" s="20">
        <f t="shared" si="2"/>
        <v>0</v>
      </c>
      <c r="O34" s="17">
        <f t="shared" si="2"/>
        <v>9430809</v>
      </c>
      <c r="Q34" s="37"/>
      <c r="R34" s="1"/>
      <c r="S34" s="1"/>
    </row>
    <row r="35" spans="1:15" ht="15">
      <c r="A35" s="27"/>
      <c r="B35" s="27"/>
      <c r="C35" s="27"/>
      <c r="D35" s="28"/>
      <c r="E35" s="29"/>
      <c r="F35" s="30">
        <v>259698</v>
      </c>
      <c r="G35" s="30"/>
      <c r="H35" s="29"/>
      <c r="I35" s="29"/>
      <c r="J35" s="29"/>
      <c r="K35" s="30"/>
      <c r="L35" s="29"/>
      <c r="M35" s="29"/>
      <c r="N35" s="29"/>
      <c r="O35" s="30"/>
    </row>
    <row r="36" spans="1:15" ht="15">
      <c r="A36" s="27"/>
      <c r="B36" s="27"/>
      <c r="C36" s="27"/>
      <c r="D36" s="28"/>
      <c r="E36" s="29">
        <f>E34+F34</f>
        <v>8978728</v>
      </c>
      <c r="F36" s="30"/>
      <c r="G36" s="30"/>
      <c r="H36" s="29"/>
      <c r="I36" s="29"/>
      <c r="J36" s="29"/>
      <c r="K36" s="30"/>
      <c r="L36" s="29"/>
      <c r="M36" s="29"/>
      <c r="N36" s="29"/>
      <c r="O36" s="30"/>
    </row>
    <row r="37" spans="1:15" ht="15">
      <c r="A37" s="27"/>
      <c r="B37" s="27"/>
      <c r="C37" s="27"/>
      <c r="D37" s="28"/>
      <c r="E37" s="29"/>
      <c r="F37" s="30"/>
      <c r="G37" s="30"/>
      <c r="H37" s="29"/>
      <c r="I37" s="29"/>
      <c r="J37" s="29"/>
      <c r="K37" s="30"/>
      <c r="L37" s="29"/>
      <c r="M37" s="29"/>
      <c r="N37" s="29"/>
      <c r="O37" s="30"/>
    </row>
    <row r="38" spans="1:15" ht="15">
      <c r="A38" s="2" t="s">
        <v>52</v>
      </c>
      <c r="B38" s="3" t="s">
        <v>53</v>
      </c>
      <c r="C38" s="2" t="s">
        <v>54</v>
      </c>
      <c r="D38" s="4" t="s">
        <v>55</v>
      </c>
      <c r="E38" s="5" t="s">
        <v>56</v>
      </c>
      <c r="F38" s="6"/>
      <c r="G38" s="7"/>
      <c r="H38" s="3" t="s">
        <v>57</v>
      </c>
      <c r="I38" s="3" t="s">
        <v>58</v>
      </c>
      <c r="J38" s="3" t="s">
        <v>152</v>
      </c>
      <c r="K38" s="8" t="s">
        <v>60</v>
      </c>
      <c r="L38" s="3" t="s">
        <v>61</v>
      </c>
      <c r="M38" s="3" t="s">
        <v>62</v>
      </c>
      <c r="N38" s="3" t="s">
        <v>63</v>
      </c>
      <c r="O38" s="4" t="s">
        <v>64</v>
      </c>
    </row>
    <row r="39" spans="1:15" ht="15">
      <c r="A39" s="9" t="s">
        <v>65</v>
      </c>
      <c r="B39" s="10" t="s">
        <v>66</v>
      </c>
      <c r="C39" s="9" t="s">
        <v>66</v>
      </c>
      <c r="D39" s="11"/>
      <c r="E39" s="10" t="s">
        <v>67</v>
      </c>
      <c r="F39" s="12" t="s">
        <v>68</v>
      </c>
      <c r="G39" s="12" t="s">
        <v>69</v>
      </c>
      <c r="H39" s="10" t="s">
        <v>68</v>
      </c>
      <c r="I39" s="10" t="s">
        <v>70</v>
      </c>
      <c r="J39" s="10"/>
      <c r="K39" s="12" t="s">
        <v>61</v>
      </c>
      <c r="L39" s="10" t="s">
        <v>71</v>
      </c>
      <c r="M39" s="10" t="s">
        <v>72</v>
      </c>
      <c r="N39" s="10" t="s">
        <v>73</v>
      </c>
      <c r="O39" s="11" t="s">
        <v>74</v>
      </c>
    </row>
    <row r="40" spans="1:19" ht="15">
      <c r="A40" s="20">
        <v>20404499</v>
      </c>
      <c r="B40" s="22" t="s">
        <v>153</v>
      </c>
      <c r="C40" s="22" t="s">
        <v>81</v>
      </c>
      <c r="D40" s="21" t="s">
        <v>154</v>
      </c>
      <c r="E40" s="20">
        <v>35000</v>
      </c>
      <c r="F40" s="17"/>
      <c r="G40" s="18">
        <f aca="true" t="shared" si="3" ref="G40:G51">E40+F40</f>
        <v>35000</v>
      </c>
      <c r="H40" s="20"/>
      <c r="I40" s="20">
        <v>7344</v>
      </c>
      <c r="J40" s="20"/>
      <c r="K40" s="17">
        <v>11175</v>
      </c>
      <c r="L40" s="20"/>
      <c r="M40" s="20"/>
      <c r="N40" s="20"/>
      <c r="O40" s="17">
        <f aca="true" t="shared" si="4" ref="O40:O51">SUM(G40:N40)</f>
        <v>53519</v>
      </c>
      <c r="Q40" s="37"/>
      <c r="R40" s="1"/>
      <c r="S40" s="1"/>
    </row>
    <row r="41" spans="1:19" ht="15">
      <c r="A41" s="20">
        <v>193475</v>
      </c>
      <c r="B41" s="22" t="s">
        <v>155</v>
      </c>
      <c r="C41" s="22" t="s">
        <v>102</v>
      </c>
      <c r="D41" s="21" t="s">
        <v>156</v>
      </c>
      <c r="E41" s="20">
        <v>33000</v>
      </c>
      <c r="F41" s="17">
        <v>289542</v>
      </c>
      <c r="G41" s="18">
        <f t="shared" si="3"/>
        <v>322542</v>
      </c>
      <c r="H41" s="20"/>
      <c r="I41" s="20"/>
      <c r="J41" s="20"/>
      <c r="K41" s="17">
        <v>11175</v>
      </c>
      <c r="L41" s="20"/>
      <c r="M41" s="20"/>
      <c r="N41" s="20">
        <v>130990</v>
      </c>
      <c r="O41" s="17">
        <f t="shared" si="4"/>
        <v>464707</v>
      </c>
      <c r="Q41" s="37"/>
      <c r="R41" s="1"/>
      <c r="S41" s="1"/>
    </row>
    <row r="42" spans="1:19" ht="15">
      <c r="A42" s="20">
        <v>79506847</v>
      </c>
      <c r="B42" s="22" t="s">
        <v>157</v>
      </c>
      <c r="C42" s="22" t="s">
        <v>158</v>
      </c>
      <c r="D42" s="21" t="s">
        <v>159</v>
      </c>
      <c r="E42" s="20">
        <v>0</v>
      </c>
      <c r="F42" s="17"/>
      <c r="G42" s="18">
        <f t="shared" si="3"/>
        <v>0</v>
      </c>
      <c r="H42" s="20"/>
      <c r="I42" s="20"/>
      <c r="J42" s="20"/>
      <c r="K42" s="17">
        <f>22350+4693</f>
        <v>27043</v>
      </c>
      <c r="L42" s="20"/>
      <c r="M42" s="20"/>
      <c r="N42" s="20"/>
      <c r="O42" s="17">
        <f t="shared" si="4"/>
        <v>27043</v>
      </c>
      <c r="Q42" s="37"/>
      <c r="R42" s="1"/>
      <c r="S42" s="1"/>
    </row>
    <row r="43" spans="1:19" ht="15">
      <c r="A43" s="20">
        <v>19296836</v>
      </c>
      <c r="B43" s="22" t="s">
        <v>160</v>
      </c>
      <c r="C43" s="22"/>
      <c r="D43" s="21" t="s">
        <v>161</v>
      </c>
      <c r="E43" s="20">
        <v>33000</v>
      </c>
      <c r="F43" s="17">
        <v>365442</v>
      </c>
      <c r="G43" s="18">
        <f t="shared" si="3"/>
        <v>398442</v>
      </c>
      <c r="H43" s="20"/>
      <c r="I43" s="20"/>
      <c r="J43" s="20"/>
      <c r="K43" s="17">
        <v>18507</v>
      </c>
      <c r="L43" s="17"/>
      <c r="M43" s="20"/>
      <c r="N43" s="20"/>
      <c r="O43" s="17">
        <f t="shared" si="4"/>
        <v>416949</v>
      </c>
      <c r="Q43" s="37"/>
      <c r="R43" s="1"/>
      <c r="S43" s="1"/>
    </row>
    <row r="44" spans="1:19" ht="15">
      <c r="A44" s="20">
        <v>193175</v>
      </c>
      <c r="B44" s="22" t="s">
        <v>162</v>
      </c>
      <c r="C44" s="22" t="s">
        <v>81</v>
      </c>
      <c r="D44" s="21" t="s">
        <v>163</v>
      </c>
      <c r="E44" s="20">
        <v>57000</v>
      </c>
      <c r="F44" s="17">
        <v>257955</v>
      </c>
      <c r="G44" s="18">
        <f t="shared" si="3"/>
        <v>314955</v>
      </c>
      <c r="H44" s="20"/>
      <c r="I44" s="20"/>
      <c r="J44" s="20"/>
      <c r="K44" s="17"/>
      <c r="L44" s="20"/>
      <c r="M44" s="20"/>
      <c r="N44" s="20"/>
      <c r="O44" s="17">
        <f t="shared" si="4"/>
        <v>314955</v>
      </c>
      <c r="Q44" s="37"/>
      <c r="R44" s="1"/>
      <c r="S44" s="1"/>
    </row>
    <row r="45" spans="1:19" ht="15">
      <c r="A45" s="20">
        <v>11432745</v>
      </c>
      <c r="B45" s="22" t="s">
        <v>237</v>
      </c>
      <c r="C45" s="22"/>
      <c r="D45" s="21" t="s">
        <v>238</v>
      </c>
      <c r="E45" s="20">
        <v>27000</v>
      </c>
      <c r="F45" s="17"/>
      <c r="G45" s="67">
        <f t="shared" si="3"/>
        <v>27000</v>
      </c>
      <c r="H45" s="20"/>
      <c r="I45" s="20"/>
      <c r="J45" s="20"/>
      <c r="K45" s="17"/>
      <c r="L45" s="20"/>
      <c r="M45" s="20"/>
      <c r="N45" s="20"/>
      <c r="O45" s="17">
        <f t="shared" si="4"/>
        <v>27000</v>
      </c>
      <c r="Q45" s="37"/>
      <c r="R45" s="1"/>
      <c r="S45" s="1"/>
    </row>
    <row r="46" spans="1:19" ht="15">
      <c r="A46" s="20">
        <v>52468344</v>
      </c>
      <c r="B46" s="22" t="s">
        <v>164</v>
      </c>
      <c r="C46" s="22" t="s">
        <v>165</v>
      </c>
      <c r="D46" s="21" t="s">
        <v>166</v>
      </c>
      <c r="E46" s="20">
        <v>27000</v>
      </c>
      <c r="F46" s="17">
        <v>219535</v>
      </c>
      <c r="G46" s="18">
        <f t="shared" si="3"/>
        <v>246535</v>
      </c>
      <c r="H46" s="20"/>
      <c r="I46" s="20"/>
      <c r="J46" s="20"/>
      <c r="K46" s="17">
        <v>11175</v>
      </c>
      <c r="L46" s="20"/>
      <c r="M46" s="20"/>
      <c r="N46" s="20"/>
      <c r="O46" s="17">
        <f t="shared" si="4"/>
        <v>257710</v>
      </c>
      <c r="Q46" s="37"/>
      <c r="R46" s="1"/>
      <c r="S46" s="1"/>
    </row>
    <row r="47" spans="1:19" ht="15">
      <c r="A47" s="20">
        <v>1036818</v>
      </c>
      <c r="B47" s="22" t="s">
        <v>167</v>
      </c>
      <c r="C47" s="22" t="s">
        <v>168</v>
      </c>
      <c r="D47" s="21" t="s">
        <v>169</v>
      </c>
      <c r="E47" s="20">
        <v>0</v>
      </c>
      <c r="F47" s="17"/>
      <c r="G47" s="18">
        <f t="shared" si="3"/>
        <v>0</v>
      </c>
      <c r="H47" s="20"/>
      <c r="I47" s="20"/>
      <c r="J47" s="20"/>
      <c r="K47" s="17"/>
      <c r="L47" s="20"/>
      <c r="M47" s="20"/>
      <c r="N47" s="20"/>
      <c r="O47" s="17">
        <f t="shared" si="4"/>
        <v>0</v>
      </c>
      <c r="Q47" s="37"/>
      <c r="R47" s="1"/>
      <c r="S47" s="1"/>
    </row>
    <row r="48" spans="1:19" ht="15">
      <c r="A48" s="20">
        <v>2970273</v>
      </c>
      <c r="B48" s="22" t="s">
        <v>170</v>
      </c>
      <c r="C48" s="22" t="s">
        <v>113</v>
      </c>
      <c r="D48" s="21" t="s">
        <v>171</v>
      </c>
      <c r="E48" s="20">
        <v>27000</v>
      </c>
      <c r="F48" s="17">
        <v>89432</v>
      </c>
      <c r="G48" s="18">
        <f t="shared" si="3"/>
        <v>116432</v>
      </c>
      <c r="H48" s="20"/>
      <c r="I48" s="20"/>
      <c r="J48" s="20"/>
      <c r="K48" s="17">
        <f>(11175+11175)</f>
        <v>22350</v>
      </c>
      <c r="L48" s="20"/>
      <c r="M48" s="20"/>
      <c r="N48" s="20"/>
      <c r="O48" s="17">
        <f t="shared" si="4"/>
        <v>138782</v>
      </c>
      <c r="Q48" s="37"/>
      <c r="R48" s="1"/>
      <c r="S48" s="1"/>
    </row>
    <row r="49" spans="1:19" ht="15">
      <c r="A49" s="20">
        <v>193419</v>
      </c>
      <c r="B49" s="22" t="s">
        <v>172</v>
      </c>
      <c r="C49" s="22" t="s">
        <v>173</v>
      </c>
      <c r="D49" s="21" t="s">
        <v>174</v>
      </c>
      <c r="E49" s="20">
        <v>33000</v>
      </c>
      <c r="F49" s="17">
        <v>242255</v>
      </c>
      <c r="G49" s="18">
        <f t="shared" si="3"/>
        <v>275255</v>
      </c>
      <c r="H49" s="20"/>
      <c r="I49" s="20">
        <v>7344</v>
      </c>
      <c r="J49" s="20"/>
      <c r="K49" s="17"/>
      <c r="L49" s="20"/>
      <c r="M49" s="20"/>
      <c r="N49" s="20"/>
      <c r="O49" s="17">
        <f t="shared" si="4"/>
        <v>282599</v>
      </c>
      <c r="Q49" s="37"/>
      <c r="R49" s="1"/>
      <c r="S49" s="1"/>
    </row>
    <row r="50" spans="1:19" ht="15">
      <c r="A50" s="20">
        <v>1052134</v>
      </c>
      <c r="B50" s="22" t="s">
        <v>175</v>
      </c>
      <c r="C50" s="22" t="s">
        <v>176</v>
      </c>
      <c r="D50" s="21" t="s">
        <v>177</v>
      </c>
      <c r="E50" s="20">
        <v>27000</v>
      </c>
      <c r="F50" s="66">
        <v>107669</v>
      </c>
      <c r="G50" s="18">
        <f t="shared" si="3"/>
        <v>134669</v>
      </c>
      <c r="H50" s="20"/>
      <c r="I50" s="20"/>
      <c r="J50" s="20"/>
      <c r="K50" s="17"/>
      <c r="L50" s="20"/>
      <c r="M50" s="20"/>
      <c r="N50" s="20"/>
      <c r="O50" s="17">
        <f t="shared" si="4"/>
        <v>134669</v>
      </c>
      <c r="Q50" s="37"/>
      <c r="R50" s="1"/>
      <c r="S50" s="1"/>
    </row>
    <row r="51" spans="1:19" ht="15">
      <c r="A51" s="20">
        <v>14957732</v>
      </c>
      <c r="B51" s="22" t="s">
        <v>178</v>
      </c>
      <c r="C51" s="22"/>
      <c r="D51" s="21" t="s">
        <v>179</v>
      </c>
      <c r="E51" s="20">
        <v>27000</v>
      </c>
      <c r="F51" s="17">
        <v>253615</v>
      </c>
      <c r="G51" s="18">
        <f t="shared" si="3"/>
        <v>280615</v>
      </c>
      <c r="H51" s="20"/>
      <c r="I51" s="20"/>
      <c r="J51" s="20"/>
      <c r="K51" s="17">
        <v>14997</v>
      </c>
      <c r="L51" s="17"/>
      <c r="M51" s="20"/>
      <c r="N51" s="20"/>
      <c r="O51" s="17">
        <f t="shared" si="4"/>
        <v>295612</v>
      </c>
      <c r="Q51" s="37"/>
      <c r="R51" s="1"/>
      <c r="S51" s="1"/>
    </row>
    <row r="52" spans="1:19" ht="15">
      <c r="A52" s="22"/>
      <c r="B52" s="31"/>
      <c r="C52" s="32"/>
      <c r="D52" s="33"/>
      <c r="E52" s="20"/>
      <c r="F52" s="17"/>
      <c r="G52" s="17"/>
      <c r="H52" s="20"/>
      <c r="I52" s="20"/>
      <c r="J52" s="20"/>
      <c r="K52" s="17"/>
      <c r="L52" s="20"/>
      <c r="M52" s="20"/>
      <c r="N52" s="20"/>
      <c r="O52" s="17"/>
      <c r="Q52" s="37"/>
      <c r="R52" s="1"/>
      <c r="S52" s="1"/>
    </row>
    <row r="53" spans="1:15" ht="15">
      <c r="A53" s="22"/>
      <c r="B53" s="31"/>
      <c r="C53" s="32"/>
      <c r="D53" s="33" t="s">
        <v>151</v>
      </c>
      <c r="E53" s="20">
        <f>SUM(E40:E52)</f>
        <v>326000</v>
      </c>
      <c r="F53" s="20">
        <f aca="true" t="shared" si="5" ref="F53:N53">SUM(F40:F52)</f>
        <v>1825445</v>
      </c>
      <c r="G53" s="20"/>
      <c r="H53" s="20">
        <f t="shared" si="5"/>
        <v>0</v>
      </c>
      <c r="I53" s="20">
        <f t="shared" si="5"/>
        <v>14688</v>
      </c>
      <c r="J53" s="20">
        <f t="shared" si="5"/>
        <v>0</v>
      </c>
      <c r="K53" s="17">
        <f t="shared" si="5"/>
        <v>116422</v>
      </c>
      <c r="L53" s="20">
        <f t="shared" si="5"/>
        <v>0</v>
      </c>
      <c r="M53" s="20">
        <f t="shared" si="5"/>
        <v>0</v>
      </c>
      <c r="N53" s="20">
        <f t="shared" si="5"/>
        <v>130990</v>
      </c>
      <c r="O53" s="17">
        <f>SUM(O40:O52)</f>
        <v>2413545</v>
      </c>
    </row>
    <row r="54" spans="1:15" ht="15">
      <c r="A54" s="34"/>
      <c r="B54" s="34"/>
      <c r="C54" s="34"/>
      <c r="D54" s="35"/>
      <c r="E54" s="34"/>
      <c r="F54" s="35"/>
      <c r="G54" s="35"/>
      <c r="H54" s="34"/>
      <c r="I54" s="34"/>
      <c r="J54" s="34"/>
      <c r="K54" s="35"/>
      <c r="L54" s="34"/>
      <c r="M54" s="34"/>
      <c r="N54" s="34"/>
      <c r="O54" s="36"/>
    </row>
    <row r="55" spans="1:15" ht="15">
      <c r="A55" s="34"/>
      <c r="B55" s="34"/>
      <c r="C55" s="34"/>
      <c r="D55" s="35"/>
      <c r="E55" s="26">
        <f>E53+F53</f>
        <v>2151445</v>
      </c>
      <c r="F55" s="35"/>
      <c r="G55" s="35"/>
      <c r="H55" s="34"/>
      <c r="I55" s="34"/>
      <c r="J55" s="34"/>
      <c r="K55" s="36"/>
      <c r="L55" s="26"/>
      <c r="M55" s="26"/>
      <c r="N55" s="34"/>
      <c r="O55" s="36"/>
    </row>
    <row r="56" spans="1:15" ht="15">
      <c r="A56" s="34"/>
      <c r="B56" s="34"/>
      <c r="C56" s="34"/>
      <c r="D56" s="35"/>
      <c r="E56" s="26"/>
      <c r="F56" s="36"/>
      <c r="G56" s="36"/>
      <c r="H56" s="26">
        <f>H34+H53</f>
        <v>51642</v>
      </c>
      <c r="I56" s="26">
        <f aca="true" t="shared" si="6" ref="I56:N56">I53+I34</f>
        <v>29376</v>
      </c>
      <c r="J56" s="26">
        <f t="shared" si="6"/>
        <v>0</v>
      </c>
      <c r="K56" s="36">
        <f t="shared" si="6"/>
        <v>357069</v>
      </c>
      <c r="L56" s="26">
        <f t="shared" si="6"/>
        <v>145104</v>
      </c>
      <c r="M56" s="26">
        <f t="shared" si="6"/>
        <v>0</v>
      </c>
      <c r="N56" s="26">
        <f t="shared" si="6"/>
        <v>130990</v>
      </c>
      <c r="O56" s="36">
        <f>O53+O34</f>
        <v>11844354</v>
      </c>
    </row>
    <row r="57" ht="15">
      <c r="E57" s="1"/>
    </row>
  </sheetData>
  <sheetProtection/>
  <printOptions/>
  <pageMargins left="1.6929133858267718" right="0.7086614173228347" top="0.7480314960629921" bottom="0.7480314960629921" header="0.31496062992125984" footer="0.31496062992125984"/>
  <pageSetup horizontalDpi="300" verticalDpi="300" orientation="landscape" paperSize="5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2" sqref="J22"/>
    </sheetView>
  </sheetViews>
  <sheetFormatPr defaultColWidth="11.421875" defaultRowHeight="15"/>
  <cols>
    <col min="1" max="1" width="12.7109375" style="62" bestFit="1" customWidth="1"/>
    <col min="2" max="2" width="36.00390625" style="62" bestFit="1" customWidth="1"/>
    <col min="3" max="3" width="32.421875" style="62" bestFit="1" customWidth="1"/>
    <col min="4" max="4" width="13.140625" style="62" customWidth="1"/>
    <col min="5" max="5" width="12.57421875" style="62" bestFit="1" customWidth="1"/>
    <col min="6" max="6" width="14.8515625" style="62" bestFit="1" customWidth="1"/>
    <col min="7" max="7" width="12.57421875" style="62" bestFit="1" customWidth="1"/>
    <col min="8" max="8" width="12.421875" style="62" bestFit="1" customWidth="1"/>
    <col min="9" max="9" width="12.57421875" style="62" bestFit="1" customWidth="1"/>
    <col min="10" max="10" width="10.140625" style="62" bestFit="1" customWidth="1"/>
    <col min="11" max="16384" width="11.421875" style="62" customWidth="1"/>
  </cols>
  <sheetData>
    <row r="1" spans="1:10" ht="15">
      <c r="A1" s="60" t="s">
        <v>52</v>
      </c>
      <c r="B1" s="61" t="s">
        <v>193</v>
      </c>
      <c r="C1" s="61" t="s">
        <v>194</v>
      </c>
      <c r="D1" s="61" t="s">
        <v>195</v>
      </c>
      <c r="E1" s="61" t="s">
        <v>196</v>
      </c>
      <c r="F1" s="61" t="s">
        <v>197</v>
      </c>
      <c r="G1" s="61" t="s">
        <v>198</v>
      </c>
      <c r="H1" s="61" t="s">
        <v>69</v>
      </c>
      <c r="I1" s="61" t="s">
        <v>199</v>
      </c>
      <c r="J1" s="61" t="s">
        <v>200</v>
      </c>
    </row>
    <row r="2" spans="1:10" ht="15">
      <c r="A2" s="63"/>
      <c r="B2" s="64"/>
      <c r="C2" s="64"/>
      <c r="D2" s="64"/>
      <c r="E2" s="64" t="s">
        <v>201</v>
      </c>
      <c r="F2" s="64" t="s">
        <v>202</v>
      </c>
      <c r="G2" s="64" t="s">
        <v>203</v>
      </c>
      <c r="H2" s="64" t="s">
        <v>204</v>
      </c>
      <c r="I2" s="64" t="s">
        <v>205</v>
      </c>
      <c r="J2" s="64" t="s">
        <v>206</v>
      </c>
    </row>
    <row r="3" spans="1:10" ht="15">
      <c r="A3" s="65">
        <v>52375971</v>
      </c>
      <c r="B3" s="65" t="s">
        <v>0</v>
      </c>
      <c r="C3" s="65" t="s">
        <v>207</v>
      </c>
      <c r="D3" s="65" t="s">
        <v>208</v>
      </c>
      <c r="E3" s="65">
        <v>868219</v>
      </c>
      <c r="F3" s="65">
        <v>44655</v>
      </c>
      <c r="G3" s="65">
        <v>67800</v>
      </c>
      <c r="H3" s="65">
        <f aca="true" t="shared" si="0" ref="H3:H45">SUM(E3:G3)</f>
        <v>980674</v>
      </c>
      <c r="I3" s="65">
        <v>360</v>
      </c>
      <c r="J3" s="65">
        <f aca="true" t="shared" si="1" ref="J3:J45">ROUND(((H3/2)/360)*I3,0)</f>
        <v>490337</v>
      </c>
    </row>
    <row r="4" spans="1:10" ht="15">
      <c r="A4" s="65">
        <v>11441546</v>
      </c>
      <c r="B4" s="65" t="s">
        <v>23</v>
      </c>
      <c r="C4" s="65" t="s">
        <v>225</v>
      </c>
      <c r="D4" s="65" t="s">
        <v>224</v>
      </c>
      <c r="E4" s="65">
        <v>1717560</v>
      </c>
      <c r="F4" s="65">
        <v>0</v>
      </c>
      <c r="G4" s="65">
        <v>0</v>
      </c>
      <c r="H4" s="65">
        <f t="shared" si="0"/>
        <v>1717560</v>
      </c>
      <c r="I4" s="65">
        <v>360</v>
      </c>
      <c r="J4" s="65">
        <f t="shared" si="1"/>
        <v>858780</v>
      </c>
    </row>
    <row r="5" spans="1:10" s="75" customFormat="1" ht="15">
      <c r="A5" s="74">
        <v>2969538</v>
      </c>
      <c r="B5" s="74" t="s">
        <v>12</v>
      </c>
      <c r="C5" s="74" t="s">
        <v>220</v>
      </c>
      <c r="D5" s="74" t="s">
        <v>221</v>
      </c>
      <c r="E5" s="74">
        <v>1211457</v>
      </c>
      <c r="F5" s="74">
        <v>44655</v>
      </c>
      <c r="G5" s="74">
        <v>0</v>
      </c>
      <c r="H5" s="74">
        <f t="shared" si="0"/>
        <v>1256112</v>
      </c>
      <c r="I5" s="74">
        <v>360</v>
      </c>
      <c r="J5" s="74">
        <f t="shared" si="1"/>
        <v>628056</v>
      </c>
    </row>
    <row r="6" spans="1:10" ht="15">
      <c r="A6" s="65">
        <v>20404417</v>
      </c>
      <c r="B6" s="65" t="s">
        <v>1</v>
      </c>
      <c r="C6" s="65" t="s">
        <v>209</v>
      </c>
      <c r="D6" s="65" t="s">
        <v>208</v>
      </c>
      <c r="E6" s="65">
        <v>868219</v>
      </c>
      <c r="F6" s="65">
        <v>44655</v>
      </c>
      <c r="G6" s="65">
        <v>67800</v>
      </c>
      <c r="H6" s="65">
        <f t="shared" si="0"/>
        <v>980674</v>
      </c>
      <c r="I6" s="65">
        <v>360</v>
      </c>
      <c r="J6" s="65">
        <f t="shared" si="1"/>
        <v>490337</v>
      </c>
    </row>
    <row r="7" spans="1:10" ht="15">
      <c r="A7" s="65">
        <v>193475</v>
      </c>
      <c r="B7" s="65" t="s">
        <v>29</v>
      </c>
      <c r="C7" s="65" t="s">
        <v>228</v>
      </c>
      <c r="D7" s="65" t="s">
        <v>223</v>
      </c>
      <c r="E7" s="65">
        <v>810131</v>
      </c>
      <c r="F7" s="65">
        <v>44655</v>
      </c>
      <c r="G7" s="65">
        <v>67800</v>
      </c>
      <c r="H7" s="65">
        <f t="shared" si="0"/>
        <v>922586</v>
      </c>
      <c r="I7" s="65">
        <v>360</v>
      </c>
      <c r="J7" s="65">
        <f t="shared" si="1"/>
        <v>461293</v>
      </c>
    </row>
    <row r="8" spans="1:10" ht="15">
      <c r="A8" s="65">
        <v>80255224</v>
      </c>
      <c r="B8" s="65" t="s">
        <v>9</v>
      </c>
      <c r="C8" s="65" t="s">
        <v>216</v>
      </c>
      <c r="D8" s="65" t="s">
        <v>218</v>
      </c>
      <c r="E8" s="65">
        <v>2534424</v>
      </c>
      <c r="F8" s="65">
        <v>0</v>
      </c>
      <c r="G8" s="65">
        <v>0</v>
      </c>
      <c r="H8" s="65">
        <f t="shared" si="0"/>
        <v>2534424</v>
      </c>
      <c r="I8" s="65">
        <v>360</v>
      </c>
      <c r="J8" s="65">
        <f t="shared" si="1"/>
        <v>1267212</v>
      </c>
    </row>
    <row r="9" spans="1:10" ht="15">
      <c r="A9" s="65">
        <v>35527534</v>
      </c>
      <c r="B9" s="65" t="s">
        <v>39</v>
      </c>
      <c r="C9" s="65" t="s">
        <v>231</v>
      </c>
      <c r="D9" s="65" t="s">
        <v>232</v>
      </c>
      <c r="E9" s="65">
        <v>2215275</v>
      </c>
      <c r="F9" s="65">
        <v>0</v>
      </c>
      <c r="G9" s="65">
        <v>0</v>
      </c>
      <c r="H9" s="65">
        <f t="shared" si="0"/>
        <v>2215275</v>
      </c>
      <c r="I9" s="65">
        <v>360</v>
      </c>
      <c r="J9" s="65">
        <f t="shared" si="1"/>
        <v>1107638</v>
      </c>
    </row>
    <row r="10" spans="1:10" ht="15">
      <c r="A10" s="65">
        <v>11433691</v>
      </c>
      <c r="B10" s="65" t="s">
        <v>11</v>
      </c>
      <c r="C10" s="65" t="s">
        <v>219</v>
      </c>
      <c r="D10" s="65" t="s">
        <v>218</v>
      </c>
      <c r="E10" s="65">
        <v>2534424</v>
      </c>
      <c r="F10" s="65">
        <v>0</v>
      </c>
      <c r="G10" s="65">
        <v>0</v>
      </c>
      <c r="H10" s="65">
        <f t="shared" si="0"/>
        <v>2534424</v>
      </c>
      <c r="I10" s="65">
        <v>180</v>
      </c>
      <c r="J10" s="65">
        <f t="shared" si="1"/>
        <v>633606</v>
      </c>
    </row>
    <row r="11" spans="1:10" ht="15">
      <c r="A11" s="65">
        <v>11432745</v>
      </c>
      <c r="B11" s="65" t="s">
        <v>180</v>
      </c>
      <c r="C11" s="65" t="s">
        <v>228</v>
      </c>
      <c r="D11" s="65" t="s">
        <v>215</v>
      </c>
      <c r="E11" s="65">
        <v>675107</v>
      </c>
      <c r="F11" s="65">
        <v>44655</v>
      </c>
      <c r="G11" s="65">
        <v>67800</v>
      </c>
      <c r="H11" s="65">
        <f t="shared" si="0"/>
        <v>787562</v>
      </c>
      <c r="I11" s="65">
        <v>0</v>
      </c>
      <c r="J11" s="65">
        <f t="shared" si="1"/>
        <v>0</v>
      </c>
    </row>
    <row r="12" spans="1:10" ht="15">
      <c r="A12" s="65">
        <v>20404565</v>
      </c>
      <c r="B12" s="65" t="s">
        <v>18</v>
      </c>
      <c r="C12" s="65" t="s">
        <v>222</v>
      </c>
      <c r="D12" s="65" t="s">
        <v>208</v>
      </c>
      <c r="E12" s="65">
        <v>868219</v>
      </c>
      <c r="F12" s="65">
        <v>44655</v>
      </c>
      <c r="G12" s="65">
        <v>67800</v>
      </c>
      <c r="H12" s="65">
        <f t="shared" si="0"/>
        <v>980674</v>
      </c>
      <c r="I12" s="65">
        <v>360</v>
      </c>
      <c r="J12" s="65">
        <f t="shared" si="1"/>
        <v>490337</v>
      </c>
    </row>
    <row r="13" spans="1:10" ht="15">
      <c r="A13" s="65">
        <v>20404891</v>
      </c>
      <c r="B13" s="65" t="s">
        <v>5</v>
      </c>
      <c r="C13" s="65" t="s">
        <v>211</v>
      </c>
      <c r="D13" s="65" t="s">
        <v>214</v>
      </c>
      <c r="E13" s="65">
        <v>997505</v>
      </c>
      <c r="F13" s="65">
        <v>44655</v>
      </c>
      <c r="G13" s="65">
        <v>67800</v>
      </c>
      <c r="H13" s="65">
        <f t="shared" si="0"/>
        <v>1109960</v>
      </c>
      <c r="I13" s="65">
        <v>180</v>
      </c>
      <c r="J13" s="65">
        <f t="shared" si="1"/>
        <v>277490</v>
      </c>
    </row>
    <row r="14" spans="1:10" ht="15">
      <c r="A14" s="65">
        <v>52468344</v>
      </c>
      <c r="B14" s="65" t="s">
        <v>35</v>
      </c>
      <c r="C14" s="65" t="s">
        <v>228</v>
      </c>
      <c r="D14" s="65" t="s">
        <v>215</v>
      </c>
      <c r="E14" s="65">
        <v>675107</v>
      </c>
      <c r="F14" s="65">
        <v>44655</v>
      </c>
      <c r="G14" s="65">
        <v>67800</v>
      </c>
      <c r="H14" s="65">
        <f t="shared" si="0"/>
        <v>787562</v>
      </c>
      <c r="I14" s="65">
        <v>360</v>
      </c>
      <c r="J14" s="65">
        <f t="shared" si="1"/>
        <v>393781</v>
      </c>
    </row>
    <row r="15" spans="1:10" ht="15">
      <c r="A15" s="65">
        <v>52113893</v>
      </c>
      <c r="B15" s="65" t="s">
        <v>26</v>
      </c>
      <c r="C15" s="65" t="s">
        <v>226</v>
      </c>
      <c r="D15" s="65" t="s">
        <v>221</v>
      </c>
      <c r="E15" s="65">
        <v>1211457</v>
      </c>
      <c r="F15" s="65">
        <v>44655</v>
      </c>
      <c r="G15" s="65">
        <v>0</v>
      </c>
      <c r="H15" s="65">
        <f t="shared" si="0"/>
        <v>1256112</v>
      </c>
      <c r="I15" s="65">
        <v>360</v>
      </c>
      <c r="J15" s="65">
        <f t="shared" si="1"/>
        <v>628056</v>
      </c>
    </row>
    <row r="16" spans="1:10" s="75" customFormat="1" ht="15">
      <c r="A16" s="74">
        <v>1036818</v>
      </c>
      <c r="B16" s="74" t="s">
        <v>230</v>
      </c>
      <c r="C16" s="74" t="s">
        <v>228</v>
      </c>
      <c r="D16" s="74" t="s">
        <v>215</v>
      </c>
      <c r="E16" s="74">
        <v>0</v>
      </c>
      <c r="F16" s="74">
        <v>0</v>
      </c>
      <c r="G16" s="74">
        <v>0</v>
      </c>
      <c r="H16" s="74">
        <f t="shared" si="0"/>
        <v>0</v>
      </c>
      <c r="I16" s="74">
        <v>0</v>
      </c>
      <c r="J16" s="74">
        <f t="shared" si="1"/>
        <v>0</v>
      </c>
    </row>
    <row r="17" spans="1:10" ht="15">
      <c r="A17" s="65">
        <v>19220404</v>
      </c>
      <c r="B17" s="65" t="s">
        <v>20</v>
      </c>
      <c r="C17" s="65" t="s">
        <v>222</v>
      </c>
      <c r="D17" s="65" t="s">
        <v>218</v>
      </c>
      <c r="E17" s="65">
        <v>2534424</v>
      </c>
      <c r="F17" s="65">
        <v>0</v>
      </c>
      <c r="G17" s="65">
        <v>0</v>
      </c>
      <c r="H17" s="65">
        <f t="shared" si="0"/>
        <v>2534424</v>
      </c>
      <c r="I17" s="65">
        <v>180</v>
      </c>
      <c r="J17" s="65">
        <f t="shared" si="1"/>
        <v>633606</v>
      </c>
    </row>
    <row r="18" spans="1:10" ht="15">
      <c r="A18" s="65">
        <v>20405057</v>
      </c>
      <c r="B18" s="65" t="s">
        <v>2</v>
      </c>
      <c r="C18" s="65" t="s">
        <v>209</v>
      </c>
      <c r="D18" s="65" t="s">
        <v>210</v>
      </c>
      <c r="E18" s="65">
        <v>2829165</v>
      </c>
      <c r="F18" s="65">
        <v>0</v>
      </c>
      <c r="G18" s="65">
        <v>0</v>
      </c>
      <c r="H18" s="65">
        <f t="shared" si="0"/>
        <v>2829165</v>
      </c>
      <c r="I18" s="65">
        <v>0</v>
      </c>
      <c r="J18" s="65">
        <f t="shared" si="1"/>
        <v>0</v>
      </c>
    </row>
    <row r="19" spans="1:10" ht="15">
      <c r="A19" s="65">
        <v>20404663</v>
      </c>
      <c r="B19" s="65" t="s">
        <v>4</v>
      </c>
      <c r="C19" s="65" t="s">
        <v>211</v>
      </c>
      <c r="D19" s="65" t="s">
        <v>213</v>
      </c>
      <c r="E19" s="65">
        <v>2879348</v>
      </c>
      <c r="F19" s="65">
        <v>0</v>
      </c>
      <c r="G19" s="65">
        <v>0</v>
      </c>
      <c r="H19" s="65">
        <f t="shared" si="0"/>
        <v>2879348</v>
      </c>
      <c r="I19" s="65">
        <v>180</v>
      </c>
      <c r="J19" s="65">
        <f t="shared" si="1"/>
        <v>719837</v>
      </c>
    </row>
    <row r="20" spans="1:10" ht="15">
      <c r="A20" s="65">
        <v>52617781</v>
      </c>
      <c r="B20" s="65" t="s">
        <v>17</v>
      </c>
      <c r="C20" s="65" t="s">
        <v>222</v>
      </c>
      <c r="D20" s="65" t="s">
        <v>208</v>
      </c>
      <c r="E20" s="65">
        <v>868219</v>
      </c>
      <c r="F20" s="65">
        <v>44655</v>
      </c>
      <c r="G20" s="65">
        <v>67800</v>
      </c>
      <c r="H20" s="65">
        <f t="shared" si="0"/>
        <v>980674</v>
      </c>
      <c r="I20" s="65">
        <v>360</v>
      </c>
      <c r="J20" s="65">
        <f t="shared" si="1"/>
        <v>490337</v>
      </c>
    </row>
    <row r="21" spans="1:10" s="75" customFormat="1" ht="15">
      <c r="A21" s="74">
        <v>2970016</v>
      </c>
      <c r="B21" s="74" t="s">
        <v>19</v>
      </c>
      <c r="C21" s="74" t="s">
        <v>222</v>
      </c>
      <c r="D21" s="74" t="s">
        <v>223</v>
      </c>
      <c r="E21" s="74">
        <v>810131</v>
      </c>
      <c r="F21" s="74">
        <v>44655</v>
      </c>
      <c r="G21" s="74">
        <v>67800</v>
      </c>
      <c r="H21" s="74">
        <f t="shared" si="0"/>
        <v>922586</v>
      </c>
      <c r="I21" s="74">
        <v>0</v>
      </c>
      <c r="J21" s="74">
        <f t="shared" si="1"/>
        <v>0</v>
      </c>
    </row>
    <row r="22" spans="1:10" s="75" customFormat="1" ht="15">
      <c r="A22" s="74">
        <v>20404727</v>
      </c>
      <c r="B22" s="74" t="s">
        <v>227</v>
      </c>
      <c r="C22" s="74" t="s">
        <v>226</v>
      </c>
      <c r="D22" s="74" t="s">
        <v>208</v>
      </c>
      <c r="E22" s="74">
        <v>868219</v>
      </c>
      <c r="F22" s="74">
        <v>0</v>
      </c>
      <c r="G22" s="74">
        <v>0</v>
      </c>
      <c r="H22" s="74">
        <f t="shared" si="0"/>
        <v>868219</v>
      </c>
      <c r="I22" s="74">
        <f>180+30+5</f>
        <v>215</v>
      </c>
      <c r="J22" s="74">
        <f t="shared" si="1"/>
        <v>259260</v>
      </c>
    </row>
    <row r="23" spans="1:10" s="75" customFormat="1" ht="15">
      <c r="A23" s="74">
        <v>1073427262</v>
      </c>
      <c r="B23" s="74" t="s">
        <v>6</v>
      </c>
      <c r="C23" s="74" t="s">
        <v>211</v>
      </c>
      <c r="D23" s="74" t="s">
        <v>215</v>
      </c>
      <c r="E23" s="74">
        <v>675107</v>
      </c>
      <c r="F23" s="74">
        <v>44655</v>
      </c>
      <c r="G23" s="74">
        <v>67800</v>
      </c>
      <c r="H23" s="74">
        <f t="shared" si="0"/>
        <v>787562</v>
      </c>
      <c r="I23" s="74">
        <v>0</v>
      </c>
      <c r="J23" s="74">
        <f t="shared" si="1"/>
        <v>0</v>
      </c>
    </row>
    <row r="24" spans="1:10" ht="15">
      <c r="A24" s="65">
        <v>35528604</v>
      </c>
      <c r="B24" s="65" t="s">
        <v>22</v>
      </c>
      <c r="C24" s="65" t="s">
        <v>225</v>
      </c>
      <c r="D24" s="65" t="s">
        <v>224</v>
      </c>
      <c r="E24" s="65">
        <v>1717560</v>
      </c>
      <c r="F24" s="65">
        <v>0</v>
      </c>
      <c r="G24" s="65">
        <v>0</v>
      </c>
      <c r="H24" s="65">
        <f t="shared" si="0"/>
        <v>1717560</v>
      </c>
      <c r="I24" s="65">
        <v>360</v>
      </c>
      <c r="J24" s="65">
        <f t="shared" si="1"/>
        <v>858780</v>
      </c>
    </row>
    <row r="25" spans="1:10" ht="15">
      <c r="A25" s="65">
        <v>20404381</v>
      </c>
      <c r="B25" s="65" t="s">
        <v>8</v>
      </c>
      <c r="C25" s="65" t="s">
        <v>216</v>
      </c>
      <c r="D25" s="65" t="s">
        <v>208</v>
      </c>
      <c r="E25" s="65">
        <v>868219</v>
      </c>
      <c r="F25" s="65">
        <v>44655</v>
      </c>
      <c r="G25" s="65">
        <v>67800</v>
      </c>
      <c r="H25" s="65">
        <f t="shared" si="0"/>
        <v>980674</v>
      </c>
      <c r="I25" s="65">
        <v>360</v>
      </c>
      <c r="J25" s="65">
        <f t="shared" si="1"/>
        <v>490337</v>
      </c>
    </row>
    <row r="26" spans="1:10" ht="15">
      <c r="A26" s="65">
        <v>2969536</v>
      </c>
      <c r="B26" s="65" t="s">
        <v>3</v>
      </c>
      <c r="C26" s="65" t="s">
        <v>211</v>
      </c>
      <c r="D26" s="65" t="s">
        <v>212</v>
      </c>
      <c r="E26" s="65">
        <v>997505</v>
      </c>
      <c r="F26" s="65">
        <v>44655</v>
      </c>
      <c r="G26" s="65">
        <v>67800</v>
      </c>
      <c r="H26" s="65">
        <f t="shared" si="0"/>
        <v>1109960</v>
      </c>
      <c r="I26" s="65">
        <v>360</v>
      </c>
      <c r="J26" s="65">
        <f t="shared" si="1"/>
        <v>554980</v>
      </c>
    </row>
    <row r="27" spans="1:10" s="75" customFormat="1" ht="15">
      <c r="A27" s="74">
        <v>20404835</v>
      </c>
      <c r="B27" s="74" t="s">
        <v>28</v>
      </c>
      <c r="C27" s="74" t="s">
        <v>226</v>
      </c>
      <c r="D27" s="74" t="s">
        <v>208</v>
      </c>
      <c r="E27" s="74">
        <v>868219</v>
      </c>
      <c r="F27" s="74">
        <v>44655</v>
      </c>
      <c r="G27" s="74">
        <v>67800</v>
      </c>
      <c r="H27" s="74">
        <f t="shared" si="0"/>
        <v>980674</v>
      </c>
      <c r="I27" s="74">
        <v>0</v>
      </c>
      <c r="J27" s="74">
        <f t="shared" si="1"/>
        <v>0</v>
      </c>
    </row>
    <row r="28" spans="1:10" s="75" customFormat="1" ht="15">
      <c r="A28" s="74">
        <v>19296836</v>
      </c>
      <c r="B28" s="74" t="s">
        <v>31</v>
      </c>
      <c r="C28" s="74" t="s">
        <v>228</v>
      </c>
      <c r="D28" s="74" t="s">
        <v>229</v>
      </c>
      <c r="E28" s="74">
        <v>810131</v>
      </c>
      <c r="F28" s="74">
        <v>44655</v>
      </c>
      <c r="G28" s="74">
        <v>67800</v>
      </c>
      <c r="H28" s="74">
        <f t="shared" si="0"/>
        <v>922586</v>
      </c>
      <c r="I28" s="74">
        <v>360</v>
      </c>
      <c r="J28" s="74">
        <f t="shared" si="1"/>
        <v>461293</v>
      </c>
    </row>
    <row r="29" spans="1:10" ht="15">
      <c r="A29" s="65">
        <v>80427925</v>
      </c>
      <c r="B29" s="65" t="s">
        <v>24</v>
      </c>
      <c r="C29" s="65" t="s">
        <v>225</v>
      </c>
      <c r="D29" s="65" t="s">
        <v>223</v>
      </c>
      <c r="E29" s="65">
        <v>810131</v>
      </c>
      <c r="F29" s="65">
        <v>44655</v>
      </c>
      <c r="G29" s="65">
        <v>67800</v>
      </c>
      <c r="H29" s="65">
        <f t="shared" si="0"/>
        <v>922586</v>
      </c>
      <c r="I29" s="65">
        <v>360</v>
      </c>
      <c r="J29" s="65">
        <f t="shared" si="1"/>
        <v>461293</v>
      </c>
    </row>
    <row r="30" spans="1:10" ht="15">
      <c r="A30" s="65">
        <v>20404958</v>
      </c>
      <c r="B30" s="65" t="s">
        <v>40</v>
      </c>
      <c r="C30" s="65" t="s">
        <v>231</v>
      </c>
      <c r="D30" s="65" t="s">
        <v>224</v>
      </c>
      <c r="E30" s="65">
        <v>1717560</v>
      </c>
      <c r="F30" s="65">
        <v>0</v>
      </c>
      <c r="G30" s="65">
        <v>0</v>
      </c>
      <c r="H30" s="65">
        <f t="shared" si="0"/>
        <v>1717560</v>
      </c>
      <c r="I30" s="65">
        <v>360</v>
      </c>
      <c r="J30" s="65">
        <f t="shared" si="1"/>
        <v>858780</v>
      </c>
    </row>
    <row r="31" spans="1:10" ht="15">
      <c r="A31" s="65">
        <v>20404827</v>
      </c>
      <c r="B31" s="65" t="s">
        <v>21</v>
      </c>
      <c r="C31" s="65" t="s">
        <v>222</v>
      </c>
      <c r="D31" s="65" t="s">
        <v>224</v>
      </c>
      <c r="E31" s="65">
        <v>1717560</v>
      </c>
      <c r="F31" s="65">
        <v>0</v>
      </c>
      <c r="G31" s="65">
        <v>0</v>
      </c>
      <c r="H31" s="65">
        <f t="shared" si="0"/>
        <v>1717560</v>
      </c>
      <c r="I31" s="65">
        <v>180</v>
      </c>
      <c r="J31" s="65">
        <f t="shared" si="1"/>
        <v>429390</v>
      </c>
    </row>
    <row r="32" spans="1:10" ht="15">
      <c r="A32" s="65">
        <v>2970273</v>
      </c>
      <c r="B32" s="65" t="s">
        <v>34</v>
      </c>
      <c r="C32" s="65" t="s">
        <v>228</v>
      </c>
      <c r="D32" s="65" t="s">
        <v>215</v>
      </c>
      <c r="E32" s="65">
        <v>675107</v>
      </c>
      <c r="F32" s="65">
        <v>44655</v>
      </c>
      <c r="G32" s="65">
        <v>67800</v>
      </c>
      <c r="H32" s="65">
        <f t="shared" si="0"/>
        <v>787562</v>
      </c>
      <c r="I32" s="65">
        <v>360</v>
      </c>
      <c r="J32" s="65">
        <f t="shared" si="1"/>
        <v>393781</v>
      </c>
    </row>
    <row r="33" spans="1:10" ht="15">
      <c r="A33" s="65">
        <v>79963600</v>
      </c>
      <c r="B33" s="65" t="s">
        <v>25</v>
      </c>
      <c r="C33" s="65" t="s">
        <v>225</v>
      </c>
      <c r="D33" s="65" t="s">
        <v>218</v>
      </c>
      <c r="E33" s="65">
        <v>2534424</v>
      </c>
      <c r="F33" s="65">
        <v>0</v>
      </c>
      <c r="G33" s="65">
        <v>0</v>
      </c>
      <c r="H33" s="65">
        <f t="shared" si="0"/>
        <v>2534424</v>
      </c>
      <c r="I33" s="65">
        <v>180</v>
      </c>
      <c r="J33" s="65">
        <f t="shared" si="1"/>
        <v>633606</v>
      </c>
    </row>
    <row r="34" spans="1:10" ht="15">
      <c r="A34" s="65">
        <v>193419</v>
      </c>
      <c r="B34" s="65" t="s">
        <v>36</v>
      </c>
      <c r="C34" s="65" t="s">
        <v>228</v>
      </c>
      <c r="D34" s="65" t="s">
        <v>229</v>
      </c>
      <c r="E34" s="65">
        <v>810131</v>
      </c>
      <c r="F34" s="65">
        <v>44655</v>
      </c>
      <c r="G34" s="65">
        <v>67800</v>
      </c>
      <c r="H34" s="65">
        <f t="shared" si="0"/>
        <v>922586</v>
      </c>
      <c r="I34" s="65">
        <v>360</v>
      </c>
      <c r="J34" s="65">
        <f t="shared" si="1"/>
        <v>461293</v>
      </c>
    </row>
    <row r="35" spans="1:10" ht="15">
      <c r="A35" s="65">
        <v>1052134</v>
      </c>
      <c r="B35" s="65" t="s">
        <v>33</v>
      </c>
      <c r="C35" s="65" t="s">
        <v>228</v>
      </c>
      <c r="D35" s="65" t="s">
        <v>215</v>
      </c>
      <c r="E35" s="65">
        <v>675107</v>
      </c>
      <c r="F35" s="65">
        <v>44655</v>
      </c>
      <c r="G35" s="65">
        <v>67800</v>
      </c>
      <c r="H35" s="65">
        <f t="shared" si="0"/>
        <v>787562</v>
      </c>
      <c r="I35" s="65">
        <v>360</v>
      </c>
      <c r="J35" s="65">
        <f t="shared" si="1"/>
        <v>393781</v>
      </c>
    </row>
    <row r="36" spans="1:10" s="75" customFormat="1" ht="15">
      <c r="A36" s="74">
        <v>34991002</v>
      </c>
      <c r="B36" s="74" t="s">
        <v>27</v>
      </c>
      <c r="C36" s="74" t="s">
        <v>226</v>
      </c>
      <c r="D36" s="74" t="s">
        <v>218</v>
      </c>
      <c r="E36" s="74">
        <v>2534424</v>
      </c>
      <c r="F36" s="74">
        <v>0</v>
      </c>
      <c r="G36" s="74">
        <v>0</v>
      </c>
      <c r="H36" s="74">
        <f t="shared" si="0"/>
        <v>2534424</v>
      </c>
      <c r="I36" s="74">
        <v>0</v>
      </c>
      <c r="J36" s="74">
        <f t="shared" si="1"/>
        <v>0</v>
      </c>
    </row>
    <row r="37" spans="1:10" ht="15">
      <c r="A37" s="65">
        <v>20404683</v>
      </c>
      <c r="B37" s="65" t="s">
        <v>10</v>
      </c>
      <c r="C37" s="65" t="s">
        <v>219</v>
      </c>
      <c r="D37" s="65" t="s">
        <v>208</v>
      </c>
      <c r="E37" s="65">
        <v>868219</v>
      </c>
      <c r="F37" s="65">
        <v>44655</v>
      </c>
      <c r="G37" s="65">
        <v>67800</v>
      </c>
      <c r="H37" s="65">
        <f t="shared" si="0"/>
        <v>980674</v>
      </c>
      <c r="I37" s="65">
        <v>360</v>
      </c>
      <c r="J37" s="65">
        <f t="shared" si="1"/>
        <v>490337</v>
      </c>
    </row>
    <row r="38" spans="1:10" ht="15">
      <c r="A38" s="65">
        <v>11426458</v>
      </c>
      <c r="B38" s="65" t="s">
        <v>7</v>
      </c>
      <c r="C38" s="65" t="s">
        <v>216</v>
      </c>
      <c r="D38" s="65" t="s">
        <v>217</v>
      </c>
      <c r="E38" s="65">
        <v>702112</v>
      </c>
      <c r="F38" s="65">
        <v>44655</v>
      </c>
      <c r="G38" s="65">
        <v>67800</v>
      </c>
      <c r="H38" s="65">
        <f t="shared" si="0"/>
        <v>814567</v>
      </c>
      <c r="I38" s="65">
        <v>360</v>
      </c>
      <c r="J38" s="65">
        <f t="shared" si="1"/>
        <v>407284</v>
      </c>
    </row>
    <row r="39" spans="1:10" ht="15">
      <c r="A39" s="65">
        <v>20404499</v>
      </c>
      <c r="B39" s="65" t="s">
        <v>37</v>
      </c>
      <c r="C39" s="65" t="s">
        <v>228</v>
      </c>
      <c r="D39" s="65" t="s">
        <v>208</v>
      </c>
      <c r="E39" s="65">
        <v>868219</v>
      </c>
      <c r="F39" s="65">
        <v>44655</v>
      </c>
      <c r="G39" s="65">
        <v>67800</v>
      </c>
      <c r="H39" s="65">
        <f t="shared" si="0"/>
        <v>980674</v>
      </c>
      <c r="I39" s="65">
        <v>360</v>
      </c>
      <c r="J39" s="65">
        <f t="shared" si="1"/>
        <v>490337</v>
      </c>
    </row>
    <row r="40" spans="1:10" ht="15">
      <c r="A40" s="65">
        <v>51781431</v>
      </c>
      <c r="B40" s="65" t="s">
        <v>41</v>
      </c>
      <c r="C40" s="65" t="s">
        <v>231</v>
      </c>
      <c r="D40" s="65" t="s">
        <v>208</v>
      </c>
      <c r="E40" s="65">
        <v>868219</v>
      </c>
      <c r="F40" s="65">
        <v>44655</v>
      </c>
      <c r="G40" s="65">
        <v>67800</v>
      </c>
      <c r="H40" s="65">
        <f t="shared" si="0"/>
        <v>980674</v>
      </c>
      <c r="I40" s="65">
        <v>360</v>
      </c>
      <c r="J40" s="65">
        <f t="shared" si="1"/>
        <v>490337</v>
      </c>
    </row>
    <row r="41" spans="1:10" ht="15">
      <c r="A41" s="65">
        <v>39636843</v>
      </c>
      <c r="B41" s="65" t="s">
        <v>13</v>
      </c>
      <c r="C41" s="65" t="s">
        <v>220</v>
      </c>
      <c r="D41" s="65" t="s">
        <v>208</v>
      </c>
      <c r="E41" s="65">
        <v>868219</v>
      </c>
      <c r="F41" s="65">
        <v>44655</v>
      </c>
      <c r="G41" s="65">
        <v>67800</v>
      </c>
      <c r="H41" s="65">
        <f t="shared" si="0"/>
        <v>980674</v>
      </c>
      <c r="I41" s="65">
        <v>360</v>
      </c>
      <c r="J41" s="65">
        <f t="shared" si="1"/>
        <v>490337</v>
      </c>
    </row>
    <row r="42" spans="1:10" ht="15">
      <c r="A42" s="65">
        <v>79506847</v>
      </c>
      <c r="B42" s="65" t="s">
        <v>38</v>
      </c>
      <c r="C42" s="65" t="s">
        <v>228</v>
      </c>
      <c r="D42" s="65" t="s">
        <v>218</v>
      </c>
      <c r="E42" s="65">
        <v>2534424</v>
      </c>
      <c r="F42" s="65">
        <v>0</v>
      </c>
      <c r="G42" s="65">
        <v>0</v>
      </c>
      <c r="H42" s="65">
        <f t="shared" si="0"/>
        <v>2534424</v>
      </c>
      <c r="I42" s="65">
        <v>180</v>
      </c>
      <c r="J42" s="65">
        <f t="shared" si="1"/>
        <v>633606</v>
      </c>
    </row>
    <row r="43" spans="1:10" ht="15">
      <c r="A43" s="65">
        <v>14957732</v>
      </c>
      <c r="B43" s="65" t="s">
        <v>32</v>
      </c>
      <c r="C43" s="65" t="s">
        <v>228</v>
      </c>
      <c r="D43" s="65" t="s">
        <v>215</v>
      </c>
      <c r="E43" s="65">
        <v>675107</v>
      </c>
      <c r="F43" s="65">
        <v>44655</v>
      </c>
      <c r="G43" s="65">
        <v>67800</v>
      </c>
      <c r="H43" s="65">
        <f t="shared" si="0"/>
        <v>787562</v>
      </c>
      <c r="I43" s="65">
        <v>360</v>
      </c>
      <c r="J43" s="65">
        <f t="shared" si="1"/>
        <v>393781</v>
      </c>
    </row>
    <row r="44" spans="1:10" ht="15">
      <c r="A44" s="65">
        <v>193175</v>
      </c>
      <c r="B44" s="65" t="s">
        <v>30</v>
      </c>
      <c r="C44" s="65" t="s">
        <v>228</v>
      </c>
      <c r="D44" s="65" t="s">
        <v>229</v>
      </c>
      <c r="E44" s="65">
        <v>810131</v>
      </c>
      <c r="F44" s="65">
        <v>44655</v>
      </c>
      <c r="G44" s="65">
        <v>67800</v>
      </c>
      <c r="H44" s="65">
        <f t="shared" si="0"/>
        <v>922586</v>
      </c>
      <c r="I44" s="65">
        <v>360</v>
      </c>
      <c r="J44" s="65">
        <f t="shared" si="1"/>
        <v>461293</v>
      </c>
    </row>
    <row r="45" spans="1:10" ht="15">
      <c r="A45" s="65">
        <v>20738283</v>
      </c>
      <c r="B45" s="65" t="s">
        <v>14</v>
      </c>
      <c r="C45" s="65" t="s">
        <v>220</v>
      </c>
      <c r="D45" s="65" t="s">
        <v>218</v>
      </c>
      <c r="E45" s="65">
        <v>2534424</v>
      </c>
      <c r="F45" s="65">
        <v>0</v>
      </c>
      <c r="G45" s="65">
        <v>0</v>
      </c>
      <c r="H45" s="65">
        <f t="shared" si="0"/>
        <v>2534424</v>
      </c>
      <c r="I45" s="65">
        <v>180</v>
      </c>
      <c r="J45" s="65">
        <f t="shared" si="1"/>
        <v>633606</v>
      </c>
    </row>
    <row r="46" ht="15">
      <c r="J46" s="73">
        <f>SUM(J3:J45)</f>
        <v>20318195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nohosala</cp:lastModifiedBy>
  <cp:lastPrinted>2012-06-27T21:48:14Z</cp:lastPrinted>
  <dcterms:created xsi:type="dcterms:W3CDTF">2012-05-23T23:34:28Z</dcterms:created>
  <dcterms:modified xsi:type="dcterms:W3CDTF">2012-10-03T23:22:05Z</dcterms:modified>
  <cp:category/>
  <cp:version/>
  <cp:contentType/>
  <cp:contentStatus/>
</cp:coreProperties>
</file>