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7110" activeTab="1"/>
  </bookViews>
  <sheets>
    <sheet name="ING 2012" sheetId="1" r:id="rId1"/>
    <sheet name="GAST 2012" sheetId="2" r:id="rId2"/>
    <sheet name="Hoja3" sheetId="3" r:id="rId3"/>
  </sheets>
  <externalReferences>
    <externalReference r:id="rId6"/>
  </externalReferences>
  <definedNames>
    <definedName name="_xlnm.Print_Area" localSheetId="0">'ING 2012'!$B$70:$L$117</definedName>
  </definedNames>
  <calcPr fullCalcOnLoad="1"/>
</workbook>
</file>

<file path=xl/comments1.xml><?xml version="1.0" encoding="utf-8"?>
<comments xmlns="http://schemas.openxmlformats.org/spreadsheetml/2006/main">
  <authors>
    <author>Cuentas</author>
  </authors>
  <commentList>
    <comment ref="B122" authorId="0">
      <text>
        <r>
          <rPr>
            <b/>
            <sz val="8"/>
            <rFont val="Tahoma"/>
            <family val="2"/>
          </rPr>
          <t>Cuentas: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<sst xmlns="http://schemas.openxmlformats.org/spreadsheetml/2006/main" count="631" uniqueCount="527">
  <si>
    <t>FORZOSA INVERSION</t>
  </si>
  <si>
    <t>ART.</t>
  </si>
  <si>
    <t>CONCEPTO</t>
  </si>
  <si>
    <t>RECURSOS</t>
  </si>
  <si>
    <t>SGP</t>
  </si>
  <si>
    <t>SUBTOTAL</t>
  </si>
  <si>
    <t xml:space="preserve">RECURSOS </t>
  </si>
  <si>
    <t>OTROS</t>
  </si>
  <si>
    <t>RENDIMI</t>
  </si>
  <si>
    <t xml:space="preserve">SUBTOTAL </t>
  </si>
  <si>
    <t>TOTAL</t>
  </si>
  <si>
    <t>PROPIOS</t>
  </si>
  <si>
    <t>LD</t>
  </si>
  <si>
    <t xml:space="preserve">PROPIOS </t>
  </si>
  <si>
    <t>FINANCIEROS</t>
  </si>
  <si>
    <t>INVERSION F.I.</t>
  </si>
  <si>
    <t>APROPIACION</t>
  </si>
  <si>
    <t>DIFERENC</t>
  </si>
  <si>
    <t>I N G R E S O S</t>
  </si>
  <si>
    <t>INGRESOS CORRIENTES</t>
  </si>
  <si>
    <t xml:space="preserve">1.1.      </t>
  </si>
  <si>
    <t xml:space="preserve">1.1.1.    </t>
  </si>
  <si>
    <t>IMPUESTOS DIRECTOS</t>
  </si>
  <si>
    <t>Impuesto Predial Unificado Vigencia Actual</t>
  </si>
  <si>
    <t>Impuesto Predial Unificado Vigencia Anteriores</t>
  </si>
  <si>
    <t xml:space="preserve">Industria Y Comercio Vigenca Actual </t>
  </si>
  <si>
    <t>Industria Y Comercio Vigencias Anteriores</t>
  </si>
  <si>
    <t>Avisos Y Tableros Vigencia Actual</t>
  </si>
  <si>
    <t>Avisos Y Tableros Vigencias Anteriores</t>
  </si>
  <si>
    <t>Publicidad Exterior Visual</t>
  </si>
  <si>
    <t>Impuesto De Delineacion</t>
  </si>
  <si>
    <t>Impuesto De Espectaculos Publicos Municipal</t>
  </si>
  <si>
    <t>Sobretasa Bomberil</t>
  </si>
  <si>
    <t>Sobretasa A La Gasolina</t>
  </si>
  <si>
    <t>1.1.2</t>
  </si>
  <si>
    <t>ESTAMPILLAS</t>
  </si>
  <si>
    <t>Pro Tercera Edad</t>
  </si>
  <si>
    <t>Pro Cultura</t>
  </si>
  <si>
    <t xml:space="preserve">1.2.      </t>
  </si>
  <si>
    <t>INGRESOS NO TRIBUTARIOS</t>
  </si>
  <si>
    <t>1.2.1</t>
  </si>
  <si>
    <t>TASAS Y DERECHOS</t>
  </si>
  <si>
    <t>Expedion De Paz Y Salvos</t>
  </si>
  <si>
    <t>Certificacion Y Constancias</t>
  </si>
  <si>
    <t>Otros Servicios De Planeacion</t>
  </si>
  <si>
    <t>Aprobacion de Planos urbanisticos y similares</t>
  </si>
  <si>
    <t>Cambio De Uso Del Suelo O Plusvalia</t>
  </si>
  <si>
    <t>Ocupacion De Vias Y Sitios Publicos</t>
  </si>
  <si>
    <t>Guias Y Movilizacion De Ganado</t>
  </si>
  <si>
    <t>Licencias De Transporte</t>
  </si>
  <si>
    <t>Deguello De Ganado Menor</t>
  </si>
  <si>
    <t>Deguello De Ganado Mayor</t>
  </si>
  <si>
    <t>Registro de Marcas y Herretes</t>
  </si>
  <si>
    <t>Publicaciones</t>
  </si>
  <si>
    <t>Alquiler de maquinaria y equipo</t>
  </si>
  <si>
    <t>Descuentos por ordenes de pago</t>
  </si>
  <si>
    <t>Contribucion Contratos De Obras Publicas 5% fondo de seguridad</t>
  </si>
  <si>
    <t>1.2.2</t>
  </si>
  <si>
    <t>DERECHOS DE EXPLOTACION DE JUEGOS DE SUERTE Y AZAR</t>
  </si>
  <si>
    <t>Rifas, Sorteos Juegos De Azar</t>
  </si>
  <si>
    <t>Juegos De Apuestas En Eventos Deportivos, Gallisticos, Caninos Y Similares</t>
  </si>
  <si>
    <t>1.2.3</t>
  </si>
  <si>
    <t>MULTAS Y SANCIONES  DE GOBIERNO</t>
  </si>
  <si>
    <t>Multas Establecimientos De Comercio</t>
  </si>
  <si>
    <t>Sanciones Urbanisticas</t>
  </si>
  <si>
    <t>Otras Multas De Gobierno</t>
  </si>
  <si>
    <t>Coso, Costo y ejecuciones</t>
  </si>
  <si>
    <t>1.2.4</t>
  </si>
  <si>
    <t>INTERESES MORATORIOS</t>
  </si>
  <si>
    <t>Predial</t>
  </si>
  <si>
    <t>Industria Y Comercio</t>
  </si>
  <si>
    <t>1.2.5</t>
  </si>
  <si>
    <t>VENTA DE BIENES Y SERVICIOS</t>
  </si>
  <si>
    <t>Plaza De Mercado</t>
  </si>
  <si>
    <t>Plaza De Ferias</t>
  </si>
  <si>
    <t xml:space="preserve">Matadero  Municipal </t>
  </si>
  <si>
    <t>1.2.6</t>
  </si>
  <si>
    <t>TRANSFERENCIAS PARA FUNCIONAMIENTO</t>
  </si>
  <si>
    <t>1.2.6.1</t>
  </si>
  <si>
    <t xml:space="preserve">DEL NIVEL NACIONAL </t>
  </si>
  <si>
    <t>Sgp: Libre Destinacion De Participacion De Proposito General Municipios Categorias 4, 5 Y 6</t>
  </si>
  <si>
    <t>Empresa Territorial Para La Salud Etesa (maximo El 25 % En Los Terminos Del Art. 60 De La Ley 715)</t>
  </si>
  <si>
    <t>1.2.6.2</t>
  </si>
  <si>
    <t>DEL NIVEL DEPARTAMENTAL</t>
  </si>
  <si>
    <t>De Impuesto Vehiculos Automotores</t>
  </si>
  <si>
    <t>1.2.7</t>
  </si>
  <si>
    <t>TRASFERENCIAS PARA INVERSION</t>
  </si>
  <si>
    <t>1.2.7.1</t>
  </si>
  <si>
    <t>DEL NIVEL NACIONAL</t>
  </si>
  <si>
    <t>1.2.7.1.1</t>
  </si>
  <si>
    <t>SISTEMA GENERAL DE PARTICIPACIONES</t>
  </si>
  <si>
    <t>S. G. P. Educacion -Recursos De Calidad</t>
  </si>
  <si>
    <t>Sistema General De Participaciones Alimentacion Escolar</t>
  </si>
  <si>
    <t>Sistema General Participacion  Agua Potable Y Saneamiento Basico</t>
  </si>
  <si>
    <t>Sistema General Forzosa Inversion Deporte</t>
  </si>
  <si>
    <t>Sistema General Forzosa Inversion Cultura</t>
  </si>
  <si>
    <t>Sistema General Libre Inversion</t>
  </si>
  <si>
    <t>1.2.7.1.2</t>
  </si>
  <si>
    <t>S.G.P. POR CRECIMIENTO DE LA ECONOMIA</t>
  </si>
  <si>
    <t>Primera Infancia</t>
  </si>
  <si>
    <t>Educacion</t>
  </si>
  <si>
    <t>1.2.7.1.3</t>
  </si>
  <si>
    <t xml:space="preserve">FONDO LOCAL DE SALUD </t>
  </si>
  <si>
    <t>Sector Salud Publica</t>
  </si>
  <si>
    <t>1.2.7.2</t>
  </si>
  <si>
    <t>Participacion Rentas Departamentales</t>
  </si>
  <si>
    <t>1.2.7.3</t>
  </si>
  <si>
    <t>DE OTRAS ENTIDADES SECTOR PUBLICO Y PRIVADO</t>
  </si>
  <si>
    <t xml:space="preserve">Aportes y / Convenio entides de orden publico y privado </t>
  </si>
  <si>
    <t>1.2.7.4</t>
  </si>
  <si>
    <t>FONPET</t>
  </si>
  <si>
    <t>Sin Situacion De Fondos</t>
  </si>
  <si>
    <t>INGRESOS DE CAPITAL</t>
  </si>
  <si>
    <t xml:space="preserve">2.1.      </t>
  </si>
  <si>
    <t>RECURSOS DEL BALANCE</t>
  </si>
  <si>
    <t xml:space="preserve">Excedentes Financieros </t>
  </si>
  <si>
    <t>2.2</t>
  </si>
  <si>
    <t>SUPERAVIT FISCAL</t>
  </si>
  <si>
    <t>Superavit</t>
  </si>
  <si>
    <t>2.3</t>
  </si>
  <si>
    <t>SALDOS NO EJECUTADOS VIGENCIAS ANTERIORES</t>
  </si>
  <si>
    <t>Fincionamiento</t>
  </si>
  <si>
    <t>Inversion</t>
  </si>
  <si>
    <t>2.4</t>
  </si>
  <si>
    <t xml:space="preserve"> RESERVAS PRESUPUESTALES </t>
  </si>
  <si>
    <t xml:space="preserve">Cancelacion de Reservas </t>
  </si>
  <si>
    <t>2.5</t>
  </si>
  <si>
    <t>RENDIMIENTO OPERACIONES FINANCIERAS</t>
  </si>
  <si>
    <t>Intereses Inversiones Financieras Recursos Propios</t>
  </si>
  <si>
    <t>Intereses Inversiones Financieras Salud Publica</t>
  </si>
  <si>
    <t>Intereses Inversiones Financieras Recursos Etesa</t>
  </si>
  <si>
    <t>Intereses Inversiones Financieras Regimen subsidiado</t>
  </si>
  <si>
    <t>INGRESOS SERVICIOS PUBLICOS</t>
  </si>
  <si>
    <t>ACUEDUCTO</t>
  </si>
  <si>
    <t>Matriculas</t>
  </si>
  <si>
    <t>Multas y recargos reconexiones</t>
  </si>
  <si>
    <t>Otros ingresos y aprovechamientos</t>
  </si>
  <si>
    <t>Ingresos por subsidio</t>
  </si>
  <si>
    <t>ALCANTARILLADO</t>
  </si>
  <si>
    <t>Tarifa de alcantarillado</t>
  </si>
  <si>
    <t>Tarifa de conexión</t>
  </si>
  <si>
    <t>ASEO</t>
  </si>
  <si>
    <t>Tarifa aseo, recolección basura</t>
  </si>
  <si>
    <t>Operaciones comerciales</t>
  </si>
  <si>
    <t>Ingresos por ventas de medidores</t>
  </si>
  <si>
    <t>Ingresos por ventas tapas y cajillas</t>
  </si>
  <si>
    <t>Ingresos por ventas y otros material</t>
  </si>
  <si>
    <t>Derechos y contribuciones</t>
  </si>
  <si>
    <t>Derechos  y urbanizaciones</t>
  </si>
  <si>
    <t>Derecho capital</t>
  </si>
  <si>
    <t>derechos de capital</t>
  </si>
  <si>
    <t xml:space="preserve">CONCEJO MUNICIPAL </t>
  </si>
  <si>
    <t>SDA X N.C X N.S +1,5% ICLD</t>
  </si>
  <si>
    <t>sueldo alcalde</t>
  </si>
  <si>
    <t>Salario Dia Alcalde</t>
  </si>
  <si>
    <t>Honorarios concejales</t>
  </si>
  <si>
    <t>1,5 Ingresos corrientes ld</t>
  </si>
  <si>
    <t>total ingresos</t>
  </si>
  <si>
    <t xml:space="preserve"> </t>
  </si>
  <si>
    <t>propios</t>
  </si>
  <si>
    <t>sgp libre asign</t>
  </si>
  <si>
    <t>INGRESOS LIBRE ASIGNACION</t>
  </si>
  <si>
    <t>80% LIBRE Asig. Para funcionamiento</t>
  </si>
  <si>
    <t>presupuestado en Gastos funcionamiento</t>
  </si>
  <si>
    <t>EL COLOR CAFÉ DEBE QUEDAR EN CERO 0</t>
  </si>
  <si>
    <t>diferencia a presupuestar en  gts funcionamiento</t>
  </si>
  <si>
    <t>20% LIBRE Asig. Para Inversion</t>
  </si>
  <si>
    <t>Presupuestado en gastos de Inversion</t>
  </si>
  <si>
    <t>diferencia a presupuestar en  gts Inversion</t>
  </si>
  <si>
    <t>suma total de diferrencias gts libre asignacion</t>
  </si>
  <si>
    <t>total del presupuesto de ingreso</t>
  </si>
  <si>
    <t>diferencia entre ingresos y gastos</t>
  </si>
  <si>
    <t>ARTICULO</t>
  </si>
  <si>
    <t>E G R E S O S</t>
  </si>
  <si>
    <t>GASTOS DE FUNCIONAMIENTO</t>
  </si>
  <si>
    <t>Transferencias Concejo Municipal</t>
  </si>
  <si>
    <t>Transferencias Personeria  Municipal</t>
  </si>
  <si>
    <t>1.3</t>
  </si>
  <si>
    <t>ALCALDIA MUNICIPAL</t>
  </si>
  <si>
    <t>1.3.1</t>
  </si>
  <si>
    <t>GASTOS DE PERSONAL</t>
  </si>
  <si>
    <t>SERVICIOS PERSONALES ASOCIADOS A LA NOMINA</t>
  </si>
  <si>
    <t>1.3.1.1</t>
  </si>
  <si>
    <t>Sueldo Personal De Nomina</t>
  </si>
  <si>
    <t>Prima De Navidad</t>
  </si>
  <si>
    <t>Indemnización de Vacaciones</t>
  </si>
  <si>
    <t>Prima De Vacaciones</t>
  </si>
  <si>
    <t>Bonificacion Por Direccion Alcalde</t>
  </si>
  <si>
    <t>Subsidio Alimentación</t>
  </si>
  <si>
    <t>Dotacion Personal</t>
  </si>
  <si>
    <t>Otros Gastos De Personal Asociados A La Nomina</t>
  </si>
  <si>
    <t>1.3.1.2</t>
  </si>
  <si>
    <t>SERVICIOS PERSONALES INDIRECTOS</t>
  </si>
  <si>
    <t>Servicios Tecnicos Y Profesionales</t>
  </si>
  <si>
    <t>1.3.1.3</t>
  </si>
  <si>
    <t>CONTRIBUCIONES INHERENTES A LA NOMINA SECTOR PRIVADO</t>
  </si>
  <si>
    <t>Aportes Salud De Funcionarios De La Administracion Central</t>
  </si>
  <si>
    <t>Aportes Salud De Concejales (municipios De Categoria 4, 5 Y 6,)</t>
  </si>
  <si>
    <t>Aportes Para Pension</t>
  </si>
  <si>
    <t>Aportes Arp</t>
  </si>
  <si>
    <t>Aportes Para Cesantias</t>
  </si>
  <si>
    <t>Intereses Cesantias</t>
  </si>
  <si>
    <t>1.3.1.4</t>
  </si>
  <si>
    <t>APORTES PARAFISCALES</t>
  </si>
  <si>
    <t>Sena</t>
  </si>
  <si>
    <t>Icbf</t>
  </si>
  <si>
    <t>Esap</t>
  </si>
  <si>
    <t>Cajas De Compensacion Familiar</t>
  </si>
  <si>
    <t>Institutos Tecnicos</t>
  </si>
  <si>
    <t>1.3.2</t>
  </si>
  <si>
    <t>GASTOS GENERALES</t>
  </si>
  <si>
    <t>1.3.2.1</t>
  </si>
  <si>
    <t>ADQUISICION DE BIENES</t>
  </si>
  <si>
    <t>Compra De Equipos</t>
  </si>
  <si>
    <t>Materiales,  Suministros Compras En General</t>
  </si>
  <si>
    <t>1.3.2.2</t>
  </si>
  <si>
    <t>ADQUISICION DE SERVICIOS</t>
  </si>
  <si>
    <t>Capacitacion Personal Administrativo</t>
  </si>
  <si>
    <t>1.3.2.3</t>
  </si>
  <si>
    <t>SEGUROS</t>
  </si>
  <si>
    <t>Seguros De Bienes Muebles E Inmuebles</t>
  </si>
  <si>
    <t>Seguros de vida Concejales</t>
  </si>
  <si>
    <t>Seguro de vida Del Alcalde</t>
  </si>
  <si>
    <t>Otros Seguros</t>
  </si>
  <si>
    <t>1.3.2.4</t>
  </si>
  <si>
    <t>SERVICIOS PUBLICOS</t>
  </si>
  <si>
    <t>Energia</t>
  </si>
  <si>
    <t>Telecomunicaciones</t>
  </si>
  <si>
    <t>Acueducto, Alcantarillado Y Aseo</t>
  </si>
  <si>
    <t>1.3.2.5</t>
  </si>
  <si>
    <t xml:space="preserve">OTROS GASTOS </t>
  </si>
  <si>
    <t>Viaticos Y Gastos De Viaje</t>
  </si>
  <si>
    <t>Otros Gastos Adquisicion De Servicios</t>
  </si>
  <si>
    <t>Otros Gastos Generales</t>
  </si>
  <si>
    <t>Impresos Y Publicaciones</t>
  </si>
  <si>
    <t>Adquisicion de Polizas</t>
  </si>
  <si>
    <t>Bienestar Social</t>
  </si>
  <si>
    <t>Impuestos Y Multas</t>
  </si>
  <si>
    <t>Arrendamientos</t>
  </si>
  <si>
    <t>Transporte Concejales</t>
  </si>
  <si>
    <t>1.3.3</t>
  </si>
  <si>
    <t>TRANSFERENCIAS CORRIENTES</t>
  </si>
  <si>
    <t>Mesadas Pensionales</t>
  </si>
  <si>
    <t>Fondo Nacional De Pensiones Territoriales Fonpet</t>
  </si>
  <si>
    <t>SOBRETASA AMBIENTAL -CORPORACION CAR</t>
  </si>
  <si>
    <t>Federacion de Municipios</t>
  </si>
  <si>
    <t>1.3.4</t>
  </si>
  <si>
    <t xml:space="preserve">PAGO DE BONOS PENSIONALES Y CUOTAS PARTES  </t>
  </si>
  <si>
    <t>Bonos Pensionales</t>
  </si>
  <si>
    <t>Cuotas Partes Pensionales</t>
  </si>
  <si>
    <t>1.3.5</t>
  </si>
  <si>
    <t>PAGO DÉFICIT DE FUNCIONAMIENTO</t>
  </si>
  <si>
    <t xml:space="preserve"> CAUSADO CON ANTERIORIDAD AL 31 DE DIC DE 2009</t>
  </si>
  <si>
    <t>3.</t>
  </si>
  <si>
    <t>GASTOS DE INVERSION</t>
  </si>
  <si>
    <t>3.1</t>
  </si>
  <si>
    <t>INVERSION DIRECTA</t>
  </si>
  <si>
    <t>3.1.1</t>
  </si>
  <si>
    <t xml:space="preserve">EDUCACION  CALIDAD </t>
  </si>
  <si>
    <t>diferencia s.g.p ingreso</t>
  </si>
  <si>
    <t>Mejoramiento, Evaluacion Y Promocion De La Calidad Educativa</t>
  </si>
  <si>
    <t>Contruccion Ampliacion Y Adecuacion Infraestructura instituciones Educativas</t>
  </si>
  <si>
    <t>Mantenimiento De Infrarestructura Educativa</t>
  </si>
  <si>
    <t>Pago De Servicios Publicos instituciones Educativas</t>
  </si>
  <si>
    <t xml:space="preserve">Trasnporte Escolar </t>
  </si>
  <si>
    <t>Capacitacion</t>
  </si>
  <si>
    <t>Funcionamiento Instituciones Educativas</t>
  </si>
  <si>
    <t>3.1.2</t>
  </si>
  <si>
    <t>ALIMENTACION ESCOLAR</t>
  </si>
  <si>
    <t>Compra De Alimentos</t>
  </si>
  <si>
    <t>Compra De Elementos De Cocina</t>
  </si>
  <si>
    <t>Aseo, Combustible Y Trasporte Preparacion Alimentos</t>
  </si>
  <si>
    <t>3.1.3</t>
  </si>
  <si>
    <t>SECTOR SALUD - FONDO LOCAL DE SALUD</t>
  </si>
  <si>
    <t>Regimen Subsidiado Continuidad</t>
  </si>
  <si>
    <t>Regimen Subsidiado Ampliacion</t>
  </si>
  <si>
    <t>Pago Servicios De Salud Recursos Fosyga</t>
  </si>
  <si>
    <t>Acciones de Salud Publica con rendimientos financieros</t>
  </si>
  <si>
    <t>Superintendencia De Salud</t>
  </si>
  <si>
    <t>3.1.4</t>
  </si>
  <si>
    <t xml:space="preserve">AGUA POTABLE Y SANEAMIENTO BASICO </t>
  </si>
  <si>
    <t>3.1.4.1</t>
  </si>
  <si>
    <t>SERVICIO DE ACUEDUCTO</t>
  </si>
  <si>
    <t>Subsidio Fondo De Solidaridad</t>
  </si>
  <si>
    <t>Rehabilitacion Sistemas De Acueducto</t>
  </si>
  <si>
    <t xml:space="preserve">Preinversion en Diseños </t>
  </si>
  <si>
    <t>Programas De Macro Y Micromedicion</t>
  </si>
  <si>
    <t>Mantenimiento, Adecuacion,  Ampliacion Planta de Tratamiento</t>
  </si>
  <si>
    <t>Interventorias</t>
  </si>
  <si>
    <t>Adquisicion De Predios Para Reserva De Agua Art 101 Ley 99</t>
  </si>
  <si>
    <t>Transferencias Para La Plan Departamental</t>
  </si>
  <si>
    <t>3.1.4.2</t>
  </si>
  <si>
    <t>SERVICIO DE ALCANTARILLADO</t>
  </si>
  <si>
    <t>Construccion, Ampliacion, Adecuacion  Sistemas De Alcatarillado</t>
  </si>
  <si>
    <t>Construccion y adecuacion sistemas de Aguas Residuales</t>
  </si>
  <si>
    <t>Unidades Sanitarias y pozos Septicos</t>
  </si>
  <si>
    <t>Plan de Saneamiento y Manejo de Vertimientos  (PSMV)</t>
  </si>
  <si>
    <t>3.1.4.3</t>
  </si>
  <si>
    <t>SERVICIO DE ASEO</t>
  </si>
  <si>
    <t>Tratamiento Y Disposicion Final De Residuos Solidos</t>
  </si>
  <si>
    <t>Plan  De  Gestion Integral de Residuos Solidos  (PGIRS)</t>
  </si>
  <si>
    <t>3.1.5</t>
  </si>
  <si>
    <t>DEPORTE Y RECREACION</t>
  </si>
  <si>
    <t>Fomento, Desarrollo Y Practia Del Deporte, Recreacion Yaprovechamiento del Tiempo Libre</t>
  </si>
  <si>
    <t>Construccion Y Mantenimiento Escenarios Deportivos</t>
  </si>
  <si>
    <t>Dotacion implementos Deportivos</t>
  </si>
  <si>
    <t xml:space="preserve">Apoyo A Los Eventos Deportivos ludicos y recerativos </t>
  </si>
  <si>
    <t>Pago De Instructores Para Escuelas De Formacion Deportiva</t>
  </si>
  <si>
    <t>3.1.6</t>
  </si>
  <si>
    <t>CULTURA</t>
  </si>
  <si>
    <t>Fomento, Apoyo Y Difuscion De Eventos Y Expresiones Artisticas</t>
  </si>
  <si>
    <t>Apoyo a eventos culturales</t>
  </si>
  <si>
    <t>Mantenimiento Y Dotacion De Bibliotecas</t>
  </si>
  <si>
    <t>Pago De Instructores Escuelas de Formacion Cultural, Bibliotecarios y ludotecarios Contratados</t>
  </si>
  <si>
    <t>3.1.7</t>
  </si>
  <si>
    <t>INVERSION OTROS SECTORES (Libre Inversion)</t>
  </si>
  <si>
    <t>3.1.7.1</t>
  </si>
  <si>
    <t>Pago De Convenio De Suministro Y Mantenimiento De Alumbrado</t>
  </si>
  <si>
    <t>3.1.7.2</t>
  </si>
  <si>
    <t>VIVIENDA</t>
  </si>
  <si>
    <t>Subsidios Para La Adquisicion De Vivienda</t>
  </si>
  <si>
    <t>Subsidios Para El Mejoramiento De Vivienda</t>
  </si>
  <si>
    <t>Cofinanciacion de Proyectos de Vivienda de Interes Social</t>
  </si>
  <si>
    <t xml:space="preserve">Mejoramientos vivienda Poblacion desplazada </t>
  </si>
  <si>
    <t>3.1.7.3</t>
  </si>
  <si>
    <t>AGROPECUARIO</t>
  </si>
  <si>
    <t>Promocion Alianzas, Asociaciones U Otras Formas De Productores</t>
  </si>
  <si>
    <t>Desarrollo De Programas Agropecuarios Y Cofinanciacion De Los Mismos</t>
  </si>
  <si>
    <t>Programas Y Proyectos De Asistencia Tecnica Rural</t>
  </si>
  <si>
    <t>Pago Personal Tecnico Vinculado Al Servicios De Asistencia Tecnica</t>
  </si>
  <si>
    <t>Campañas De Prevencion Y Control De Plagas Y Enfermedades</t>
  </si>
  <si>
    <t>Prevencion Y Control De Enfermedades En Especies Animales</t>
  </si>
  <si>
    <t>Apoyo transporte mercados campesinos</t>
  </si>
  <si>
    <t>3.1.7.4</t>
  </si>
  <si>
    <t>TRANSPORTE</t>
  </si>
  <si>
    <t>Construccion De Vias</t>
  </si>
  <si>
    <t>Mantenimiento  Y Rehabilitacion  De Vias</t>
  </si>
  <si>
    <t>Estudios Y Disenos y Cofinanciacion de Proyectos</t>
  </si>
  <si>
    <t>Compra De Maquinaria Y Gastos De Operacion Maquinaria</t>
  </si>
  <si>
    <t xml:space="preserve">Interventorias </t>
  </si>
  <si>
    <t>Cofinanciacion adquisicion maquinaria</t>
  </si>
  <si>
    <t>3.1.7.5</t>
  </si>
  <si>
    <t>AMBIENTAL</t>
  </si>
  <si>
    <t>Manejo Y Aprovechamiento De Cuencas Y Microcuentas Hidricas</t>
  </si>
  <si>
    <t>Conservacion Y Recuperacion Recursos Naturales Y Ambientales</t>
  </si>
  <si>
    <t>Reforestacion Y Control De Erosion</t>
  </si>
  <si>
    <t xml:space="preserve">Cofinanciacion Programas Ambientales y consevacion de Medio Ambiente </t>
  </si>
  <si>
    <t>3.1.7.6</t>
  </si>
  <si>
    <t>PREVENCION Y ATENCION DE DESASTRES</t>
  </si>
  <si>
    <t>Adecuacion y Rehubicacion Asentamientos  De Areas En Alto Riesgo</t>
  </si>
  <si>
    <t>Atencion y Prevencion de  Desastres</t>
  </si>
  <si>
    <t>Contratos Celebrados Con Cuerpos De Bomberos</t>
  </si>
  <si>
    <t>3.1.7.7</t>
  </si>
  <si>
    <t>PROMOCION DEL DESARROLLO</t>
  </si>
  <si>
    <t>Promocion De Alianzas Y Asociacioes Para El Desarrollo Economico</t>
  </si>
  <si>
    <t>Promocion Y Capacitacion Para El Empleo</t>
  </si>
  <si>
    <t>Fomento Y Apoyo En Tecnologia Procesos Empresariales</t>
  </si>
  <si>
    <t>Promocion Desarrollo Turistico</t>
  </si>
  <si>
    <t>Fondo Destinado A Becas, Subsidios Y Creditos Educativos</t>
  </si>
  <si>
    <t>3.1.7.8</t>
  </si>
  <si>
    <t>ATENCION A GRUPOS VULNERABLES - PROMOCION SOCIAL</t>
  </si>
  <si>
    <t>Proteccion Integral A La Infancia Y Adolescencia</t>
  </si>
  <si>
    <t>Atencion Y Apoyo Adulto Mayor</t>
  </si>
  <si>
    <t>Atencion Y Apoyo Madres Cabeza De Hogar</t>
  </si>
  <si>
    <t>Atencion Y Apoyo Poblacion Desplazada</t>
  </si>
  <si>
    <t>Atencion Y Apoyo Discapacitados</t>
  </si>
  <si>
    <t>Atencion Y Apoyo Poblacion Vulnerable</t>
  </si>
  <si>
    <t>Cofinanciacion Programa Red Juntos</t>
  </si>
  <si>
    <t>3.1.7.9</t>
  </si>
  <si>
    <t>EQUIPAMIENTO</t>
  </si>
  <si>
    <t>Mejoramiento Y Mantenimiento De Dependencias Municipales</t>
  </si>
  <si>
    <t>Construccion Plazas, Cementerios , Parques</t>
  </si>
  <si>
    <t>Mantenimiento Plazas, Cementerios , Parques</t>
  </si>
  <si>
    <t xml:space="preserve">Construccion, Mejoramiento Y Mantenimiento Infraestructura Municipal </t>
  </si>
  <si>
    <t>3.1.7.10</t>
  </si>
  <si>
    <t>DESARROLLO COMUNITARIO</t>
  </si>
  <si>
    <t xml:space="preserve">Enlace Municipal Programa Familias en Accion </t>
  </si>
  <si>
    <t>Procesos De Eleccion De Ciudadanos Espacios De Participacion</t>
  </si>
  <si>
    <t>Capacitacion A La Comunidad Sobre La Gestion Publica</t>
  </si>
  <si>
    <t>3.1.7.11</t>
  </si>
  <si>
    <t>FORTALECIMIENTO INSTITUCIONAL</t>
  </si>
  <si>
    <t>Procesos Integrales De Organización, Modernizacion,  sistematizacion  y mejoramiento de la Administracion Municipal</t>
  </si>
  <si>
    <t>Programas De Capacitacion Y Asistencia Tecnica Orientadas Al Desarrollo Eficiente De Las Competencias Del Municipio</t>
  </si>
  <si>
    <t>Pago De Indemnnizacion, liquidaciones  Programas De Saneamiento Fiscal Y Restructuracion</t>
  </si>
  <si>
    <t>Estratificacion Socieconomica</t>
  </si>
  <si>
    <t>Actualizacion Castastral</t>
  </si>
  <si>
    <t xml:space="preserve">Organización Archivio Municipal </t>
  </si>
  <si>
    <t>Cofinanciacion y liquidación convenios y contratos (art. 25 num 14ley 80)</t>
  </si>
  <si>
    <t>3.1.7.12</t>
  </si>
  <si>
    <t>JUSTICIA</t>
  </si>
  <si>
    <t>Pago Inspector De  Policia</t>
  </si>
  <si>
    <t>Pago Comisario De Familia, Medicos, Sicologos</t>
  </si>
  <si>
    <t>Apoyo a procesos Electorales 2010</t>
  </si>
  <si>
    <t>SGP CRECIMIENTO DE LA ECONOMIA</t>
  </si>
  <si>
    <t>CLAS</t>
  </si>
  <si>
    <t>tot ingresos</t>
  </si>
  <si>
    <t xml:space="preserve">INICIAL </t>
  </si>
  <si>
    <t>TOTAL EGRESOS</t>
  </si>
  <si>
    <t>diferencia</t>
  </si>
  <si>
    <t xml:space="preserve">GASTOS GENERALES </t>
  </si>
  <si>
    <t>4.1.1</t>
  </si>
  <si>
    <t>SERVICIOS PERSONALES</t>
  </si>
  <si>
    <t>sueldo pesonal nómina</t>
  </si>
  <si>
    <t>Prima de Navidad</t>
  </si>
  <si>
    <t>viaticos y gastos de viaje</t>
  </si>
  <si>
    <t>Prima de Vacaciones</t>
  </si>
  <si>
    <t>Subsidio de alimentacion</t>
  </si>
  <si>
    <t>Indemnizacion por vacaciones</t>
  </si>
  <si>
    <t>4.1.2</t>
  </si>
  <si>
    <t xml:space="preserve">Materiales  y suministro </t>
  </si>
  <si>
    <t>Pago Servicios publicos</t>
  </si>
  <si>
    <t>Comunicaciones y transporte</t>
  </si>
  <si>
    <t>Dotación personal</t>
  </si>
  <si>
    <t>Polizas y seguro y Mantenimiento</t>
  </si>
  <si>
    <t xml:space="preserve">Sistematización facturación </t>
  </si>
  <si>
    <t xml:space="preserve">Impuestos Tasas y Retribuciones </t>
  </si>
  <si>
    <t>Compra de sustancias quimicas</t>
  </si>
  <si>
    <t>Gastos de Manteniento, operación</t>
  </si>
  <si>
    <t>Contribuciones regulación Vigilancia</t>
  </si>
  <si>
    <t>4.1.3</t>
  </si>
  <si>
    <t>APORTES A SEGURIDAD SOCIAL</t>
  </si>
  <si>
    <t>Servicios médicos EPS</t>
  </si>
  <si>
    <t>Fondo de pensiones</t>
  </si>
  <si>
    <t>Riesgos Profesionales</t>
  </si>
  <si>
    <t>4.1.4</t>
  </si>
  <si>
    <t>Aporte caja de compesación</t>
  </si>
  <si>
    <t>Aporte ICBF</t>
  </si>
  <si>
    <t>Aporte SENA</t>
  </si>
  <si>
    <t>Aportes Esc. Ind.  Inst. técnicos</t>
  </si>
  <si>
    <t>Aporte   ESAP</t>
  </si>
  <si>
    <t>4.1.5</t>
  </si>
  <si>
    <t>PRESTACIONES SOCIALES</t>
  </si>
  <si>
    <t>Fondo de cesantias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</si>
  <si>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</si>
  <si>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</si>
  <si>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</si>
  <si>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</si>
  <si>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</si>
  <si>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</si>
  <si>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</si>
  <si>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</si>
  <si>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</si>
  <si>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Adquisición Software</t>
  </si>
  <si>
    <t>Incentivos Academicos</t>
  </si>
  <si>
    <t>Reorganización Institucional y Fortalecimiento de Institucciones Educativas</t>
  </si>
  <si>
    <t>Educación Para la Prosperidad</t>
  </si>
  <si>
    <t>mantenimiento, Adecuación y Dotación comedores Escolares.</t>
  </si>
  <si>
    <t>Consejo Territorial de Planeacion</t>
  </si>
  <si>
    <t>ING. CORRIENTES DE LIBRE DIST.</t>
  </si>
  <si>
    <t>LIB. DESTIN.</t>
  </si>
  <si>
    <t>SOBRETASA A LA</t>
  </si>
  <si>
    <t>GASOLINA</t>
  </si>
  <si>
    <t>PRESUPUESTO UNIDAD DE SERVICIOS PÚBLICOS</t>
  </si>
  <si>
    <t xml:space="preserve">SIST. GEN. </t>
  </si>
  <si>
    <t>DE PARTIC.</t>
  </si>
  <si>
    <t>TRANSFERENCIAS ENTES MUNICIPALES</t>
  </si>
  <si>
    <t>Regimen Subsidiado-continuidad</t>
  </si>
  <si>
    <t xml:space="preserve"> Fosyga</t>
  </si>
  <si>
    <t>MUNICIPIO DE BELTRAN</t>
  </si>
  <si>
    <t>Municipios Ribereños</t>
  </si>
  <si>
    <t>GASTOS UNIDAD DE SERVICIOS PUBLICOS 2013</t>
  </si>
  <si>
    <t>INVERSION</t>
  </si>
  <si>
    <t>CONV. NACIONALES</t>
  </si>
  <si>
    <t>S.G.P.  L. DEST.</t>
  </si>
  <si>
    <t>REC. DEL 5% FDO DE SEGURIDAD</t>
  </si>
  <si>
    <t>Apoyo Cuerpo de Bomberos</t>
  </si>
  <si>
    <t xml:space="preserve">Construcción Planta de Tratamiento </t>
  </si>
  <si>
    <t>Mantenimiento Y Expansión Del Servicio De Alumbrado</t>
  </si>
  <si>
    <t>Aquisicion de Terrenos Para la Construccion de Vivienda</t>
  </si>
  <si>
    <t>Apoyo a  La Fuerza Pública - Fondo De Seguridad (ley 1106 De 2006)</t>
  </si>
  <si>
    <t>Sobretasa Predial</t>
  </si>
  <si>
    <t>CONTADOR</t>
  </si>
  <si>
    <t>ABOGADO</t>
  </si>
  <si>
    <t>AUX CONTABLE</t>
  </si>
  <si>
    <t>CEDEÑO</t>
  </si>
  <si>
    <t>CRISTOBAL</t>
  </si>
  <si>
    <t>DEPORTE</t>
  </si>
  <si>
    <t>YEYO</t>
  </si>
  <si>
    <t>ALMACENISTA</t>
  </si>
  <si>
    <t>ALEJANDRO</t>
  </si>
  <si>
    <t>PIC</t>
  </si>
  <si>
    <t>Devolución de impuestos</t>
  </si>
  <si>
    <t>Sentencias; Laudios y Conciliaciones</t>
  </si>
  <si>
    <t xml:space="preserve">SERVICIOS PUBLICOS </t>
  </si>
  <si>
    <t>Intereses de Financiación</t>
  </si>
  <si>
    <t>Consumo</t>
  </si>
  <si>
    <t xml:space="preserve">Cargo fijo </t>
  </si>
  <si>
    <t>Recargo</t>
  </si>
  <si>
    <t>Conexión</t>
  </si>
  <si>
    <t>Reconexión</t>
  </si>
  <si>
    <t xml:space="preserve">Otros   </t>
  </si>
  <si>
    <t>Auxilio de Transporte</t>
  </si>
  <si>
    <t>Vacaciones</t>
  </si>
  <si>
    <t>Disposición final de Basuras</t>
  </si>
  <si>
    <t>Servicios Tecnicos, Profesionales  Y Otros</t>
  </si>
  <si>
    <t>Organizaci+on Foro</t>
  </si>
  <si>
    <t>REC. PROP.</t>
  </si>
  <si>
    <t>Cofinanciación Programa ICBF</t>
  </si>
  <si>
    <t>CONV. DPTLES Ó RENTAS CEDIDAS</t>
  </si>
  <si>
    <t>FOSYGA</t>
  </si>
  <si>
    <t>ETESA</t>
  </si>
  <si>
    <t>Asesoría en Aseguramiento y Salud</t>
  </si>
  <si>
    <t>SALUD PUBLICA</t>
  </si>
  <si>
    <t>Plan de Atención Basica, Promoción y Prevención en Salud.</t>
  </si>
  <si>
    <t>Apoyo Programas de Salud Pública</t>
  </si>
  <si>
    <t>ESTAMPILLAS- TASAS Y OTROS.</t>
  </si>
  <si>
    <t>Tratamiento, recolección de Residuos Solidos</t>
  </si>
  <si>
    <t>MUNICIPIOS RIBEREÑOS</t>
  </si>
  <si>
    <t>3.1.9</t>
  </si>
  <si>
    <t>3.18.1</t>
  </si>
  <si>
    <t>3.18.2</t>
  </si>
  <si>
    <t>Recuperación Rio Magdalena</t>
  </si>
  <si>
    <t>Cofinanción Proyectos Recuperación del Rio Magdalena</t>
  </si>
  <si>
    <t>Fomento y Apoyo  Feria Comercial Y Ganadera Del Municipio.</t>
  </si>
  <si>
    <t>Apoyo Programas (Familias En Acción y Otros)</t>
  </si>
  <si>
    <t>Apoyo al Sector Empresarial y Turistico</t>
  </si>
  <si>
    <t>Actualizacion Estructuras,  Bases de Datos Municipales y Legalización de Predios.</t>
  </si>
  <si>
    <t>SGP L. DEST.</t>
  </si>
  <si>
    <t>S.G.P. INV.</t>
  </si>
  <si>
    <t>INGRESOS TRIBUTARIOS Y NO TRIBUTARIOS</t>
  </si>
  <si>
    <t>5% FDO SEG.</t>
  </si>
  <si>
    <t>Ingresos de Bienes Municipales</t>
  </si>
  <si>
    <t>Inversión en el Sistema de Acueducto y Alcantarillado</t>
  </si>
  <si>
    <t>MUNICIPIO DE BELTRÁN</t>
  </si>
  <si>
    <t>DETALLE PRESUPUESTO DE GASTOS 2013</t>
  </si>
  <si>
    <t>FUNCIONAMIENTO CON I. C. L. D.</t>
  </si>
  <si>
    <t>DETALLE PRESUPUESTO DE INGRESOS 2013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</si>
</sst>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_ ;[Red]\-#,##0.00\ 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9" fontId="3" fillId="34" borderId="1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9" fontId="2" fillId="0" borderId="0" xfId="0" applyNumberFormat="1" applyFont="1" applyAlignment="1">
      <alignment/>
    </xf>
    <xf numFmtId="0" fontId="2" fillId="33" borderId="17" xfId="0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wrapText="1"/>
    </xf>
    <xf numFmtId="3" fontId="3" fillId="0" borderId="21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22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wrapText="1"/>
    </xf>
    <xf numFmtId="3" fontId="2" fillId="0" borderId="24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25" xfId="0" applyNumberFormat="1" applyFont="1" applyFill="1" applyBorder="1" applyAlignment="1">
      <alignment horizontal="left"/>
    </xf>
    <xf numFmtId="3" fontId="2" fillId="0" borderId="26" xfId="0" applyNumberFormat="1" applyFont="1" applyFill="1" applyBorder="1" applyAlignment="1">
      <alignment wrapText="1"/>
    </xf>
    <xf numFmtId="3" fontId="2" fillId="0" borderId="26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3" fillId="34" borderId="29" xfId="0" applyNumberFormat="1" applyFont="1" applyFill="1" applyBorder="1" applyAlignment="1">
      <alignment horizontal="right"/>
    </xf>
    <xf numFmtId="3" fontId="3" fillId="34" borderId="30" xfId="0" applyNumberFormat="1" applyFont="1" applyFill="1" applyBorder="1" applyAlignment="1">
      <alignment/>
    </xf>
    <xf numFmtId="3" fontId="3" fillId="34" borderId="31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2" fillId="0" borderId="3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7" fillId="0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64" fontId="7" fillId="35" borderId="0" xfId="0" applyNumberFormat="1" applyFont="1" applyFill="1" applyAlignment="1">
      <alignment/>
    </xf>
    <xf numFmtId="4" fontId="7" fillId="36" borderId="0" xfId="0" applyNumberFormat="1" applyFont="1" applyFill="1" applyAlignment="1">
      <alignment horizontal="right"/>
    </xf>
    <xf numFmtId="4" fontId="7" fillId="36" borderId="0" xfId="0" applyNumberFormat="1" applyFont="1" applyFill="1" applyBorder="1" applyAlignment="1">
      <alignment/>
    </xf>
    <xf numFmtId="164" fontId="7" fillId="37" borderId="0" xfId="0" applyNumberFormat="1" applyFont="1" applyFill="1" applyAlignment="1">
      <alignment/>
    </xf>
    <xf numFmtId="4" fontId="7" fillId="38" borderId="0" xfId="0" applyNumberFormat="1" applyFont="1" applyFill="1" applyAlignment="1">
      <alignment horizontal="right"/>
    </xf>
    <xf numFmtId="4" fontId="7" fillId="38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4" fontId="11" fillId="39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3" borderId="34" xfId="0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left"/>
    </xf>
    <xf numFmtId="3" fontId="2" fillId="0" borderId="36" xfId="0" applyNumberFormat="1" applyFont="1" applyFill="1" applyBorder="1" applyAlignment="1">
      <alignment wrapText="1"/>
    </xf>
    <xf numFmtId="3" fontId="2" fillId="40" borderId="34" xfId="0" applyNumberFormat="1" applyFont="1" applyFill="1" applyBorder="1" applyAlignment="1">
      <alignment wrapText="1"/>
    </xf>
    <xf numFmtId="3" fontId="3" fillId="40" borderId="20" xfId="0" applyNumberFormat="1" applyFont="1" applyFill="1" applyBorder="1" applyAlignment="1">
      <alignment/>
    </xf>
    <xf numFmtId="3" fontId="2" fillId="40" borderId="21" xfId="0" applyNumberFormat="1" applyFont="1" applyFill="1" applyBorder="1" applyAlignment="1">
      <alignment/>
    </xf>
    <xf numFmtId="3" fontId="2" fillId="40" borderId="24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43" fontId="0" fillId="0" borderId="0" xfId="46" applyFont="1" applyAlignment="1">
      <alignment/>
    </xf>
    <xf numFmtId="9" fontId="3" fillId="34" borderId="15" xfId="0" applyNumberFormat="1" applyFont="1" applyFill="1" applyBorder="1" applyAlignment="1">
      <alignment horizontal="center"/>
    </xf>
    <xf numFmtId="3" fontId="3" fillId="41" borderId="22" xfId="0" applyNumberFormat="1" applyFont="1" applyFill="1" applyBorder="1" applyAlignment="1">
      <alignment horizontal="left"/>
    </xf>
    <xf numFmtId="3" fontId="3" fillId="41" borderId="21" xfId="0" applyNumberFormat="1" applyFont="1" applyFill="1" applyBorder="1" applyAlignment="1">
      <alignment wrapText="1"/>
    </xf>
    <xf numFmtId="3" fontId="3" fillId="41" borderId="21" xfId="0" applyNumberFormat="1" applyFont="1" applyFill="1" applyBorder="1" applyAlignment="1">
      <alignment/>
    </xf>
    <xf numFmtId="3" fontId="3" fillId="41" borderId="23" xfId="0" applyNumberFormat="1" applyFont="1" applyFill="1" applyBorder="1" applyAlignment="1">
      <alignment/>
    </xf>
    <xf numFmtId="3" fontId="3" fillId="41" borderId="37" xfId="0" applyNumberFormat="1" applyFont="1" applyFill="1" applyBorder="1" applyAlignment="1">
      <alignment wrapText="1"/>
    </xf>
    <xf numFmtId="3" fontId="2" fillId="41" borderId="20" xfId="0" applyNumberFormat="1" applyFont="1" applyFill="1" applyBorder="1" applyAlignment="1">
      <alignment/>
    </xf>
    <xf numFmtId="3" fontId="2" fillId="41" borderId="21" xfId="0" applyNumberFormat="1" applyFont="1" applyFill="1" applyBorder="1" applyAlignment="1">
      <alignment/>
    </xf>
    <xf numFmtId="0" fontId="2" fillId="41" borderId="0" xfId="0" applyFont="1" applyFill="1" applyAlignment="1">
      <alignment/>
    </xf>
    <xf numFmtId="3" fontId="3" fillId="12" borderId="22" xfId="0" applyNumberFormat="1" applyFont="1" applyFill="1" applyBorder="1" applyAlignment="1">
      <alignment horizontal="left"/>
    </xf>
    <xf numFmtId="3" fontId="3" fillId="12" borderId="21" xfId="0" applyNumberFormat="1" applyFont="1" applyFill="1" applyBorder="1" applyAlignment="1">
      <alignment wrapText="1"/>
    </xf>
    <xf numFmtId="3" fontId="3" fillId="12" borderId="21" xfId="0" applyNumberFormat="1" applyFont="1" applyFill="1" applyBorder="1" applyAlignment="1">
      <alignment/>
    </xf>
    <xf numFmtId="3" fontId="3" fillId="12" borderId="23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Fill="1" applyAlignment="1">
      <alignment wrapText="1"/>
    </xf>
    <xf numFmtId="0" fontId="11" fillId="34" borderId="38" xfId="0" applyFont="1" applyFill="1" applyBorder="1" applyAlignment="1">
      <alignment horizontal="right"/>
    </xf>
    <xf numFmtId="0" fontId="11" fillId="34" borderId="39" xfId="0" applyFont="1" applyFill="1" applyBorder="1" applyAlignment="1">
      <alignment horizontal="center"/>
    </xf>
    <xf numFmtId="3" fontId="11" fillId="34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right"/>
    </xf>
    <xf numFmtId="0" fontId="11" fillId="34" borderId="41" xfId="0" applyFont="1" applyFill="1" applyBorder="1" applyAlignment="1">
      <alignment horizontal="center"/>
    </xf>
    <xf numFmtId="3" fontId="11" fillId="34" borderId="18" xfId="0" applyNumberFormat="1" applyFont="1" applyFill="1" applyBorder="1" applyAlignment="1">
      <alignment horizontal="center"/>
    </xf>
    <xf numFmtId="3" fontId="11" fillId="34" borderId="42" xfId="0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right"/>
    </xf>
    <xf numFmtId="0" fontId="11" fillId="0" borderId="31" xfId="0" applyFont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24" xfId="0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4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43" xfId="0" applyFont="1" applyBorder="1" applyAlignment="1">
      <alignment/>
    </xf>
    <xf numFmtId="3" fontId="6" fillId="0" borderId="37" xfId="0" applyNumberFormat="1" applyFont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44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36" xfId="0" applyNumberFormat="1" applyFont="1" applyBorder="1" applyAlignment="1">
      <alignment/>
    </xf>
    <xf numFmtId="0" fontId="11" fillId="0" borderId="44" xfId="0" applyFont="1" applyBorder="1" applyAlignment="1">
      <alignment horizontal="right"/>
    </xf>
    <xf numFmtId="0" fontId="11" fillId="0" borderId="43" xfId="0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46" xfId="0" applyNumberFormat="1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10" fillId="0" borderId="21" xfId="0" applyFont="1" applyFill="1" applyBorder="1" applyAlignment="1">
      <alignment wrapText="1"/>
    </xf>
    <xf numFmtId="3" fontId="10" fillId="0" borderId="21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49" fontId="10" fillId="0" borderId="22" xfId="0" applyNumberFormat="1" applyFont="1" applyFill="1" applyBorder="1" applyAlignment="1">
      <alignment horizontal="left"/>
    </xf>
    <xf numFmtId="0" fontId="10" fillId="0" borderId="21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wrapText="1"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7" fillId="18" borderId="20" xfId="0" applyNumberFormat="1" applyFont="1" applyFill="1" applyBorder="1" applyAlignment="1">
      <alignment/>
    </xf>
    <xf numFmtId="3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7" fillId="18" borderId="22" xfId="0" applyFont="1" applyFill="1" applyBorder="1" applyAlignment="1">
      <alignment horizontal="left"/>
    </xf>
    <xf numFmtId="0" fontId="7" fillId="18" borderId="21" xfId="0" applyFont="1" applyFill="1" applyBorder="1" applyAlignment="1">
      <alignment wrapText="1"/>
    </xf>
    <xf numFmtId="3" fontId="7" fillId="18" borderId="21" xfId="0" applyNumberFormat="1" applyFont="1" applyFill="1" applyBorder="1" applyAlignment="1">
      <alignment/>
    </xf>
    <xf numFmtId="3" fontId="7" fillId="18" borderId="45" xfId="0" applyNumberFormat="1" applyFont="1" applyFill="1" applyBorder="1" applyAlignment="1">
      <alignment/>
    </xf>
    <xf numFmtId="3" fontId="7" fillId="18" borderId="23" xfId="0" applyNumberFormat="1" applyFont="1" applyFill="1" applyBorder="1" applyAlignment="1">
      <alignment/>
    </xf>
    <xf numFmtId="0" fontId="50" fillId="18" borderId="0" xfId="0" applyFont="1" applyFill="1" applyAlignment="1">
      <alignment/>
    </xf>
    <xf numFmtId="0" fontId="7" fillId="10" borderId="22" xfId="0" applyFont="1" applyFill="1" applyBorder="1" applyAlignment="1">
      <alignment horizontal="left"/>
    </xf>
    <xf numFmtId="0" fontId="7" fillId="10" borderId="21" xfId="0" applyFont="1" applyFill="1" applyBorder="1" applyAlignment="1">
      <alignment wrapText="1"/>
    </xf>
    <xf numFmtId="3" fontId="7" fillId="10" borderId="21" xfId="0" applyNumberFormat="1" applyFont="1" applyFill="1" applyBorder="1" applyAlignment="1">
      <alignment/>
    </xf>
    <xf numFmtId="3" fontId="7" fillId="10" borderId="23" xfId="0" applyNumberFormat="1" applyFont="1" applyFill="1" applyBorder="1" applyAlignment="1">
      <alignment/>
    </xf>
    <xf numFmtId="0" fontId="50" fillId="10" borderId="0" xfId="0" applyFont="1" applyFill="1" applyAlignment="1">
      <alignment/>
    </xf>
    <xf numFmtId="4" fontId="7" fillId="10" borderId="0" xfId="0" applyNumberFormat="1" applyFont="1" applyFill="1" applyBorder="1" applyAlignment="1">
      <alignment/>
    </xf>
    <xf numFmtId="0" fontId="7" fillId="42" borderId="22" xfId="0" applyFont="1" applyFill="1" applyBorder="1" applyAlignment="1">
      <alignment horizontal="left"/>
    </xf>
    <xf numFmtId="0" fontId="7" fillId="42" borderId="21" xfId="0" applyFont="1" applyFill="1" applyBorder="1" applyAlignment="1">
      <alignment wrapText="1"/>
    </xf>
    <xf numFmtId="3" fontId="7" fillId="42" borderId="21" xfId="0" applyNumberFormat="1" applyFont="1" applyFill="1" applyBorder="1" applyAlignment="1">
      <alignment/>
    </xf>
    <xf numFmtId="3" fontId="7" fillId="42" borderId="23" xfId="0" applyNumberFormat="1" applyFont="1" applyFill="1" applyBorder="1" applyAlignment="1">
      <alignment/>
    </xf>
    <xf numFmtId="0" fontId="50" fillId="42" borderId="0" xfId="0" applyFont="1" applyFill="1" applyAlignment="1">
      <alignment/>
    </xf>
    <xf numFmtId="164" fontId="7" fillId="10" borderId="0" xfId="0" applyNumberFormat="1" applyFont="1" applyFill="1" applyAlignment="1">
      <alignment/>
    </xf>
    <xf numFmtId="0" fontId="7" fillId="10" borderId="0" xfId="0" applyFont="1" applyFill="1" applyAlignment="1">
      <alignment/>
    </xf>
    <xf numFmtId="0" fontId="7" fillId="18" borderId="48" xfId="0" applyFont="1" applyFill="1" applyBorder="1" applyAlignment="1">
      <alignment horizontal="left"/>
    </xf>
    <xf numFmtId="0" fontId="7" fillId="18" borderId="36" xfId="0" applyFont="1" applyFill="1" applyBorder="1" applyAlignment="1">
      <alignment/>
    </xf>
    <xf numFmtId="3" fontId="7" fillId="18" borderId="36" xfId="0" applyNumberFormat="1" applyFont="1" applyFill="1" applyBorder="1" applyAlignment="1">
      <alignment/>
    </xf>
    <xf numFmtId="3" fontId="7" fillId="18" borderId="49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0" fillId="0" borderId="21" xfId="0" applyFont="1" applyFill="1" applyBorder="1" applyAlignment="1">
      <alignment horizontal="left"/>
    </xf>
    <xf numFmtId="0" fontId="6" fillId="0" borderId="37" xfId="0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0" fontId="7" fillId="10" borderId="21" xfId="0" applyFont="1" applyFill="1" applyBorder="1" applyAlignment="1">
      <alignment horizontal="left"/>
    </xf>
    <xf numFmtId="3" fontId="11" fillId="34" borderId="17" xfId="0" applyNumberFormat="1" applyFont="1" applyFill="1" applyBorder="1" applyAlignment="1">
      <alignment horizontal="center"/>
    </xf>
    <xf numFmtId="3" fontId="11" fillId="34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3" fontId="7" fillId="0" borderId="21" xfId="0" applyNumberFormat="1" applyFont="1" applyFill="1" applyBorder="1" applyAlignment="1">
      <alignment/>
    </xf>
    <xf numFmtId="0" fontId="6" fillId="0" borderId="43" xfId="0" applyFont="1" applyBorder="1" applyAlignment="1">
      <alignment wrapText="1"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16" fillId="0" borderId="0" xfId="0" applyNumberFormat="1" applyFont="1" applyFill="1" applyAlignment="1">
      <alignment/>
    </xf>
    <xf numFmtId="4" fontId="11" fillId="34" borderId="12" xfId="0" applyNumberFormat="1" applyFont="1" applyFill="1" applyBorder="1" applyAlignment="1">
      <alignment/>
    </xf>
    <xf numFmtId="4" fontId="11" fillId="34" borderId="13" xfId="0" applyNumberFormat="1" applyFont="1" applyFill="1" applyBorder="1" applyAlignment="1">
      <alignment/>
    </xf>
    <xf numFmtId="4" fontId="11" fillId="34" borderId="50" xfId="0" applyNumberFormat="1" applyFont="1" applyFill="1" applyBorder="1" applyAlignment="1">
      <alignment/>
    </xf>
    <xf numFmtId="0" fontId="11" fillId="34" borderId="51" xfId="0" applyFont="1" applyFill="1" applyBorder="1" applyAlignment="1">
      <alignment horizontal="center"/>
    </xf>
    <xf numFmtId="4" fontId="11" fillId="34" borderId="21" xfId="0" applyNumberFormat="1" applyFont="1" applyFill="1" applyBorder="1" applyAlignment="1">
      <alignment/>
    </xf>
    <xf numFmtId="0" fontId="11" fillId="34" borderId="15" xfId="0" applyFont="1" applyFill="1" applyBorder="1" applyAlignment="1">
      <alignment horizontal="center" textRotation="89"/>
    </xf>
    <xf numFmtId="0" fontId="11" fillId="34" borderId="15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9" fontId="11" fillId="34" borderId="12" xfId="0" applyNumberFormat="1" applyFont="1" applyFill="1" applyBorder="1" applyAlignment="1">
      <alignment horizontal="center" wrapText="1"/>
    </xf>
    <xf numFmtId="9" fontId="11" fillId="34" borderId="12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4" fontId="3" fillId="34" borderId="52" xfId="0" applyNumberFormat="1" applyFont="1" applyFill="1" applyBorder="1" applyAlignment="1">
      <alignment horizontal="center"/>
    </xf>
    <xf numFmtId="4" fontId="3" fillId="34" borderId="51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" fontId="11" fillId="34" borderId="52" xfId="0" applyNumberFormat="1" applyFont="1" applyFill="1" applyBorder="1" applyAlignment="1">
      <alignment horizontal="center" wrapText="1"/>
    </xf>
    <xf numFmtId="4" fontId="11" fillId="34" borderId="51" xfId="0" applyNumberFormat="1" applyFont="1" applyFill="1" applyBorder="1" applyAlignment="1">
      <alignment horizontal="center" wrapText="1"/>
    </xf>
    <xf numFmtId="3" fontId="11" fillId="34" borderId="12" xfId="0" applyNumberFormat="1" applyFont="1" applyFill="1" applyBorder="1" applyAlignment="1">
      <alignment horizontal="center"/>
    </xf>
    <xf numFmtId="3" fontId="11" fillId="34" borderId="5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2.cundinamarca.gov.co/planeacion/redpec/entregasenlinea/municipios/BELTRAN/Presupuesto/PROYECTO%20PRESUPUESTO%20201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-11"/>
      <sheetName val="GAT-11"/>
      <sheetName val="CONPES"/>
      <sheetName val="PLAN PLURIANUAL"/>
      <sheetName val="MARCO FISCAL INGRESOS"/>
      <sheetName val="marco fsi egreso"/>
      <sheetName val="ING-DEF"/>
      <sheetName val="Hoja2"/>
    </sheetNames>
    <sheetDataSet>
      <sheetData sheetId="0">
        <row r="6">
          <cell r="C6">
            <v>661636157</v>
          </cell>
          <cell r="D6">
            <v>657373571</v>
          </cell>
          <cell r="H6">
            <v>974862370</v>
          </cell>
          <cell r="I6">
            <v>9500000</v>
          </cell>
          <cell r="K6">
            <v>5866528188</v>
          </cell>
        </row>
        <row r="74">
          <cell r="K74">
            <v>52400950</v>
          </cell>
        </row>
        <row r="75">
          <cell r="K75">
            <v>419959760</v>
          </cell>
        </row>
        <row r="76">
          <cell r="K76">
            <v>50350212</v>
          </cell>
        </row>
        <row r="77">
          <cell r="K77">
            <v>37762657</v>
          </cell>
        </row>
        <row r="78">
          <cell r="K78">
            <v>839520203</v>
          </cell>
        </row>
        <row r="80">
          <cell r="H80">
            <v>0</v>
          </cell>
        </row>
        <row r="84">
          <cell r="K84">
            <v>2724530981</v>
          </cell>
        </row>
        <row r="114">
          <cell r="H114">
            <v>0</v>
          </cell>
          <cell r="I114">
            <v>8500000</v>
          </cell>
        </row>
      </sheetData>
      <sheetData sheetId="1">
        <row r="99">
          <cell r="F99">
            <v>295326171</v>
          </cell>
        </row>
        <row r="109">
          <cell r="F109">
            <v>52400950</v>
          </cell>
        </row>
        <row r="115">
          <cell r="K115">
            <v>2752886527</v>
          </cell>
        </row>
        <row r="128">
          <cell r="F128">
            <v>419959760</v>
          </cell>
        </row>
        <row r="152">
          <cell r="F152">
            <v>50350212</v>
          </cell>
        </row>
        <row r="159">
          <cell r="F159">
            <v>37762657</v>
          </cell>
        </row>
        <row r="166">
          <cell r="F166">
            <v>938254603</v>
          </cell>
        </row>
        <row r="250">
          <cell r="F250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zoomScale="150" zoomScaleNormal="150" zoomScalePageLayoutView="0" workbookViewId="0" topLeftCell="A114">
      <selection activeCell="B125" sqref="B125"/>
    </sheetView>
  </sheetViews>
  <sheetFormatPr defaultColWidth="11.421875" defaultRowHeight="15"/>
  <cols>
    <col min="1" max="1" width="5.00390625" style="2" customWidth="1"/>
    <col min="2" max="2" width="22.421875" style="51" customWidth="1"/>
    <col min="3" max="3" width="9.00390625" style="2" customWidth="1"/>
    <col min="4" max="4" width="9.8515625" style="52" customWidth="1"/>
    <col min="5" max="5" width="11.57421875" style="52" hidden="1" customWidth="1"/>
    <col min="6" max="6" width="10.00390625" style="52" customWidth="1"/>
    <col min="7" max="7" width="9.140625" style="52" bestFit="1" customWidth="1"/>
    <col min="8" max="8" width="7.8515625" style="52" customWidth="1"/>
    <col min="9" max="9" width="9.7109375" style="52" customWidth="1"/>
    <col min="10" max="10" width="8.28125" style="52" customWidth="1"/>
    <col min="11" max="11" width="10.421875" style="52" hidden="1" customWidth="1"/>
    <col min="12" max="12" width="10.57421875" style="52" customWidth="1"/>
    <col min="13" max="13" width="15.28125" style="2" hidden="1" customWidth="1"/>
    <col min="14" max="14" width="13.00390625" style="2" hidden="1" customWidth="1"/>
    <col min="15" max="15" width="15.8515625" style="3" hidden="1" customWidth="1"/>
    <col min="16" max="16" width="3.7109375" style="3" hidden="1" customWidth="1"/>
    <col min="17" max="251" width="11.421875" style="3" customWidth="1"/>
    <col min="252" max="252" width="3.8515625" style="3" customWidth="1"/>
    <col min="253" max="253" width="22.421875" style="3" customWidth="1"/>
    <col min="254" max="254" width="9.00390625" style="3" customWidth="1"/>
    <col min="255" max="255" width="9.28125" style="3" customWidth="1"/>
    <col min="256" max="16384" width="0" style="3" hidden="1" customWidth="1"/>
  </cols>
  <sheetData>
    <row r="1" spans="1:12" ht="9">
      <c r="A1" s="221" t="s">
        <v>458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"/>
    </row>
    <row r="2" spans="1:12" ht="12" thickBot="1">
      <c r="A2" s="222" t="s">
        <v>526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4"/>
    </row>
    <row r="3" spans="1:12" ht="15.75" customHeight="1" thickBot="1">
      <c r="A3" s="5"/>
      <c r="B3" s="6"/>
      <c r="C3" s="218" t="s">
        <v>448</v>
      </c>
      <c r="D3" s="219"/>
      <c r="E3" s="219"/>
      <c r="F3" s="219"/>
      <c r="G3" s="217" t="s">
        <v>0</v>
      </c>
      <c r="H3" s="217"/>
      <c r="I3" s="217"/>
      <c r="J3" s="217"/>
      <c r="K3" s="7"/>
      <c r="L3" s="8"/>
    </row>
    <row r="4" spans="1:15" ht="22.5" customHeight="1" thickBo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91" t="s">
        <v>450</v>
      </c>
      <c r="G4" s="12" t="s">
        <v>453</v>
      </c>
      <c r="H4" s="12" t="s">
        <v>520</v>
      </c>
      <c r="I4" s="12" t="s">
        <v>7</v>
      </c>
      <c r="J4" s="12" t="s">
        <v>8</v>
      </c>
      <c r="K4" s="13" t="s">
        <v>9</v>
      </c>
      <c r="L4" s="80" t="s">
        <v>10</v>
      </c>
      <c r="O4" s="14"/>
    </row>
    <row r="5" spans="1:16" ht="10.5" thickBot="1">
      <c r="A5" s="15"/>
      <c r="B5" s="15"/>
      <c r="C5" s="16" t="s">
        <v>11</v>
      </c>
      <c r="D5" s="16" t="s">
        <v>449</v>
      </c>
      <c r="E5" s="16" t="s">
        <v>12</v>
      </c>
      <c r="F5" s="16" t="s">
        <v>451</v>
      </c>
      <c r="G5" s="17" t="s">
        <v>454</v>
      </c>
      <c r="H5" s="17"/>
      <c r="I5" s="17" t="s">
        <v>3</v>
      </c>
      <c r="J5" s="17" t="s">
        <v>14</v>
      </c>
      <c r="K5" s="18" t="s">
        <v>15</v>
      </c>
      <c r="L5" s="19" t="s">
        <v>16</v>
      </c>
      <c r="M5" s="20"/>
      <c r="N5" s="21"/>
      <c r="O5" s="22" t="s">
        <v>10</v>
      </c>
      <c r="P5" s="22" t="s">
        <v>17</v>
      </c>
    </row>
    <row r="6" spans="1:17" ht="9.75">
      <c r="A6" s="100">
        <v>0</v>
      </c>
      <c r="B6" s="101" t="s">
        <v>18</v>
      </c>
      <c r="C6" s="102">
        <f aca="true" t="shared" si="0" ref="C6:J6">+C7+C99</f>
        <v>485160000</v>
      </c>
      <c r="D6" s="102">
        <f t="shared" si="0"/>
        <v>485251509</v>
      </c>
      <c r="E6" s="102">
        <f t="shared" si="0"/>
        <v>970411509</v>
      </c>
      <c r="F6" s="102">
        <f t="shared" si="0"/>
        <v>2000000</v>
      </c>
      <c r="G6" s="102">
        <f t="shared" si="0"/>
        <v>1482490542</v>
      </c>
      <c r="H6" s="102">
        <f t="shared" si="0"/>
        <v>40000000</v>
      </c>
      <c r="I6" s="102">
        <f t="shared" si="0"/>
        <v>183892433.98</v>
      </c>
      <c r="J6" s="102">
        <f t="shared" si="0"/>
        <v>0</v>
      </c>
      <c r="K6" s="102">
        <f>G6+H6+I6+J6</f>
        <v>1706382975.98</v>
      </c>
      <c r="L6" s="103">
        <f>+L7+L99</f>
        <v>2678794484.98</v>
      </c>
      <c r="M6" s="103">
        <f>+M7+M99</f>
        <v>0</v>
      </c>
      <c r="N6" s="103">
        <f>+N7+N99</f>
        <v>0</v>
      </c>
      <c r="O6" s="103">
        <f>+O7+O99</f>
        <v>1432009728</v>
      </c>
      <c r="P6" s="103">
        <f>+P7+P99</f>
        <v>0</v>
      </c>
      <c r="Q6" s="27"/>
    </row>
    <row r="7" spans="1:16" ht="15" customHeight="1">
      <c r="A7" s="100">
        <v>1</v>
      </c>
      <c r="B7" s="101" t="s">
        <v>19</v>
      </c>
      <c r="C7" s="102">
        <f>+C8</f>
        <v>485160000</v>
      </c>
      <c r="D7" s="102">
        <f aca="true" t="shared" si="1" ref="D7:J7">+D8</f>
        <v>485251509</v>
      </c>
      <c r="E7" s="102">
        <f t="shared" si="1"/>
        <v>970411509</v>
      </c>
      <c r="F7" s="102">
        <f t="shared" si="1"/>
        <v>2000000</v>
      </c>
      <c r="G7" s="102">
        <f t="shared" si="1"/>
        <v>1482490542</v>
      </c>
      <c r="H7" s="102">
        <f t="shared" si="1"/>
        <v>40000000</v>
      </c>
      <c r="I7" s="102">
        <f t="shared" si="1"/>
        <v>183892433.98</v>
      </c>
      <c r="J7" s="102">
        <f t="shared" si="1"/>
        <v>0</v>
      </c>
      <c r="K7" s="102">
        <f>G7+H7+I7+J7</f>
        <v>1706382975.98</v>
      </c>
      <c r="L7" s="103">
        <f>+L8+L26</f>
        <v>2678794484.98</v>
      </c>
      <c r="M7" s="103">
        <f>+M8+M26</f>
        <v>0</v>
      </c>
      <c r="N7" s="103">
        <f>+N8+N26</f>
        <v>0</v>
      </c>
      <c r="O7" s="103">
        <f>+O8+O26</f>
        <v>1432009728</v>
      </c>
      <c r="P7" s="103">
        <f>+P8+P26</f>
        <v>0</v>
      </c>
    </row>
    <row r="8" spans="1:16" ht="20.25" customHeight="1">
      <c r="A8" s="100" t="s">
        <v>20</v>
      </c>
      <c r="B8" s="101" t="s">
        <v>519</v>
      </c>
      <c r="C8" s="102">
        <f>+C9+C22+C26</f>
        <v>485160000</v>
      </c>
      <c r="D8" s="102">
        <f aca="true" t="shared" si="2" ref="D8:J8">+D9+D22+D26</f>
        <v>485251509</v>
      </c>
      <c r="E8" s="102">
        <f t="shared" si="2"/>
        <v>970411509</v>
      </c>
      <c r="F8" s="102">
        <f t="shared" si="2"/>
        <v>2000000</v>
      </c>
      <c r="G8" s="102">
        <f t="shared" si="2"/>
        <v>1482490542</v>
      </c>
      <c r="H8" s="102">
        <f t="shared" si="2"/>
        <v>40000000</v>
      </c>
      <c r="I8" s="102">
        <f t="shared" si="2"/>
        <v>183892433.98</v>
      </c>
      <c r="J8" s="102">
        <f t="shared" si="2"/>
        <v>0</v>
      </c>
      <c r="K8" s="102">
        <f>G8+H8+I8+J8</f>
        <v>1706382975.98</v>
      </c>
      <c r="L8" s="103">
        <f>+L9+L22</f>
        <v>461200000</v>
      </c>
      <c r="M8" s="103">
        <f>+M9+M22</f>
        <v>0</v>
      </c>
      <c r="N8" s="103">
        <f>+N9+N22</f>
        <v>0</v>
      </c>
      <c r="O8" s="103">
        <f>+O9+O22</f>
        <v>1432009728</v>
      </c>
      <c r="P8" s="103">
        <f>+P9+P22</f>
        <v>0</v>
      </c>
    </row>
    <row r="9" spans="1:16" ht="12" customHeight="1">
      <c r="A9" s="100" t="s">
        <v>21</v>
      </c>
      <c r="B9" s="101" t="s">
        <v>22</v>
      </c>
      <c r="C9" s="102">
        <f aca="true" t="shared" si="3" ref="C9:P9">SUM(C10:C21)</f>
        <v>442200000</v>
      </c>
      <c r="D9" s="102">
        <f t="shared" si="3"/>
        <v>0</v>
      </c>
      <c r="E9" s="102">
        <f t="shared" si="3"/>
        <v>442200000</v>
      </c>
      <c r="F9" s="102">
        <f t="shared" si="3"/>
        <v>2000000</v>
      </c>
      <c r="G9" s="102">
        <f t="shared" si="3"/>
        <v>0</v>
      </c>
      <c r="H9" s="102">
        <f t="shared" si="3"/>
        <v>0</v>
      </c>
      <c r="I9" s="102">
        <f t="shared" si="3"/>
        <v>2000000</v>
      </c>
      <c r="J9" s="102">
        <f t="shared" si="3"/>
        <v>0</v>
      </c>
      <c r="K9" s="102">
        <f t="shared" si="3"/>
        <v>2000000</v>
      </c>
      <c r="L9" s="103">
        <f t="shared" si="3"/>
        <v>446200000</v>
      </c>
      <c r="M9" s="103">
        <f t="shared" si="3"/>
        <v>0</v>
      </c>
      <c r="N9" s="103">
        <f t="shared" si="3"/>
        <v>0</v>
      </c>
      <c r="O9" s="103">
        <f t="shared" si="3"/>
        <v>700884157</v>
      </c>
      <c r="P9" s="103">
        <f t="shared" si="3"/>
        <v>0</v>
      </c>
    </row>
    <row r="10" spans="1:25" ht="21" customHeight="1">
      <c r="A10" s="29">
        <v>1</v>
      </c>
      <c r="B10" s="30" t="s">
        <v>23</v>
      </c>
      <c r="C10" s="21">
        <v>250000000</v>
      </c>
      <c r="D10" s="21"/>
      <c r="E10" s="21">
        <f>C10+D10</f>
        <v>250000000</v>
      </c>
      <c r="F10" s="21"/>
      <c r="G10" s="21"/>
      <c r="H10" s="21"/>
      <c r="I10" s="21"/>
      <c r="J10" s="21"/>
      <c r="K10" s="31">
        <f>G10+H10+I10+J10</f>
        <v>0</v>
      </c>
      <c r="L10" s="32">
        <f>+C10+D10+F10+G10+H10+I10+J10</f>
        <v>250000000</v>
      </c>
      <c r="M10" s="20"/>
      <c r="N10" s="21"/>
      <c r="O10" s="27">
        <f>C22</f>
        <v>0</v>
      </c>
      <c r="Y10" s="3">
        <v>161905401</v>
      </c>
    </row>
    <row r="11" spans="1:15" ht="20.25" customHeight="1">
      <c r="A11" s="29">
        <v>2</v>
      </c>
      <c r="B11" s="30" t="s">
        <v>24</v>
      </c>
      <c r="C11" s="21">
        <v>150000000</v>
      </c>
      <c r="D11" s="21"/>
      <c r="E11" s="21">
        <f aca="true" t="shared" si="4" ref="E11:E25">C11+D11</f>
        <v>150000000</v>
      </c>
      <c r="F11" s="21"/>
      <c r="G11" s="21"/>
      <c r="H11" s="21"/>
      <c r="I11" s="21"/>
      <c r="J11" s="21"/>
      <c r="K11" s="31">
        <f aca="true" t="shared" si="5" ref="K11:K21">G11+H11+I11+J11</f>
        <v>0</v>
      </c>
      <c r="L11" s="32">
        <f aca="true" t="shared" si="6" ref="L11:L25">+C11+D11+F11+G11+H11+I11+J11</f>
        <v>150000000</v>
      </c>
      <c r="M11" s="20"/>
      <c r="N11" s="21"/>
      <c r="O11" s="27">
        <f>O9-O10</f>
        <v>1432009728</v>
      </c>
    </row>
    <row r="12" spans="1:15" ht="16.5" customHeight="1">
      <c r="A12" s="29">
        <v>3</v>
      </c>
      <c r="B12" s="30" t="s">
        <v>25</v>
      </c>
      <c r="C12" s="21">
        <v>25000000</v>
      </c>
      <c r="D12" s="21"/>
      <c r="E12" s="21">
        <f t="shared" si="4"/>
        <v>25000000</v>
      </c>
      <c r="F12" s="21"/>
      <c r="G12" s="21"/>
      <c r="H12" s="21"/>
      <c r="I12" s="21"/>
      <c r="J12" s="21"/>
      <c r="K12" s="31">
        <f t="shared" si="5"/>
        <v>0</v>
      </c>
      <c r="L12" s="32">
        <f t="shared" si="6"/>
        <v>25000000</v>
      </c>
      <c r="M12" s="20"/>
      <c r="N12" s="21"/>
      <c r="O12" s="27">
        <f>O11*1.5%</f>
        <v>21480145.919999998</v>
      </c>
    </row>
    <row r="13" spans="1:14" ht="15" customHeight="1">
      <c r="A13" s="29">
        <v>4</v>
      </c>
      <c r="B13" s="30" t="s">
        <v>26</v>
      </c>
      <c r="C13" s="21">
        <v>2000000</v>
      </c>
      <c r="D13" s="21"/>
      <c r="E13" s="21">
        <f t="shared" si="4"/>
        <v>2000000</v>
      </c>
      <c r="F13" s="21"/>
      <c r="G13" s="21"/>
      <c r="H13" s="21"/>
      <c r="I13" s="21"/>
      <c r="J13" s="21"/>
      <c r="K13" s="31">
        <f t="shared" si="5"/>
        <v>0</v>
      </c>
      <c r="L13" s="32">
        <f t="shared" si="6"/>
        <v>2000000</v>
      </c>
      <c r="M13" s="20"/>
      <c r="N13" s="21"/>
    </row>
    <row r="14" spans="1:14" ht="12.75" customHeight="1">
      <c r="A14" s="29">
        <v>5</v>
      </c>
      <c r="B14" s="30" t="s">
        <v>27</v>
      </c>
      <c r="C14" s="21">
        <f>+C12*0.15</f>
        <v>3750000</v>
      </c>
      <c r="D14" s="21"/>
      <c r="E14" s="21">
        <f t="shared" si="4"/>
        <v>3750000</v>
      </c>
      <c r="F14" s="21"/>
      <c r="G14" s="21"/>
      <c r="H14" s="21"/>
      <c r="I14" s="21"/>
      <c r="J14" s="21"/>
      <c r="K14" s="31">
        <f t="shared" si="5"/>
        <v>0</v>
      </c>
      <c r="L14" s="32">
        <f t="shared" si="6"/>
        <v>3750000</v>
      </c>
      <c r="M14" s="20"/>
      <c r="N14" s="21"/>
    </row>
    <row r="15" spans="1:14" ht="13.5" customHeight="1">
      <c r="A15" s="29">
        <v>6</v>
      </c>
      <c r="B15" s="30" t="s">
        <v>28</v>
      </c>
      <c r="C15" s="21">
        <f>+C13*0.15</f>
        <v>300000</v>
      </c>
      <c r="D15" s="21"/>
      <c r="E15" s="21">
        <f t="shared" si="4"/>
        <v>300000</v>
      </c>
      <c r="F15" s="21"/>
      <c r="G15" s="21"/>
      <c r="H15" s="21"/>
      <c r="I15" s="21"/>
      <c r="J15" s="21"/>
      <c r="K15" s="31">
        <f t="shared" si="5"/>
        <v>0</v>
      </c>
      <c r="L15" s="32">
        <f t="shared" si="6"/>
        <v>300000</v>
      </c>
      <c r="M15" s="20"/>
      <c r="N15" s="21"/>
    </row>
    <row r="16" spans="1:14" ht="12.75" customHeight="1">
      <c r="A16" s="29">
        <v>7</v>
      </c>
      <c r="B16" s="30" t="s">
        <v>29</v>
      </c>
      <c r="C16" s="21">
        <v>100000</v>
      </c>
      <c r="D16" s="21"/>
      <c r="E16" s="21">
        <f t="shared" si="4"/>
        <v>100000</v>
      </c>
      <c r="F16" s="21"/>
      <c r="G16" s="21"/>
      <c r="H16" s="21"/>
      <c r="I16" s="21"/>
      <c r="J16" s="21"/>
      <c r="K16" s="31">
        <f t="shared" si="5"/>
        <v>0</v>
      </c>
      <c r="L16" s="32">
        <f t="shared" si="6"/>
        <v>100000</v>
      </c>
      <c r="M16" s="20"/>
      <c r="N16" s="21"/>
    </row>
    <row r="17" spans="1:14" ht="12.75" customHeight="1">
      <c r="A17" s="29">
        <v>8</v>
      </c>
      <c r="B17" s="30" t="s">
        <v>30</v>
      </c>
      <c r="C17" s="21">
        <v>1000000</v>
      </c>
      <c r="D17" s="21"/>
      <c r="E17" s="21">
        <f t="shared" si="4"/>
        <v>1000000</v>
      </c>
      <c r="F17" s="21"/>
      <c r="G17" s="21"/>
      <c r="H17" s="21"/>
      <c r="I17" s="21"/>
      <c r="J17" s="21"/>
      <c r="K17" s="31">
        <f t="shared" si="5"/>
        <v>0</v>
      </c>
      <c r="L17" s="32">
        <f t="shared" si="6"/>
        <v>1000000</v>
      </c>
      <c r="M17" s="20"/>
      <c r="N17" s="21"/>
    </row>
    <row r="18" spans="1:14" ht="21.75" customHeight="1">
      <c r="A18" s="29">
        <v>9</v>
      </c>
      <c r="B18" s="30" t="s">
        <v>31</v>
      </c>
      <c r="C18" s="21">
        <v>50000</v>
      </c>
      <c r="D18" s="21"/>
      <c r="E18" s="21">
        <f t="shared" si="4"/>
        <v>50000</v>
      </c>
      <c r="F18" s="21"/>
      <c r="G18" s="21"/>
      <c r="H18" s="21"/>
      <c r="I18" s="21"/>
      <c r="J18" s="21"/>
      <c r="K18" s="31">
        <f t="shared" si="5"/>
        <v>0</v>
      </c>
      <c r="L18" s="32">
        <f t="shared" si="6"/>
        <v>50000</v>
      </c>
      <c r="M18" s="20"/>
      <c r="N18" s="21"/>
    </row>
    <row r="19" spans="1:14" ht="13.5" customHeight="1">
      <c r="A19" s="29">
        <v>10</v>
      </c>
      <c r="B19" s="30" t="s">
        <v>32</v>
      </c>
      <c r="C19" s="21"/>
      <c r="D19" s="21"/>
      <c r="E19" s="21">
        <f t="shared" si="4"/>
        <v>0</v>
      </c>
      <c r="F19" s="21"/>
      <c r="G19" s="21"/>
      <c r="H19" s="21"/>
      <c r="I19" s="21">
        <v>2000000</v>
      </c>
      <c r="J19" s="21"/>
      <c r="K19" s="31">
        <f t="shared" si="5"/>
        <v>2000000</v>
      </c>
      <c r="L19" s="32">
        <f t="shared" si="6"/>
        <v>2000000</v>
      </c>
      <c r="M19" s="20"/>
      <c r="N19" s="21"/>
    </row>
    <row r="20" spans="1:14" ht="15" customHeight="1">
      <c r="A20" s="29">
        <v>11</v>
      </c>
      <c r="B20" s="30" t="s">
        <v>33</v>
      </c>
      <c r="C20" s="21"/>
      <c r="D20" s="21"/>
      <c r="E20" s="21">
        <f t="shared" si="4"/>
        <v>0</v>
      </c>
      <c r="F20" s="21">
        <v>2000000</v>
      </c>
      <c r="G20" s="21"/>
      <c r="H20" s="21"/>
      <c r="I20" s="21"/>
      <c r="J20" s="21"/>
      <c r="K20" s="31">
        <f t="shared" si="5"/>
        <v>0</v>
      </c>
      <c r="L20" s="32">
        <f t="shared" si="6"/>
        <v>2000000</v>
      </c>
      <c r="M20" s="20"/>
      <c r="N20" s="21"/>
    </row>
    <row r="21" spans="1:14" ht="10.5" customHeight="1">
      <c r="A21" s="29">
        <v>12</v>
      </c>
      <c r="B21" s="30" t="s">
        <v>470</v>
      </c>
      <c r="C21" s="21">
        <v>10000000</v>
      </c>
      <c r="D21" s="21"/>
      <c r="E21" s="21">
        <f t="shared" si="4"/>
        <v>10000000</v>
      </c>
      <c r="F21" s="21"/>
      <c r="G21" s="21"/>
      <c r="H21" s="21"/>
      <c r="I21" s="21"/>
      <c r="J21" s="21"/>
      <c r="K21" s="31">
        <f t="shared" si="5"/>
        <v>0</v>
      </c>
      <c r="L21" s="32">
        <f t="shared" si="6"/>
        <v>10000000</v>
      </c>
      <c r="M21" s="20"/>
      <c r="N21" s="21"/>
    </row>
    <row r="22" spans="1:16" ht="9.75">
      <c r="A22" s="92" t="s">
        <v>34</v>
      </c>
      <c r="B22" s="93" t="s">
        <v>35</v>
      </c>
      <c r="C22" s="94">
        <f aca="true" t="shared" si="7" ref="C22:P22">SUM(C23:C25)</f>
        <v>0</v>
      </c>
      <c r="D22" s="94">
        <f t="shared" si="7"/>
        <v>0</v>
      </c>
      <c r="E22" s="94">
        <f t="shared" si="7"/>
        <v>0</v>
      </c>
      <c r="F22" s="94">
        <f t="shared" si="7"/>
        <v>0</v>
      </c>
      <c r="G22" s="94">
        <f t="shared" si="7"/>
        <v>0</v>
      </c>
      <c r="H22" s="94">
        <f t="shared" si="7"/>
        <v>0</v>
      </c>
      <c r="I22" s="94">
        <f t="shared" si="7"/>
        <v>15000000</v>
      </c>
      <c r="J22" s="94">
        <f t="shared" si="7"/>
        <v>0</v>
      </c>
      <c r="K22" s="94">
        <f t="shared" si="7"/>
        <v>15000000</v>
      </c>
      <c r="L22" s="95">
        <f t="shared" si="7"/>
        <v>15000000</v>
      </c>
      <c r="M22" s="95">
        <f t="shared" si="7"/>
        <v>0</v>
      </c>
      <c r="N22" s="95">
        <f t="shared" si="7"/>
        <v>0</v>
      </c>
      <c r="O22" s="95">
        <f t="shared" si="7"/>
        <v>0</v>
      </c>
      <c r="P22" s="95">
        <f t="shared" si="7"/>
        <v>0</v>
      </c>
    </row>
    <row r="23" spans="1:14" ht="8.25">
      <c r="A23" s="29">
        <v>1</v>
      </c>
      <c r="B23" s="30" t="s">
        <v>36</v>
      </c>
      <c r="C23" s="21">
        <v>0</v>
      </c>
      <c r="D23" s="21"/>
      <c r="E23" s="21">
        <f t="shared" si="4"/>
        <v>0</v>
      </c>
      <c r="F23" s="21"/>
      <c r="G23" s="21"/>
      <c r="H23" s="21"/>
      <c r="I23" s="21"/>
      <c r="J23" s="21"/>
      <c r="K23" s="31">
        <f>G23+H23+I23+J23</f>
        <v>0</v>
      </c>
      <c r="L23" s="32">
        <f t="shared" si="6"/>
        <v>0</v>
      </c>
      <c r="M23" s="20"/>
      <c r="N23" s="21"/>
    </row>
    <row r="24" spans="1:14" ht="8.25">
      <c r="A24" s="29">
        <v>2</v>
      </c>
      <c r="B24" s="30" t="s">
        <v>37</v>
      </c>
      <c r="C24" s="21"/>
      <c r="D24" s="21"/>
      <c r="E24" s="21">
        <f t="shared" si="4"/>
        <v>0</v>
      </c>
      <c r="F24" s="21"/>
      <c r="G24" s="21"/>
      <c r="H24" s="21"/>
      <c r="I24" s="21">
        <v>15000000</v>
      </c>
      <c r="J24" s="21"/>
      <c r="K24" s="31">
        <f>G24+H24+I24+J24</f>
        <v>15000000</v>
      </c>
      <c r="L24" s="32">
        <f t="shared" si="6"/>
        <v>15000000</v>
      </c>
      <c r="M24" s="20"/>
      <c r="N24" s="21"/>
    </row>
    <row r="25" spans="1:14" ht="8.25">
      <c r="A25" s="29">
        <v>3</v>
      </c>
      <c r="B25" s="30"/>
      <c r="C25" s="21"/>
      <c r="D25" s="21"/>
      <c r="E25" s="21">
        <f t="shared" si="4"/>
        <v>0</v>
      </c>
      <c r="F25" s="21"/>
      <c r="G25" s="21"/>
      <c r="H25" s="21"/>
      <c r="I25" s="21"/>
      <c r="J25" s="21"/>
      <c r="K25" s="31">
        <f>G25+H25+I25+J25</f>
        <v>0</v>
      </c>
      <c r="L25" s="32">
        <f t="shared" si="6"/>
        <v>0</v>
      </c>
      <c r="M25" s="20"/>
      <c r="N25" s="21"/>
    </row>
    <row r="26" spans="1:16" ht="21.75" customHeight="1">
      <c r="A26" s="92" t="s">
        <v>38</v>
      </c>
      <c r="B26" s="93" t="s">
        <v>39</v>
      </c>
      <c r="C26" s="94">
        <f aca="true" t="shared" si="8" ref="C26:P26">+C27+C43+C47+C53+C57+C62+C70</f>
        <v>42960000</v>
      </c>
      <c r="D26" s="94">
        <f t="shared" si="8"/>
        <v>485251509</v>
      </c>
      <c r="E26" s="94">
        <f t="shared" si="8"/>
        <v>528211509</v>
      </c>
      <c r="F26" s="94">
        <f t="shared" si="8"/>
        <v>0</v>
      </c>
      <c r="G26" s="94">
        <f t="shared" si="8"/>
        <v>1482490542</v>
      </c>
      <c r="H26" s="94">
        <f t="shared" si="8"/>
        <v>40000000</v>
      </c>
      <c r="I26" s="94">
        <f t="shared" si="8"/>
        <v>166892433.98</v>
      </c>
      <c r="J26" s="94">
        <f t="shared" si="8"/>
        <v>0</v>
      </c>
      <c r="K26" s="94">
        <f t="shared" si="8"/>
        <v>1689382975.98</v>
      </c>
      <c r="L26" s="95">
        <f t="shared" si="8"/>
        <v>2217594484.98</v>
      </c>
      <c r="M26" s="95">
        <f t="shared" si="8"/>
        <v>0</v>
      </c>
      <c r="N26" s="95">
        <f t="shared" si="8"/>
        <v>0</v>
      </c>
      <c r="O26" s="95">
        <f t="shared" si="8"/>
        <v>0</v>
      </c>
      <c r="P26" s="95">
        <f t="shared" si="8"/>
        <v>0</v>
      </c>
    </row>
    <row r="27" spans="1:16" ht="16.5" customHeight="1">
      <c r="A27" s="92" t="s">
        <v>40</v>
      </c>
      <c r="B27" s="93" t="s">
        <v>41</v>
      </c>
      <c r="C27" s="94">
        <f aca="true" t="shared" si="9" ref="C27:P27">SUM(C28:C42)</f>
        <v>16500000</v>
      </c>
      <c r="D27" s="94">
        <f t="shared" si="9"/>
        <v>0</v>
      </c>
      <c r="E27" s="94">
        <f t="shared" si="9"/>
        <v>16500000</v>
      </c>
      <c r="F27" s="94">
        <f t="shared" si="9"/>
        <v>0</v>
      </c>
      <c r="G27" s="94">
        <f t="shared" si="9"/>
        <v>0</v>
      </c>
      <c r="H27" s="94">
        <f t="shared" si="9"/>
        <v>40000000</v>
      </c>
      <c r="I27" s="94">
        <f t="shared" si="9"/>
        <v>0</v>
      </c>
      <c r="J27" s="94">
        <f t="shared" si="9"/>
        <v>0</v>
      </c>
      <c r="K27" s="94">
        <f t="shared" si="9"/>
        <v>40000000</v>
      </c>
      <c r="L27" s="95">
        <f t="shared" si="9"/>
        <v>56500000</v>
      </c>
      <c r="M27" s="95">
        <f t="shared" si="9"/>
        <v>0</v>
      </c>
      <c r="N27" s="95">
        <f t="shared" si="9"/>
        <v>0</v>
      </c>
      <c r="O27" s="95">
        <f t="shared" si="9"/>
        <v>0</v>
      </c>
      <c r="P27" s="95">
        <f t="shared" si="9"/>
        <v>0</v>
      </c>
    </row>
    <row r="28" spans="1:16" ht="15" customHeight="1">
      <c r="A28" s="29">
        <v>1</v>
      </c>
      <c r="B28" s="30" t="s">
        <v>42</v>
      </c>
      <c r="C28" s="21">
        <v>100000</v>
      </c>
      <c r="D28" s="21"/>
      <c r="E28" s="21">
        <f aca="true" t="shared" si="10" ref="E28:E42">C28+D28</f>
        <v>100000</v>
      </c>
      <c r="F28" s="21"/>
      <c r="G28" s="21"/>
      <c r="H28" s="21"/>
      <c r="I28" s="21"/>
      <c r="J28" s="21"/>
      <c r="K28" s="31">
        <f aca="true" t="shared" si="11" ref="K28:K61">G28+H28+I28+J28</f>
        <v>0</v>
      </c>
      <c r="L28" s="32">
        <f aca="true" t="shared" si="12" ref="L28:L61">+C28+D28+F28+G28+H28+I28+J28</f>
        <v>100000</v>
      </c>
      <c r="M28" s="20"/>
      <c r="N28" s="21"/>
      <c r="O28" s="28"/>
      <c r="P28" s="28"/>
    </row>
    <row r="29" spans="1:16" ht="12.75" customHeight="1">
      <c r="A29" s="29">
        <v>2</v>
      </c>
      <c r="B29" s="30" t="s">
        <v>43</v>
      </c>
      <c r="C29" s="21">
        <v>100000</v>
      </c>
      <c r="D29" s="21"/>
      <c r="E29" s="21">
        <f t="shared" si="10"/>
        <v>100000</v>
      </c>
      <c r="F29" s="21"/>
      <c r="G29" s="21"/>
      <c r="H29" s="21"/>
      <c r="I29" s="21"/>
      <c r="J29" s="21"/>
      <c r="K29" s="31">
        <f t="shared" si="11"/>
        <v>0</v>
      </c>
      <c r="L29" s="32">
        <f t="shared" si="12"/>
        <v>100000</v>
      </c>
      <c r="M29" s="20"/>
      <c r="N29" s="21"/>
      <c r="O29" s="28"/>
      <c r="P29" s="28"/>
    </row>
    <row r="30" spans="1:16" ht="12" customHeight="1">
      <c r="A30" s="29">
        <v>3</v>
      </c>
      <c r="B30" s="30" t="s">
        <v>44</v>
      </c>
      <c r="C30" s="21">
        <v>5000000</v>
      </c>
      <c r="D30" s="21"/>
      <c r="E30" s="21">
        <f t="shared" si="10"/>
        <v>5000000</v>
      </c>
      <c r="F30" s="21"/>
      <c r="G30" s="21"/>
      <c r="H30" s="21"/>
      <c r="I30" s="21"/>
      <c r="J30" s="21"/>
      <c r="K30" s="31">
        <f t="shared" si="11"/>
        <v>0</v>
      </c>
      <c r="L30" s="32">
        <f t="shared" si="12"/>
        <v>5000000</v>
      </c>
      <c r="M30" s="20"/>
      <c r="N30" s="21"/>
      <c r="O30" s="28"/>
      <c r="P30" s="28"/>
    </row>
    <row r="31" spans="1:16" ht="19.5" customHeight="1">
      <c r="A31" s="29">
        <v>4</v>
      </c>
      <c r="B31" s="30" t="s">
        <v>45</v>
      </c>
      <c r="C31" s="21">
        <v>5000000</v>
      </c>
      <c r="D31" s="21"/>
      <c r="E31" s="21">
        <f t="shared" si="10"/>
        <v>5000000</v>
      </c>
      <c r="F31" s="21"/>
      <c r="G31" s="21"/>
      <c r="H31" s="21"/>
      <c r="I31" s="21"/>
      <c r="J31" s="21"/>
      <c r="K31" s="31">
        <f t="shared" si="11"/>
        <v>0</v>
      </c>
      <c r="L31" s="32">
        <f t="shared" si="12"/>
        <v>5000000</v>
      </c>
      <c r="M31" s="20"/>
      <c r="N31" s="21"/>
      <c r="O31" s="28"/>
      <c r="P31" s="28"/>
    </row>
    <row r="32" spans="1:16" ht="12.75" customHeight="1">
      <c r="A32" s="29">
        <v>5</v>
      </c>
      <c r="B32" s="30" t="s">
        <v>46</v>
      </c>
      <c r="C32" s="21">
        <v>5000000</v>
      </c>
      <c r="D32" s="21"/>
      <c r="E32" s="21">
        <f t="shared" si="10"/>
        <v>5000000</v>
      </c>
      <c r="F32" s="21"/>
      <c r="G32" s="21"/>
      <c r="H32" s="21"/>
      <c r="I32" s="21"/>
      <c r="J32" s="21"/>
      <c r="K32" s="31">
        <f t="shared" si="11"/>
        <v>0</v>
      </c>
      <c r="L32" s="32">
        <f t="shared" si="12"/>
        <v>5000000</v>
      </c>
      <c r="M32" s="20"/>
      <c r="N32" s="21"/>
      <c r="O32" s="28"/>
      <c r="P32" s="28"/>
    </row>
    <row r="33" spans="1:16" ht="14.25" customHeight="1">
      <c r="A33" s="29">
        <v>6</v>
      </c>
      <c r="B33" s="30" t="s">
        <v>47</v>
      </c>
      <c r="C33" s="21">
        <v>100000</v>
      </c>
      <c r="D33" s="21"/>
      <c r="E33" s="21">
        <f t="shared" si="10"/>
        <v>100000</v>
      </c>
      <c r="F33" s="21"/>
      <c r="G33" s="21"/>
      <c r="H33" s="21"/>
      <c r="I33" s="21"/>
      <c r="J33" s="21"/>
      <c r="K33" s="31">
        <f t="shared" si="11"/>
        <v>0</v>
      </c>
      <c r="L33" s="32">
        <f t="shared" si="12"/>
        <v>100000</v>
      </c>
      <c r="M33" s="20"/>
      <c r="N33" s="21"/>
      <c r="O33" s="28"/>
      <c r="P33" s="28"/>
    </row>
    <row r="34" spans="1:16" ht="12.75" customHeight="1">
      <c r="A34" s="29">
        <v>7</v>
      </c>
      <c r="B34" s="30" t="s">
        <v>48</v>
      </c>
      <c r="C34" s="21">
        <v>500000</v>
      </c>
      <c r="D34" s="21"/>
      <c r="E34" s="21">
        <f t="shared" si="10"/>
        <v>500000</v>
      </c>
      <c r="F34" s="21"/>
      <c r="G34" s="21"/>
      <c r="H34" s="21"/>
      <c r="I34" s="21"/>
      <c r="J34" s="21"/>
      <c r="K34" s="31">
        <f t="shared" si="11"/>
        <v>0</v>
      </c>
      <c r="L34" s="32">
        <f t="shared" si="12"/>
        <v>500000</v>
      </c>
      <c r="M34" s="20"/>
      <c r="N34" s="21"/>
      <c r="O34" s="28"/>
      <c r="P34" s="28"/>
    </row>
    <row r="35" spans="1:16" ht="12.75" customHeight="1">
      <c r="A35" s="29">
        <v>8</v>
      </c>
      <c r="B35" s="30" t="s">
        <v>49</v>
      </c>
      <c r="C35" s="21">
        <v>0</v>
      </c>
      <c r="D35" s="21"/>
      <c r="E35" s="21">
        <f t="shared" si="10"/>
        <v>0</v>
      </c>
      <c r="F35" s="21"/>
      <c r="G35" s="21"/>
      <c r="H35" s="21"/>
      <c r="I35" s="21"/>
      <c r="J35" s="21"/>
      <c r="K35" s="31">
        <f t="shared" si="11"/>
        <v>0</v>
      </c>
      <c r="L35" s="32">
        <f t="shared" si="12"/>
        <v>0</v>
      </c>
      <c r="M35" s="20"/>
      <c r="N35" s="21"/>
      <c r="O35" s="28"/>
      <c r="P35" s="28"/>
    </row>
    <row r="36" spans="1:16" ht="12" customHeight="1">
      <c r="A36" s="29">
        <v>9</v>
      </c>
      <c r="B36" s="30" t="s">
        <v>50</v>
      </c>
      <c r="C36" s="21">
        <v>0</v>
      </c>
      <c r="D36" s="21"/>
      <c r="E36" s="21">
        <f t="shared" si="10"/>
        <v>0</v>
      </c>
      <c r="F36" s="21"/>
      <c r="G36" s="21"/>
      <c r="H36" s="21"/>
      <c r="I36" s="21"/>
      <c r="J36" s="21"/>
      <c r="K36" s="31">
        <f t="shared" si="11"/>
        <v>0</v>
      </c>
      <c r="L36" s="32">
        <f t="shared" si="12"/>
        <v>0</v>
      </c>
      <c r="M36" s="20"/>
      <c r="N36" s="21"/>
      <c r="O36" s="28"/>
      <c r="P36" s="28"/>
    </row>
    <row r="37" spans="1:16" ht="15.75" customHeight="1">
      <c r="A37" s="29">
        <v>10</v>
      </c>
      <c r="B37" s="30" t="s">
        <v>51</v>
      </c>
      <c r="C37" s="21">
        <v>0</v>
      </c>
      <c r="D37" s="21"/>
      <c r="E37" s="21">
        <f t="shared" si="10"/>
        <v>0</v>
      </c>
      <c r="F37" s="21"/>
      <c r="G37" s="21"/>
      <c r="H37" s="21"/>
      <c r="I37" s="21"/>
      <c r="J37" s="21"/>
      <c r="K37" s="31">
        <f t="shared" si="11"/>
        <v>0</v>
      </c>
      <c r="L37" s="32">
        <f t="shared" si="12"/>
        <v>0</v>
      </c>
      <c r="M37" s="20"/>
      <c r="N37" s="21"/>
      <c r="O37" s="28"/>
      <c r="P37" s="28"/>
    </row>
    <row r="38" spans="1:16" ht="12.75" customHeight="1">
      <c r="A38" s="29">
        <v>11</v>
      </c>
      <c r="B38" s="30" t="s">
        <v>52</v>
      </c>
      <c r="C38" s="21">
        <v>200000</v>
      </c>
      <c r="D38" s="21"/>
      <c r="E38" s="21">
        <f t="shared" si="10"/>
        <v>200000</v>
      </c>
      <c r="F38" s="21"/>
      <c r="G38" s="21"/>
      <c r="H38" s="21"/>
      <c r="I38" s="21"/>
      <c r="J38" s="21"/>
      <c r="K38" s="31">
        <f t="shared" si="11"/>
        <v>0</v>
      </c>
      <c r="L38" s="32">
        <f t="shared" si="12"/>
        <v>200000</v>
      </c>
      <c r="M38" s="20"/>
      <c r="N38" s="21"/>
      <c r="O38" s="28"/>
      <c r="P38" s="28"/>
    </row>
    <row r="39" spans="1:16" ht="8.25">
      <c r="A39" s="29">
        <v>12</v>
      </c>
      <c r="B39" s="30" t="s">
        <v>53</v>
      </c>
      <c r="C39" s="21">
        <v>0</v>
      </c>
      <c r="D39" s="21"/>
      <c r="E39" s="21">
        <f t="shared" si="10"/>
        <v>0</v>
      </c>
      <c r="F39" s="21"/>
      <c r="G39" s="21"/>
      <c r="H39" s="21"/>
      <c r="I39" s="21"/>
      <c r="J39" s="21"/>
      <c r="K39" s="31">
        <f t="shared" si="11"/>
        <v>0</v>
      </c>
      <c r="L39" s="32">
        <f t="shared" si="12"/>
        <v>0</v>
      </c>
      <c r="M39" s="20"/>
      <c r="N39" s="21"/>
      <c r="O39" s="28"/>
      <c r="P39" s="28"/>
    </row>
    <row r="40" spans="1:16" ht="14.25" customHeight="1">
      <c r="A40" s="29">
        <v>13</v>
      </c>
      <c r="B40" s="30" t="s">
        <v>54</v>
      </c>
      <c r="C40" s="21">
        <v>500000</v>
      </c>
      <c r="D40" s="21"/>
      <c r="E40" s="21">
        <f t="shared" si="10"/>
        <v>500000</v>
      </c>
      <c r="F40" s="21"/>
      <c r="G40" s="21"/>
      <c r="H40" s="21"/>
      <c r="I40" s="21"/>
      <c r="J40" s="21"/>
      <c r="K40" s="31">
        <f t="shared" si="11"/>
        <v>0</v>
      </c>
      <c r="L40" s="32">
        <f t="shared" si="12"/>
        <v>500000</v>
      </c>
      <c r="M40" s="20"/>
      <c r="N40" s="21"/>
      <c r="O40" s="28"/>
      <c r="P40" s="28"/>
    </row>
    <row r="41" spans="1:16" ht="12" customHeight="1">
      <c r="A41" s="29">
        <v>14</v>
      </c>
      <c r="B41" s="30" t="s">
        <v>55</v>
      </c>
      <c r="C41" s="21">
        <v>0</v>
      </c>
      <c r="D41" s="21"/>
      <c r="E41" s="21">
        <f t="shared" si="10"/>
        <v>0</v>
      </c>
      <c r="F41" s="21"/>
      <c r="G41" s="21"/>
      <c r="H41" s="21"/>
      <c r="I41" s="21"/>
      <c r="J41" s="21"/>
      <c r="K41" s="31">
        <f t="shared" si="11"/>
        <v>0</v>
      </c>
      <c r="L41" s="32">
        <f t="shared" si="12"/>
        <v>0</v>
      </c>
      <c r="M41" s="20"/>
      <c r="N41" s="21"/>
      <c r="O41" s="28"/>
      <c r="P41" s="28"/>
    </row>
    <row r="42" spans="1:16" ht="18.75" customHeight="1">
      <c r="A42" s="29">
        <v>15</v>
      </c>
      <c r="B42" s="30" t="s">
        <v>56</v>
      </c>
      <c r="C42" s="21"/>
      <c r="D42" s="21"/>
      <c r="E42" s="21">
        <f t="shared" si="10"/>
        <v>0</v>
      </c>
      <c r="F42" s="21"/>
      <c r="G42" s="21"/>
      <c r="H42" s="21">
        <v>40000000</v>
      </c>
      <c r="I42" s="21"/>
      <c r="J42" s="21"/>
      <c r="K42" s="31">
        <f t="shared" si="11"/>
        <v>40000000</v>
      </c>
      <c r="L42" s="32">
        <f t="shared" si="12"/>
        <v>40000000</v>
      </c>
      <c r="M42" s="20"/>
      <c r="N42" s="21"/>
      <c r="O42" s="28"/>
      <c r="P42" s="28"/>
    </row>
    <row r="43" spans="1:16" ht="23.25" customHeight="1">
      <c r="A43" s="92" t="s">
        <v>57</v>
      </c>
      <c r="B43" s="93" t="s">
        <v>58</v>
      </c>
      <c r="C43" s="94">
        <f aca="true" t="shared" si="13" ref="C43:P43">SUM(C44:C46)</f>
        <v>110000</v>
      </c>
      <c r="D43" s="94">
        <f t="shared" si="13"/>
        <v>0</v>
      </c>
      <c r="E43" s="94">
        <f t="shared" si="13"/>
        <v>110000</v>
      </c>
      <c r="F43" s="94">
        <f t="shared" si="13"/>
        <v>0</v>
      </c>
      <c r="G43" s="94">
        <f t="shared" si="13"/>
        <v>0</v>
      </c>
      <c r="H43" s="94">
        <f t="shared" si="13"/>
        <v>0</v>
      </c>
      <c r="I43" s="94">
        <f t="shared" si="13"/>
        <v>0</v>
      </c>
      <c r="J43" s="94">
        <f t="shared" si="13"/>
        <v>0</v>
      </c>
      <c r="K43" s="94">
        <f t="shared" si="13"/>
        <v>0</v>
      </c>
      <c r="L43" s="95">
        <f t="shared" si="13"/>
        <v>110000</v>
      </c>
      <c r="M43" s="95">
        <f t="shared" si="13"/>
        <v>0</v>
      </c>
      <c r="N43" s="95">
        <f t="shared" si="13"/>
        <v>0</v>
      </c>
      <c r="O43" s="95">
        <f t="shared" si="13"/>
        <v>0</v>
      </c>
      <c r="P43" s="95">
        <f t="shared" si="13"/>
        <v>0</v>
      </c>
    </row>
    <row r="44" spans="1:16" ht="12.75" customHeight="1">
      <c r="A44" s="29">
        <v>1</v>
      </c>
      <c r="B44" s="30" t="s">
        <v>59</v>
      </c>
      <c r="C44" s="21">
        <v>10000</v>
      </c>
      <c r="D44" s="21"/>
      <c r="E44" s="21">
        <f aca="true" t="shared" si="14" ref="E44:E61">C44+D44</f>
        <v>10000</v>
      </c>
      <c r="F44" s="21"/>
      <c r="G44" s="21"/>
      <c r="H44" s="21"/>
      <c r="I44" s="21"/>
      <c r="J44" s="21"/>
      <c r="K44" s="31">
        <f t="shared" si="11"/>
        <v>0</v>
      </c>
      <c r="L44" s="32">
        <f t="shared" si="12"/>
        <v>10000</v>
      </c>
      <c r="M44" s="20"/>
      <c r="N44" s="21"/>
      <c r="O44" s="28"/>
      <c r="P44" s="28"/>
    </row>
    <row r="45" spans="1:16" ht="30.75" customHeight="1">
      <c r="A45" s="29">
        <v>2</v>
      </c>
      <c r="B45" s="30" t="s">
        <v>60</v>
      </c>
      <c r="C45" s="21">
        <v>100000</v>
      </c>
      <c r="D45" s="21"/>
      <c r="E45" s="21">
        <f t="shared" si="14"/>
        <v>100000</v>
      </c>
      <c r="F45" s="21"/>
      <c r="G45" s="21"/>
      <c r="H45" s="21"/>
      <c r="I45" s="21"/>
      <c r="J45" s="21"/>
      <c r="K45" s="31">
        <f t="shared" si="11"/>
        <v>0</v>
      </c>
      <c r="L45" s="32">
        <f t="shared" si="12"/>
        <v>100000</v>
      </c>
      <c r="M45" s="20"/>
      <c r="N45" s="21"/>
      <c r="O45" s="28"/>
      <c r="P45" s="28"/>
    </row>
    <row r="46" spans="1:16" ht="9.75">
      <c r="A46" s="23"/>
      <c r="B46" s="30"/>
      <c r="C46" s="21"/>
      <c r="D46" s="21"/>
      <c r="E46" s="21">
        <f t="shared" si="14"/>
        <v>0</v>
      </c>
      <c r="F46" s="21"/>
      <c r="G46" s="21"/>
      <c r="H46" s="21"/>
      <c r="I46" s="21"/>
      <c r="J46" s="21"/>
      <c r="K46" s="31">
        <f t="shared" si="11"/>
        <v>0</v>
      </c>
      <c r="L46" s="32">
        <f t="shared" si="12"/>
        <v>0</v>
      </c>
      <c r="M46" s="20"/>
      <c r="N46" s="21"/>
      <c r="O46" s="28"/>
      <c r="P46" s="28"/>
    </row>
    <row r="47" spans="1:16" ht="25.5" customHeight="1">
      <c r="A47" s="92" t="s">
        <v>61</v>
      </c>
      <c r="B47" s="93" t="s">
        <v>62</v>
      </c>
      <c r="C47" s="94">
        <f>SUM(C48:C52)</f>
        <v>350000</v>
      </c>
      <c r="D47" s="94">
        <f aca="true" t="shared" si="15" ref="D47:J47">SUM(D48:D52)</f>
        <v>0</v>
      </c>
      <c r="E47" s="94">
        <f t="shared" si="15"/>
        <v>350000</v>
      </c>
      <c r="F47" s="94">
        <f t="shared" si="15"/>
        <v>0</v>
      </c>
      <c r="G47" s="94">
        <f t="shared" si="15"/>
        <v>0</v>
      </c>
      <c r="H47" s="94">
        <f t="shared" si="15"/>
        <v>0</v>
      </c>
      <c r="I47" s="94">
        <f t="shared" si="15"/>
        <v>0</v>
      </c>
      <c r="J47" s="94">
        <f t="shared" si="15"/>
        <v>0</v>
      </c>
      <c r="K47" s="94">
        <f>SUM(K48:K52)</f>
        <v>0</v>
      </c>
      <c r="L47" s="95">
        <f>SUM(L48:L52)</f>
        <v>350000</v>
      </c>
      <c r="M47" s="95">
        <f>SUM(M48:M52)</f>
        <v>0</v>
      </c>
      <c r="N47" s="95">
        <f>SUM(N48:N52)</f>
        <v>0</v>
      </c>
      <c r="O47" s="95">
        <f>SUM(O48:O52)</f>
        <v>0</v>
      </c>
      <c r="P47" s="95">
        <f>SUM(P48:P52)</f>
        <v>0</v>
      </c>
    </row>
    <row r="48" spans="1:16" ht="17.25" customHeight="1">
      <c r="A48" s="29">
        <v>1</v>
      </c>
      <c r="B48" s="30" t="s">
        <v>63</v>
      </c>
      <c r="C48" s="21">
        <v>50000</v>
      </c>
      <c r="D48" s="21"/>
      <c r="E48" s="21">
        <f t="shared" si="14"/>
        <v>50000</v>
      </c>
      <c r="F48" s="21"/>
      <c r="G48" s="21"/>
      <c r="H48" s="21"/>
      <c r="I48" s="21"/>
      <c r="J48" s="21"/>
      <c r="K48" s="31">
        <f t="shared" si="11"/>
        <v>0</v>
      </c>
      <c r="L48" s="32">
        <f t="shared" si="12"/>
        <v>50000</v>
      </c>
      <c r="M48" s="20"/>
      <c r="N48" s="21"/>
      <c r="O48" s="28"/>
      <c r="P48" s="28"/>
    </row>
    <row r="49" spans="1:16" ht="12" customHeight="1">
      <c r="A49" s="29">
        <v>2</v>
      </c>
      <c r="B49" s="30" t="s">
        <v>64</v>
      </c>
      <c r="C49" s="21">
        <v>100000</v>
      </c>
      <c r="D49" s="21"/>
      <c r="E49" s="21">
        <f t="shared" si="14"/>
        <v>100000</v>
      </c>
      <c r="F49" s="21"/>
      <c r="G49" s="21"/>
      <c r="H49" s="21"/>
      <c r="I49" s="21"/>
      <c r="J49" s="21"/>
      <c r="K49" s="31">
        <f t="shared" si="11"/>
        <v>0</v>
      </c>
      <c r="L49" s="32">
        <f t="shared" si="12"/>
        <v>100000</v>
      </c>
      <c r="M49" s="20"/>
      <c r="N49" s="21"/>
      <c r="O49" s="28"/>
      <c r="P49" s="28"/>
    </row>
    <row r="50" spans="1:16" ht="12.75" customHeight="1">
      <c r="A50" s="29">
        <v>3</v>
      </c>
      <c r="B50" s="30" t="s">
        <v>65</v>
      </c>
      <c r="C50" s="21">
        <v>100000</v>
      </c>
      <c r="D50" s="21"/>
      <c r="E50" s="21">
        <f t="shared" si="14"/>
        <v>100000</v>
      </c>
      <c r="F50" s="21"/>
      <c r="G50" s="21"/>
      <c r="H50" s="21"/>
      <c r="I50" s="21"/>
      <c r="J50" s="21"/>
      <c r="K50" s="31">
        <f t="shared" si="11"/>
        <v>0</v>
      </c>
      <c r="L50" s="32">
        <f t="shared" si="12"/>
        <v>100000</v>
      </c>
      <c r="M50" s="20"/>
      <c r="N50" s="21"/>
      <c r="O50" s="28"/>
      <c r="P50" s="28"/>
    </row>
    <row r="51" spans="1:16" ht="14.25" customHeight="1">
      <c r="A51" s="29">
        <v>4</v>
      </c>
      <c r="B51" s="30" t="s">
        <v>66</v>
      </c>
      <c r="C51" s="21">
        <v>100000</v>
      </c>
      <c r="D51" s="21"/>
      <c r="E51" s="21">
        <f t="shared" si="14"/>
        <v>100000</v>
      </c>
      <c r="F51" s="21"/>
      <c r="G51" s="21"/>
      <c r="H51" s="21"/>
      <c r="I51" s="21"/>
      <c r="J51" s="21"/>
      <c r="K51" s="31">
        <f t="shared" si="11"/>
        <v>0</v>
      </c>
      <c r="L51" s="32">
        <f t="shared" si="12"/>
        <v>100000</v>
      </c>
      <c r="M51" s="20"/>
      <c r="N51" s="21"/>
      <c r="O51" s="28"/>
      <c r="P51" s="28"/>
    </row>
    <row r="52" spans="1:16" ht="8.25">
      <c r="A52" s="29"/>
      <c r="B52" s="30"/>
      <c r="C52" s="21"/>
      <c r="D52" s="21"/>
      <c r="E52" s="21">
        <f t="shared" si="14"/>
        <v>0</v>
      </c>
      <c r="F52" s="21"/>
      <c r="G52" s="21"/>
      <c r="H52" s="21"/>
      <c r="I52" s="21"/>
      <c r="J52" s="21"/>
      <c r="K52" s="31">
        <f t="shared" si="11"/>
        <v>0</v>
      </c>
      <c r="L52" s="32">
        <f t="shared" si="12"/>
        <v>0</v>
      </c>
      <c r="M52" s="20"/>
      <c r="N52" s="21"/>
      <c r="O52" s="28"/>
      <c r="P52" s="28"/>
    </row>
    <row r="53" spans="1:16" ht="15" customHeight="1">
      <c r="A53" s="92" t="s">
        <v>67</v>
      </c>
      <c r="B53" s="93" t="s">
        <v>68</v>
      </c>
      <c r="C53" s="94">
        <f>SUM(C54:C56)</f>
        <v>21000000</v>
      </c>
      <c r="D53" s="94">
        <f aca="true" t="shared" si="16" ref="D53:J53">SUM(D54:D56)</f>
        <v>0</v>
      </c>
      <c r="E53" s="94">
        <f t="shared" si="16"/>
        <v>21000000</v>
      </c>
      <c r="F53" s="94">
        <f t="shared" si="16"/>
        <v>0</v>
      </c>
      <c r="G53" s="94">
        <f t="shared" si="16"/>
        <v>0</v>
      </c>
      <c r="H53" s="94">
        <f t="shared" si="16"/>
        <v>0</v>
      </c>
      <c r="I53" s="94">
        <f t="shared" si="16"/>
        <v>0</v>
      </c>
      <c r="J53" s="94">
        <f t="shared" si="16"/>
        <v>0</v>
      </c>
      <c r="K53" s="94">
        <f>SUM(K54:K56)</f>
        <v>0</v>
      </c>
      <c r="L53" s="95">
        <f>SUM(L54:L56)</f>
        <v>21000000</v>
      </c>
      <c r="M53" s="95">
        <f>SUM(M54:M56)</f>
        <v>0</v>
      </c>
      <c r="N53" s="95">
        <f>SUM(N54:N56)</f>
        <v>0</v>
      </c>
      <c r="O53" s="95">
        <f>SUM(O54:O56)</f>
        <v>0</v>
      </c>
      <c r="P53" s="95">
        <f>SUM(P54:P56)</f>
        <v>0</v>
      </c>
    </row>
    <row r="54" spans="1:16" ht="8.25">
      <c r="A54" s="29">
        <v>1</v>
      </c>
      <c r="B54" s="30" t="s">
        <v>69</v>
      </c>
      <c r="C54" s="21">
        <v>20000000</v>
      </c>
      <c r="D54" s="21"/>
      <c r="E54" s="21">
        <f t="shared" si="14"/>
        <v>20000000</v>
      </c>
      <c r="F54" s="21"/>
      <c r="G54" s="21"/>
      <c r="H54" s="21"/>
      <c r="I54" s="21"/>
      <c r="J54" s="21"/>
      <c r="K54" s="31">
        <f t="shared" si="11"/>
        <v>0</v>
      </c>
      <c r="L54" s="32">
        <f t="shared" si="12"/>
        <v>20000000</v>
      </c>
      <c r="M54" s="20"/>
      <c r="N54" s="21"/>
      <c r="O54" s="28"/>
      <c r="P54" s="28"/>
    </row>
    <row r="55" spans="1:16" ht="12" customHeight="1">
      <c r="A55" s="29">
        <v>2</v>
      </c>
      <c r="B55" s="30" t="s">
        <v>70</v>
      </c>
      <c r="C55" s="21">
        <v>1000000</v>
      </c>
      <c r="D55" s="21"/>
      <c r="E55" s="21">
        <f t="shared" si="14"/>
        <v>1000000</v>
      </c>
      <c r="F55" s="21"/>
      <c r="G55" s="21"/>
      <c r="H55" s="21"/>
      <c r="I55" s="21"/>
      <c r="J55" s="21"/>
      <c r="K55" s="31">
        <f t="shared" si="11"/>
        <v>0</v>
      </c>
      <c r="L55" s="32">
        <f t="shared" si="12"/>
        <v>1000000</v>
      </c>
      <c r="M55" s="20"/>
      <c r="N55" s="21"/>
      <c r="O55" s="28"/>
      <c r="P55" s="28"/>
    </row>
    <row r="56" spans="1:16" ht="9.75">
      <c r="A56" s="23"/>
      <c r="B56" s="30"/>
      <c r="C56" s="21"/>
      <c r="D56" s="21"/>
      <c r="E56" s="21">
        <f t="shared" si="14"/>
        <v>0</v>
      </c>
      <c r="F56" s="21"/>
      <c r="G56" s="21"/>
      <c r="H56" s="21"/>
      <c r="I56" s="21"/>
      <c r="J56" s="21"/>
      <c r="K56" s="31">
        <f t="shared" si="11"/>
        <v>0</v>
      </c>
      <c r="L56" s="32">
        <f t="shared" si="12"/>
        <v>0</v>
      </c>
      <c r="M56" s="20"/>
      <c r="N56" s="21"/>
      <c r="O56" s="28"/>
      <c r="P56" s="28"/>
    </row>
    <row r="57" spans="1:16" ht="17.25" customHeight="1">
      <c r="A57" s="92" t="s">
        <v>71</v>
      </c>
      <c r="B57" s="93" t="s">
        <v>72</v>
      </c>
      <c r="C57" s="94">
        <f>SUM(C58:C61)</f>
        <v>5000000</v>
      </c>
      <c r="D57" s="94">
        <f aca="true" t="shared" si="17" ref="D57:J57">SUM(D58:D61)</f>
        <v>0</v>
      </c>
      <c r="E57" s="94">
        <f t="shared" si="17"/>
        <v>5000000</v>
      </c>
      <c r="F57" s="94">
        <f t="shared" si="17"/>
        <v>0</v>
      </c>
      <c r="G57" s="94">
        <f t="shared" si="17"/>
        <v>0</v>
      </c>
      <c r="H57" s="94">
        <f t="shared" si="17"/>
        <v>0</v>
      </c>
      <c r="I57" s="94">
        <f t="shared" si="17"/>
        <v>0</v>
      </c>
      <c r="J57" s="94">
        <f t="shared" si="17"/>
        <v>0</v>
      </c>
      <c r="K57" s="94">
        <f>SUM(K58:K61)</f>
        <v>0</v>
      </c>
      <c r="L57" s="95">
        <f>SUM(L58:L61)</f>
        <v>5000000</v>
      </c>
      <c r="M57" s="95">
        <f>SUM(M58:M61)</f>
        <v>0</v>
      </c>
      <c r="N57" s="95">
        <f>SUM(N58:N61)</f>
        <v>0</v>
      </c>
      <c r="O57" s="95">
        <f>SUM(O58:O61)</f>
        <v>0</v>
      </c>
      <c r="P57" s="95">
        <f>SUM(P58:P61)</f>
        <v>0</v>
      </c>
    </row>
    <row r="58" spans="1:14" ht="13.5" customHeight="1">
      <c r="A58" s="29">
        <v>1</v>
      </c>
      <c r="B58" s="30" t="s">
        <v>73</v>
      </c>
      <c r="C58" s="21">
        <v>0</v>
      </c>
      <c r="D58" s="21"/>
      <c r="E58" s="21">
        <f t="shared" si="14"/>
        <v>0</v>
      </c>
      <c r="F58" s="21"/>
      <c r="G58" s="21"/>
      <c r="H58" s="21"/>
      <c r="I58" s="21"/>
      <c r="J58" s="21"/>
      <c r="K58" s="31">
        <f t="shared" si="11"/>
        <v>0</v>
      </c>
      <c r="L58" s="32">
        <f t="shared" si="12"/>
        <v>0</v>
      </c>
      <c r="M58" s="20"/>
      <c r="N58" s="21"/>
    </row>
    <row r="59" spans="1:14" ht="11.25" customHeight="1">
      <c r="A59" s="29">
        <v>2</v>
      </c>
      <c r="B59" s="30" t="s">
        <v>74</v>
      </c>
      <c r="C59" s="21">
        <v>0</v>
      </c>
      <c r="D59" s="21"/>
      <c r="E59" s="21">
        <f t="shared" si="14"/>
        <v>0</v>
      </c>
      <c r="F59" s="21"/>
      <c r="G59" s="21"/>
      <c r="H59" s="21"/>
      <c r="I59" s="21"/>
      <c r="J59" s="21"/>
      <c r="K59" s="31">
        <f t="shared" si="11"/>
        <v>0</v>
      </c>
      <c r="L59" s="32">
        <f t="shared" si="12"/>
        <v>0</v>
      </c>
      <c r="M59" s="20"/>
      <c r="N59" s="21"/>
    </row>
    <row r="60" spans="1:14" ht="12" customHeight="1">
      <c r="A60" s="29">
        <v>3</v>
      </c>
      <c r="B60" s="30" t="s">
        <v>75</v>
      </c>
      <c r="C60" s="21">
        <v>0</v>
      </c>
      <c r="D60" s="21"/>
      <c r="E60" s="21">
        <f t="shared" si="14"/>
        <v>0</v>
      </c>
      <c r="F60" s="21"/>
      <c r="G60" s="21"/>
      <c r="H60" s="21"/>
      <c r="I60" s="21"/>
      <c r="J60" s="21"/>
      <c r="K60" s="31">
        <f t="shared" si="11"/>
        <v>0</v>
      </c>
      <c r="L60" s="32">
        <f t="shared" si="12"/>
        <v>0</v>
      </c>
      <c r="M60" s="20"/>
      <c r="N60" s="21"/>
    </row>
    <row r="61" spans="1:14" ht="8.25">
      <c r="A61" s="29">
        <v>4</v>
      </c>
      <c r="B61" s="30" t="s">
        <v>521</v>
      </c>
      <c r="C61" s="21">
        <v>5000000</v>
      </c>
      <c r="D61" s="21"/>
      <c r="E61" s="21">
        <f t="shared" si="14"/>
        <v>5000000</v>
      </c>
      <c r="F61" s="21"/>
      <c r="G61" s="21"/>
      <c r="H61" s="21"/>
      <c r="I61" s="21"/>
      <c r="J61" s="21"/>
      <c r="K61" s="31">
        <f t="shared" si="11"/>
        <v>0</v>
      </c>
      <c r="L61" s="32">
        <f t="shared" si="12"/>
        <v>5000000</v>
      </c>
      <c r="M61" s="20"/>
      <c r="N61" s="21"/>
    </row>
    <row r="62" spans="1:16" ht="22.5" customHeight="1">
      <c r="A62" s="92" t="s">
        <v>76</v>
      </c>
      <c r="B62" s="93" t="s">
        <v>77</v>
      </c>
      <c r="C62" s="94">
        <f aca="true" t="shared" si="18" ref="C62:P62">+C63+C67</f>
        <v>0</v>
      </c>
      <c r="D62" s="94">
        <f t="shared" si="18"/>
        <v>485251509</v>
      </c>
      <c r="E62" s="94">
        <f t="shared" si="18"/>
        <v>485251509</v>
      </c>
      <c r="F62" s="94">
        <f t="shared" si="18"/>
        <v>0</v>
      </c>
      <c r="G62" s="94">
        <f t="shared" si="18"/>
        <v>0</v>
      </c>
      <c r="H62" s="94">
        <f t="shared" si="18"/>
        <v>0</v>
      </c>
      <c r="I62" s="94">
        <f t="shared" si="18"/>
        <v>2000000</v>
      </c>
      <c r="J62" s="94">
        <f t="shared" si="18"/>
        <v>0</v>
      </c>
      <c r="K62" s="94">
        <f t="shared" si="18"/>
        <v>2000000</v>
      </c>
      <c r="L62" s="95">
        <f t="shared" si="18"/>
        <v>487251509</v>
      </c>
      <c r="M62" s="95">
        <f t="shared" si="18"/>
        <v>0</v>
      </c>
      <c r="N62" s="95">
        <f t="shared" si="18"/>
        <v>0</v>
      </c>
      <c r="O62" s="95">
        <f t="shared" si="18"/>
        <v>0</v>
      </c>
      <c r="P62" s="95">
        <f t="shared" si="18"/>
        <v>0</v>
      </c>
    </row>
    <row r="63" spans="1:16" ht="10.5" thickBot="1">
      <c r="A63" s="92" t="s">
        <v>78</v>
      </c>
      <c r="B63" s="96" t="s">
        <v>79</v>
      </c>
      <c r="C63" s="94">
        <f aca="true" t="shared" si="19" ref="C63:P63">SUM(C64:C66)</f>
        <v>0</v>
      </c>
      <c r="D63" s="94">
        <f t="shared" si="19"/>
        <v>485251509</v>
      </c>
      <c r="E63" s="94">
        <f t="shared" si="19"/>
        <v>485251509</v>
      </c>
      <c r="F63" s="94">
        <f t="shared" si="19"/>
        <v>0</v>
      </c>
      <c r="G63" s="94">
        <f t="shared" si="19"/>
        <v>0</v>
      </c>
      <c r="H63" s="94">
        <f t="shared" si="19"/>
        <v>0</v>
      </c>
      <c r="I63" s="94">
        <f t="shared" si="19"/>
        <v>0</v>
      </c>
      <c r="J63" s="94">
        <f t="shared" si="19"/>
        <v>0</v>
      </c>
      <c r="K63" s="94">
        <f t="shared" si="19"/>
        <v>0</v>
      </c>
      <c r="L63" s="95">
        <f t="shared" si="19"/>
        <v>485251509</v>
      </c>
      <c r="M63" s="95">
        <f t="shared" si="19"/>
        <v>0</v>
      </c>
      <c r="N63" s="95">
        <f t="shared" si="19"/>
        <v>0</v>
      </c>
      <c r="O63" s="95">
        <f t="shared" si="19"/>
        <v>0</v>
      </c>
      <c r="P63" s="95">
        <f t="shared" si="19"/>
        <v>0</v>
      </c>
    </row>
    <row r="64" spans="1:17" ht="33" customHeight="1" thickBot="1">
      <c r="A64" s="81">
        <v>1</v>
      </c>
      <c r="B64" s="83" t="s">
        <v>80</v>
      </c>
      <c r="C64" s="84"/>
      <c r="D64" s="85">
        <v>485251509</v>
      </c>
      <c r="E64" s="85">
        <f>C64+D64</f>
        <v>485251509</v>
      </c>
      <c r="F64" s="85"/>
      <c r="G64" s="85"/>
      <c r="H64" s="85"/>
      <c r="I64" s="85"/>
      <c r="J64" s="85"/>
      <c r="K64" s="86">
        <f>G64+H64+I64+J64</f>
        <v>0</v>
      </c>
      <c r="L64" s="32">
        <f>+C64+D64+F64+G64+H64+I64+J64</f>
        <v>485251509</v>
      </c>
      <c r="M64" s="87"/>
      <c r="N64" s="85"/>
      <c r="O64" s="88"/>
      <c r="P64" s="88"/>
      <c r="Q64" s="27"/>
    </row>
    <row r="65" spans="1:16" ht="34.5" customHeight="1">
      <c r="A65" s="29">
        <v>2</v>
      </c>
      <c r="B65" s="82" t="s">
        <v>81</v>
      </c>
      <c r="C65" s="21"/>
      <c r="D65" s="21"/>
      <c r="E65" s="21">
        <f>C65+D65</f>
        <v>0</v>
      </c>
      <c r="F65" s="21"/>
      <c r="G65" s="21"/>
      <c r="H65" s="21"/>
      <c r="I65" s="21"/>
      <c r="J65" s="21"/>
      <c r="K65" s="31">
        <f>G65+H65+I65+J65</f>
        <v>0</v>
      </c>
      <c r="L65" s="32">
        <f>+C65+D65+F65+G65+H65+I65+J65</f>
        <v>0</v>
      </c>
      <c r="M65" s="20"/>
      <c r="N65" s="21"/>
      <c r="O65" s="28"/>
      <c r="P65" s="28"/>
    </row>
    <row r="66" spans="1:16" ht="9.75">
      <c r="A66" s="23">
        <v>3</v>
      </c>
      <c r="B66" s="30"/>
      <c r="C66" s="25"/>
      <c r="D66" s="21"/>
      <c r="E66" s="21">
        <f>C66+D66</f>
        <v>0</v>
      </c>
      <c r="F66" s="21"/>
      <c r="G66" s="21"/>
      <c r="H66" s="21"/>
      <c r="I66" s="21"/>
      <c r="J66" s="21"/>
      <c r="K66" s="31">
        <f>G66+H66+I66+J66</f>
        <v>0</v>
      </c>
      <c r="L66" s="32">
        <f>+C66+D66+F66+G66+H66+I66+J66</f>
        <v>0</v>
      </c>
      <c r="M66" s="20"/>
      <c r="N66" s="21"/>
      <c r="O66" s="28"/>
      <c r="P66" s="28"/>
    </row>
    <row r="67" spans="1:16" ht="18" customHeight="1">
      <c r="A67" s="92" t="s">
        <v>82</v>
      </c>
      <c r="B67" s="93" t="s">
        <v>83</v>
      </c>
      <c r="C67" s="94">
        <f aca="true" t="shared" si="20" ref="C67:P67">SUM(C68:C69)</f>
        <v>0</v>
      </c>
      <c r="D67" s="94">
        <f t="shared" si="20"/>
        <v>0</v>
      </c>
      <c r="E67" s="94">
        <f t="shared" si="20"/>
        <v>0</v>
      </c>
      <c r="F67" s="94">
        <f t="shared" si="20"/>
        <v>0</v>
      </c>
      <c r="G67" s="94">
        <f t="shared" si="20"/>
        <v>0</v>
      </c>
      <c r="H67" s="94">
        <f t="shared" si="20"/>
        <v>0</v>
      </c>
      <c r="I67" s="94">
        <f t="shared" si="20"/>
        <v>2000000</v>
      </c>
      <c r="J67" s="94">
        <f t="shared" si="20"/>
        <v>0</v>
      </c>
      <c r="K67" s="94">
        <f t="shared" si="20"/>
        <v>2000000</v>
      </c>
      <c r="L67" s="95">
        <f t="shared" si="20"/>
        <v>2000000</v>
      </c>
      <c r="M67" s="95">
        <f t="shared" si="20"/>
        <v>0</v>
      </c>
      <c r="N67" s="95">
        <f t="shared" si="20"/>
        <v>0</v>
      </c>
      <c r="O67" s="95">
        <f t="shared" si="20"/>
        <v>0</v>
      </c>
      <c r="P67" s="95">
        <f t="shared" si="20"/>
        <v>0</v>
      </c>
    </row>
    <row r="68" spans="1:16" ht="16.5" customHeight="1">
      <c r="A68" s="29">
        <v>1</v>
      </c>
      <c r="B68" s="30" t="s">
        <v>84</v>
      </c>
      <c r="C68" s="21"/>
      <c r="D68" s="21"/>
      <c r="E68" s="21">
        <f>C68+D68</f>
        <v>0</v>
      </c>
      <c r="F68" s="21"/>
      <c r="G68" s="21"/>
      <c r="H68" s="21"/>
      <c r="I68" s="21">
        <v>2000000</v>
      </c>
      <c r="J68" s="21">
        <v>0</v>
      </c>
      <c r="K68" s="31">
        <f>G68+H68+I68+J68</f>
        <v>2000000</v>
      </c>
      <c r="L68" s="32">
        <f>+C68+D68+F68+G68+H68+I68+J68</f>
        <v>2000000</v>
      </c>
      <c r="M68" s="20"/>
      <c r="N68" s="21"/>
      <c r="O68" s="28"/>
      <c r="P68" s="28"/>
    </row>
    <row r="69" spans="1:16" ht="9.75">
      <c r="A69" s="23"/>
      <c r="B69" s="30"/>
      <c r="C69" s="21"/>
      <c r="D69" s="21"/>
      <c r="E69" s="21">
        <f>C69+D69</f>
        <v>0</v>
      </c>
      <c r="F69" s="21"/>
      <c r="G69" s="21"/>
      <c r="H69" s="21"/>
      <c r="I69" s="21"/>
      <c r="J69" s="21"/>
      <c r="K69" s="31">
        <f>G69+H69+I69+J69</f>
        <v>0</v>
      </c>
      <c r="L69" s="32">
        <f>+C69+D69+F69+G69+H69+I69+J69</f>
        <v>0</v>
      </c>
      <c r="M69" s="20"/>
      <c r="N69" s="21"/>
      <c r="O69" s="28"/>
      <c r="P69" s="28"/>
    </row>
    <row r="70" spans="1:16" ht="25.5" customHeight="1">
      <c r="A70" s="92" t="s">
        <v>85</v>
      </c>
      <c r="B70" s="93" t="s">
        <v>86</v>
      </c>
      <c r="C70" s="94">
        <f aca="true" t="shared" si="21" ref="C70:P70">+C71+C90+C93+C96</f>
        <v>0</v>
      </c>
      <c r="D70" s="94">
        <f t="shared" si="21"/>
        <v>0</v>
      </c>
      <c r="E70" s="94">
        <f t="shared" si="21"/>
        <v>0</v>
      </c>
      <c r="F70" s="94">
        <f t="shared" si="21"/>
        <v>0</v>
      </c>
      <c r="G70" s="94">
        <f t="shared" si="21"/>
        <v>1482490542</v>
      </c>
      <c r="H70" s="94">
        <f t="shared" si="21"/>
        <v>0</v>
      </c>
      <c r="I70" s="94">
        <f t="shared" si="21"/>
        <v>164892433.98</v>
      </c>
      <c r="J70" s="94">
        <f t="shared" si="21"/>
        <v>0</v>
      </c>
      <c r="K70" s="94">
        <f t="shared" si="21"/>
        <v>1647382975.98</v>
      </c>
      <c r="L70" s="95">
        <f t="shared" si="21"/>
        <v>1647382975.98</v>
      </c>
      <c r="M70" s="95">
        <f t="shared" si="21"/>
        <v>0</v>
      </c>
      <c r="N70" s="95">
        <f t="shared" si="21"/>
        <v>0</v>
      </c>
      <c r="O70" s="95">
        <f t="shared" si="21"/>
        <v>0</v>
      </c>
      <c r="P70" s="95">
        <f t="shared" si="21"/>
        <v>0</v>
      </c>
    </row>
    <row r="71" spans="1:16" ht="9.75">
      <c r="A71" s="92" t="s">
        <v>87</v>
      </c>
      <c r="B71" s="93" t="s">
        <v>88</v>
      </c>
      <c r="C71" s="94">
        <f aca="true" t="shared" si="22" ref="C71:P71">+C72+C80+C84</f>
        <v>0</v>
      </c>
      <c r="D71" s="94">
        <f t="shared" si="22"/>
        <v>0</v>
      </c>
      <c r="E71" s="94">
        <f t="shared" si="22"/>
        <v>0</v>
      </c>
      <c r="F71" s="94">
        <f t="shared" si="22"/>
        <v>0</v>
      </c>
      <c r="G71" s="94">
        <f>+G72+G80+G84</f>
        <v>1482490542</v>
      </c>
      <c r="H71" s="94">
        <f t="shared" si="22"/>
        <v>0</v>
      </c>
      <c r="I71" s="94">
        <f t="shared" si="22"/>
        <v>164892433.98</v>
      </c>
      <c r="J71" s="94">
        <f t="shared" si="22"/>
        <v>0</v>
      </c>
      <c r="K71" s="94">
        <f t="shared" si="22"/>
        <v>1647382975.98</v>
      </c>
      <c r="L71" s="95">
        <f t="shared" si="22"/>
        <v>1647382975.98</v>
      </c>
      <c r="M71" s="95">
        <f t="shared" si="22"/>
        <v>0</v>
      </c>
      <c r="N71" s="95">
        <f t="shared" si="22"/>
        <v>0</v>
      </c>
      <c r="O71" s="95">
        <f t="shared" si="22"/>
        <v>0</v>
      </c>
      <c r="P71" s="95">
        <f t="shared" si="22"/>
        <v>0</v>
      </c>
    </row>
    <row r="72" spans="1:16" ht="26.25" customHeight="1">
      <c r="A72" s="92" t="s">
        <v>89</v>
      </c>
      <c r="B72" s="93" t="s">
        <v>90</v>
      </c>
      <c r="C72" s="94">
        <f aca="true" t="shared" si="23" ref="C72:P72">SUM(C73:C79)</f>
        <v>0</v>
      </c>
      <c r="D72" s="94">
        <f t="shared" si="23"/>
        <v>0</v>
      </c>
      <c r="E72" s="94">
        <f t="shared" si="23"/>
        <v>0</v>
      </c>
      <c r="F72" s="94">
        <f t="shared" si="23"/>
        <v>0</v>
      </c>
      <c r="G72" s="94">
        <f t="shared" si="23"/>
        <v>1176927544</v>
      </c>
      <c r="H72" s="94">
        <f t="shared" si="23"/>
        <v>0</v>
      </c>
      <c r="I72" s="94">
        <f t="shared" si="23"/>
        <v>0</v>
      </c>
      <c r="J72" s="94">
        <f t="shared" si="23"/>
        <v>0</v>
      </c>
      <c r="K72" s="94">
        <f t="shared" si="23"/>
        <v>1176927544</v>
      </c>
      <c r="L72" s="95">
        <f t="shared" si="23"/>
        <v>1176927544</v>
      </c>
      <c r="M72" s="95">
        <f t="shared" si="23"/>
        <v>0</v>
      </c>
      <c r="N72" s="95">
        <f t="shared" si="23"/>
        <v>0</v>
      </c>
      <c r="O72" s="95">
        <f t="shared" si="23"/>
        <v>0</v>
      </c>
      <c r="P72" s="95">
        <f t="shared" si="23"/>
        <v>0</v>
      </c>
    </row>
    <row r="73" spans="1:16" ht="24" customHeight="1">
      <c r="A73" s="29">
        <v>1</v>
      </c>
      <c r="B73" s="30" t="s">
        <v>91</v>
      </c>
      <c r="C73" s="33"/>
      <c r="D73" s="21"/>
      <c r="E73" s="21">
        <f aca="true" t="shared" si="24" ref="E73:E79">C73+D73</f>
        <v>0</v>
      </c>
      <c r="F73" s="21"/>
      <c r="G73" s="21">
        <v>95917169</v>
      </c>
      <c r="H73" s="21"/>
      <c r="I73" s="21"/>
      <c r="J73" s="21"/>
      <c r="K73" s="31">
        <f aca="true" t="shared" si="25" ref="K73:K79">G73+H73+I73+J73</f>
        <v>95917169</v>
      </c>
      <c r="L73" s="32">
        <f aca="true" t="shared" si="26" ref="L73:L98">+C73+D73+F73+G73+H73+I73+J73</f>
        <v>95917169</v>
      </c>
      <c r="M73" s="20"/>
      <c r="N73" s="21"/>
      <c r="O73" s="28"/>
      <c r="P73" s="28"/>
    </row>
    <row r="74" spans="1:16" ht="16.5">
      <c r="A74" s="29">
        <v>2</v>
      </c>
      <c r="B74" s="30" t="s">
        <v>92</v>
      </c>
      <c r="C74" s="21"/>
      <c r="D74" s="21"/>
      <c r="E74" s="21">
        <f t="shared" si="24"/>
        <v>0</v>
      </c>
      <c r="F74" s="21"/>
      <c r="G74" s="21">
        <v>9290533</v>
      </c>
      <c r="H74" s="21"/>
      <c r="I74" s="21"/>
      <c r="J74" s="21"/>
      <c r="K74" s="31">
        <f t="shared" si="25"/>
        <v>9290533</v>
      </c>
      <c r="L74" s="32">
        <f t="shared" si="26"/>
        <v>9290533</v>
      </c>
      <c r="M74" s="20"/>
      <c r="N74" s="21"/>
      <c r="P74" s="28"/>
    </row>
    <row r="75" spans="1:16" ht="16.5">
      <c r="A75" s="29">
        <v>3</v>
      </c>
      <c r="B75" s="30" t="s">
        <v>93</v>
      </c>
      <c r="C75" s="21"/>
      <c r="D75" s="21"/>
      <c r="E75" s="21">
        <f t="shared" si="24"/>
        <v>0</v>
      </c>
      <c r="F75" s="21"/>
      <c r="G75" s="21">
        <v>121115969</v>
      </c>
      <c r="H75" s="21"/>
      <c r="I75" s="21"/>
      <c r="J75" s="21"/>
      <c r="K75" s="31">
        <f t="shared" si="25"/>
        <v>121115969</v>
      </c>
      <c r="L75" s="32">
        <f t="shared" si="26"/>
        <v>121115969</v>
      </c>
      <c r="M75" s="20"/>
      <c r="N75" s="21"/>
      <c r="O75" s="2"/>
      <c r="P75" s="52"/>
    </row>
    <row r="76" spans="1:18" ht="16.5">
      <c r="A76" s="29">
        <v>4</v>
      </c>
      <c r="B76" s="30" t="s">
        <v>94</v>
      </c>
      <c r="C76" s="21"/>
      <c r="D76" s="21"/>
      <c r="E76" s="21">
        <f t="shared" si="24"/>
        <v>0</v>
      </c>
      <c r="F76" s="21"/>
      <c r="G76" s="21">
        <v>44797250</v>
      </c>
      <c r="H76" s="21"/>
      <c r="I76" s="21"/>
      <c r="J76" s="21"/>
      <c r="K76" s="31">
        <f t="shared" si="25"/>
        <v>44797250</v>
      </c>
      <c r="L76" s="32">
        <f t="shared" si="26"/>
        <v>44797250</v>
      </c>
      <c r="M76" s="20"/>
      <c r="N76" s="21"/>
      <c r="P76" s="28"/>
      <c r="R76" s="27"/>
    </row>
    <row r="77" spans="1:18" ht="16.5">
      <c r="A77" s="29">
        <v>5</v>
      </c>
      <c r="B77" s="30" t="s">
        <v>95</v>
      </c>
      <c r="C77" s="21"/>
      <c r="D77" s="21"/>
      <c r="E77" s="21">
        <f t="shared" si="24"/>
        <v>0</v>
      </c>
      <c r="F77" s="21"/>
      <c r="G77" s="21">
        <v>33597937</v>
      </c>
      <c r="H77" s="21"/>
      <c r="I77" s="21"/>
      <c r="J77" s="21"/>
      <c r="K77" s="31">
        <f t="shared" si="25"/>
        <v>33597937</v>
      </c>
      <c r="L77" s="32">
        <f t="shared" si="26"/>
        <v>33597937</v>
      </c>
      <c r="M77" s="20"/>
      <c r="N77" s="21"/>
      <c r="P77" s="28"/>
      <c r="R77" s="27"/>
    </row>
    <row r="78" spans="1:18" ht="8.25">
      <c r="A78" s="29">
        <v>6</v>
      </c>
      <c r="B78" s="30" t="s">
        <v>96</v>
      </c>
      <c r="C78" s="21"/>
      <c r="D78" s="21"/>
      <c r="E78" s="21">
        <f t="shared" si="24"/>
        <v>0</v>
      </c>
      <c r="F78" s="21"/>
      <c r="G78" s="21">
        <v>621193104</v>
      </c>
      <c r="H78" s="21"/>
      <c r="I78" s="21"/>
      <c r="J78" s="21"/>
      <c r="K78" s="31">
        <f t="shared" si="25"/>
        <v>621193104</v>
      </c>
      <c r="L78" s="32">
        <f t="shared" si="26"/>
        <v>621193104</v>
      </c>
      <c r="M78" s="20"/>
      <c r="N78" s="21"/>
      <c r="P78" s="28"/>
      <c r="R78" s="27"/>
    </row>
    <row r="79" spans="1:16" ht="8.25">
      <c r="A79" s="29">
        <v>7</v>
      </c>
      <c r="B79" s="30" t="s">
        <v>459</v>
      </c>
      <c r="C79" s="21"/>
      <c r="D79" s="21"/>
      <c r="E79" s="21">
        <f t="shared" si="24"/>
        <v>0</v>
      </c>
      <c r="F79" s="21"/>
      <c r="G79" s="21">
        <v>251015582</v>
      </c>
      <c r="H79" s="21"/>
      <c r="I79" s="21"/>
      <c r="J79" s="21"/>
      <c r="K79" s="31">
        <f t="shared" si="25"/>
        <v>251015582</v>
      </c>
      <c r="L79" s="32">
        <f t="shared" si="26"/>
        <v>251015582</v>
      </c>
      <c r="M79" s="20"/>
      <c r="N79" s="21"/>
      <c r="P79" s="28"/>
    </row>
    <row r="80" spans="1:16" ht="19.5">
      <c r="A80" s="92" t="s">
        <v>97</v>
      </c>
      <c r="B80" s="93" t="s">
        <v>98</v>
      </c>
      <c r="C80" s="94">
        <f aca="true" t="shared" si="27" ref="C80:P80">SUM(C81:C83)</f>
        <v>0</v>
      </c>
      <c r="D80" s="94">
        <f t="shared" si="27"/>
        <v>0</v>
      </c>
      <c r="E80" s="94">
        <f t="shared" si="27"/>
        <v>0</v>
      </c>
      <c r="F80" s="94">
        <f t="shared" si="27"/>
        <v>0</v>
      </c>
      <c r="G80" s="94">
        <f t="shared" si="27"/>
        <v>3166752</v>
      </c>
      <c r="H80" s="94">
        <f t="shared" si="27"/>
        <v>0</v>
      </c>
      <c r="I80" s="94">
        <f t="shared" si="27"/>
        <v>0</v>
      </c>
      <c r="J80" s="94">
        <f t="shared" si="27"/>
        <v>0</v>
      </c>
      <c r="K80" s="94">
        <f t="shared" si="27"/>
        <v>3166752</v>
      </c>
      <c r="L80" s="95">
        <f t="shared" si="27"/>
        <v>3166752</v>
      </c>
      <c r="M80" s="95">
        <f t="shared" si="27"/>
        <v>0</v>
      </c>
      <c r="N80" s="95">
        <f t="shared" si="27"/>
        <v>0</v>
      </c>
      <c r="O80" s="95">
        <f t="shared" si="27"/>
        <v>0</v>
      </c>
      <c r="P80" s="95">
        <f t="shared" si="27"/>
        <v>0</v>
      </c>
    </row>
    <row r="81" spans="1:16" ht="8.25">
      <c r="A81" s="29">
        <v>1</v>
      </c>
      <c r="B81" s="30" t="s">
        <v>99</v>
      </c>
      <c r="C81" s="21"/>
      <c r="D81" s="21"/>
      <c r="E81" s="21">
        <f>C81+D81</f>
        <v>0</v>
      </c>
      <c r="F81" s="21"/>
      <c r="G81" s="21">
        <v>3166752</v>
      </c>
      <c r="H81" s="21"/>
      <c r="I81" s="21"/>
      <c r="J81" s="21"/>
      <c r="K81" s="31">
        <f>G81+H81+I81+J81</f>
        <v>3166752</v>
      </c>
      <c r="L81" s="32">
        <f t="shared" si="26"/>
        <v>3166752</v>
      </c>
      <c r="M81" s="20"/>
      <c r="N81" s="21"/>
      <c r="P81" s="28"/>
    </row>
    <row r="82" spans="1:16" ht="8.25">
      <c r="A82" s="29">
        <v>2</v>
      </c>
      <c r="B82" s="30" t="s">
        <v>100</v>
      </c>
      <c r="C82" s="21"/>
      <c r="D82" s="21"/>
      <c r="E82" s="21">
        <f>C82+D82</f>
        <v>0</v>
      </c>
      <c r="F82" s="21"/>
      <c r="G82" s="21"/>
      <c r="H82" s="21"/>
      <c r="I82" s="21"/>
      <c r="J82" s="21"/>
      <c r="K82" s="31">
        <f>G82+H82+I82+J82</f>
        <v>0</v>
      </c>
      <c r="L82" s="32">
        <f t="shared" si="26"/>
        <v>0</v>
      </c>
      <c r="M82" s="20"/>
      <c r="N82" s="21"/>
      <c r="P82" s="28"/>
    </row>
    <row r="83" spans="1:16" ht="8.25">
      <c r="A83" s="29"/>
      <c r="B83" s="30"/>
      <c r="C83" s="21"/>
      <c r="D83" s="21"/>
      <c r="E83" s="21">
        <f>C83+D83</f>
        <v>0</v>
      </c>
      <c r="F83" s="21"/>
      <c r="G83" s="21"/>
      <c r="H83" s="21"/>
      <c r="I83" s="21"/>
      <c r="J83" s="21"/>
      <c r="K83" s="31">
        <f>G83+H83+I83+J83</f>
        <v>0</v>
      </c>
      <c r="L83" s="32">
        <f t="shared" si="26"/>
        <v>0</v>
      </c>
      <c r="M83" s="20"/>
      <c r="N83" s="21"/>
      <c r="P83" s="28"/>
    </row>
    <row r="84" spans="1:16" ht="9.75">
      <c r="A84" s="92" t="s">
        <v>101</v>
      </c>
      <c r="B84" s="93" t="s">
        <v>102</v>
      </c>
      <c r="C84" s="94">
        <f>SUM(C85:C89)</f>
        <v>0</v>
      </c>
      <c r="D84" s="94">
        <f aca="true" t="shared" si="28" ref="D84:J84">SUM(D85:D89)</f>
        <v>0</v>
      </c>
      <c r="E84" s="94">
        <f t="shared" si="28"/>
        <v>0</v>
      </c>
      <c r="F84" s="94">
        <f t="shared" si="28"/>
        <v>0</v>
      </c>
      <c r="G84" s="94">
        <f t="shared" si="28"/>
        <v>302396246</v>
      </c>
      <c r="H84" s="94">
        <f t="shared" si="28"/>
        <v>0</v>
      </c>
      <c r="I84" s="94">
        <f t="shared" si="28"/>
        <v>164892433.98</v>
      </c>
      <c r="J84" s="94">
        <f t="shared" si="28"/>
        <v>0</v>
      </c>
      <c r="K84" s="94">
        <f aca="true" t="shared" si="29" ref="K84:P84">SUM(K85:K89)</f>
        <v>467288679.98</v>
      </c>
      <c r="L84" s="94">
        <f t="shared" si="29"/>
        <v>467288679.98</v>
      </c>
      <c r="M84" s="95">
        <f t="shared" si="29"/>
        <v>0</v>
      </c>
      <c r="N84" s="95">
        <f t="shared" si="29"/>
        <v>0</v>
      </c>
      <c r="O84" s="95">
        <f t="shared" si="29"/>
        <v>0</v>
      </c>
      <c r="P84" s="95">
        <f t="shared" si="29"/>
        <v>0</v>
      </c>
    </row>
    <row r="85" spans="1:16" ht="27.75" customHeight="1">
      <c r="A85" s="29">
        <v>1</v>
      </c>
      <c r="B85" s="30" t="s">
        <v>456</v>
      </c>
      <c r="C85" s="21"/>
      <c r="D85" s="21"/>
      <c r="E85" s="21">
        <f>C85+D85</f>
        <v>0</v>
      </c>
      <c r="F85" s="21"/>
      <c r="G85" s="21">
        <v>280135522</v>
      </c>
      <c r="H85" s="21"/>
      <c r="I85" s="21"/>
      <c r="J85" s="21"/>
      <c r="K85" s="31">
        <f>G85+H85+I85+J85</f>
        <v>280135522</v>
      </c>
      <c r="L85" s="32">
        <f t="shared" si="26"/>
        <v>280135522</v>
      </c>
      <c r="M85" s="20"/>
      <c r="N85" s="21"/>
      <c r="P85" s="28"/>
    </row>
    <row r="86" spans="1:16" ht="26.25" customHeight="1">
      <c r="A86" s="29">
        <v>2</v>
      </c>
      <c r="B86" s="30" t="s">
        <v>275</v>
      </c>
      <c r="C86" s="21"/>
      <c r="D86" s="21">
        <v>0</v>
      </c>
      <c r="E86" s="21">
        <f>C86+D86</f>
        <v>0</v>
      </c>
      <c r="F86" s="21"/>
      <c r="G86" s="21">
        <v>0</v>
      </c>
      <c r="H86" s="21"/>
      <c r="I86" s="21"/>
      <c r="J86" s="21"/>
      <c r="K86" s="31">
        <f>G86+H86+I86+J86</f>
        <v>0</v>
      </c>
      <c r="L86" s="32">
        <f t="shared" si="26"/>
        <v>0</v>
      </c>
      <c r="M86" s="20"/>
      <c r="N86" s="21"/>
      <c r="P86" s="28"/>
    </row>
    <row r="87" spans="1:16" ht="20.25" customHeight="1">
      <c r="A87" s="29">
        <v>3</v>
      </c>
      <c r="B87" s="30" t="s">
        <v>457</v>
      </c>
      <c r="C87" s="21"/>
      <c r="D87" s="21"/>
      <c r="E87" s="21">
        <f>C87+D87</f>
        <v>0</v>
      </c>
      <c r="F87" s="21"/>
      <c r="G87" s="21"/>
      <c r="H87" s="21"/>
      <c r="I87" s="21">
        <v>161905400.98</v>
      </c>
      <c r="J87" s="21"/>
      <c r="K87" s="31">
        <f>G87+H87+I87+J87</f>
        <v>161905400.98</v>
      </c>
      <c r="L87" s="32">
        <f t="shared" si="26"/>
        <v>161905400.98</v>
      </c>
      <c r="M87" s="20"/>
      <c r="N87" s="21"/>
      <c r="P87" s="28"/>
    </row>
    <row r="88" spans="1:16" ht="24.75">
      <c r="A88" s="29">
        <v>4</v>
      </c>
      <c r="B88" s="82" t="s">
        <v>81</v>
      </c>
      <c r="C88" s="21"/>
      <c r="D88" s="21"/>
      <c r="E88" s="21">
        <f>C88+D88</f>
        <v>0</v>
      </c>
      <c r="F88" s="21"/>
      <c r="G88" s="21"/>
      <c r="H88" s="21"/>
      <c r="I88" s="21">
        <v>2987033</v>
      </c>
      <c r="J88" s="21"/>
      <c r="K88" s="31">
        <f>G88+H88+I88+J88</f>
        <v>2987033</v>
      </c>
      <c r="L88" s="32">
        <f t="shared" si="26"/>
        <v>2987033</v>
      </c>
      <c r="M88" s="20"/>
      <c r="N88" s="21"/>
      <c r="P88" s="28"/>
    </row>
    <row r="89" spans="1:16" ht="13.5" customHeight="1">
      <c r="A89" s="29">
        <v>5</v>
      </c>
      <c r="B89" s="30" t="s">
        <v>103</v>
      </c>
      <c r="C89" s="21"/>
      <c r="D89" s="21"/>
      <c r="E89" s="21">
        <f>C89+D89</f>
        <v>0</v>
      </c>
      <c r="F89" s="21"/>
      <c r="G89" s="21">
        <v>22260724</v>
      </c>
      <c r="H89" s="21"/>
      <c r="I89" s="21"/>
      <c r="J89" s="21"/>
      <c r="K89" s="31">
        <f>G89+H89+I89+J89</f>
        <v>22260724</v>
      </c>
      <c r="L89" s="32">
        <f t="shared" si="26"/>
        <v>22260724</v>
      </c>
      <c r="M89" s="20"/>
      <c r="N89" s="21"/>
      <c r="P89" s="28"/>
    </row>
    <row r="90" spans="1:16" ht="16.5" customHeight="1">
      <c r="A90" s="92" t="s">
        <v>104</v>
      </c>
      <c r="B90" s="93" t="s">
        <v>83</v>
      </c>
      <c r="C90" s="94">
        <f aca="true" t="shared" si="30" ref="C90:L90">SUM(C91:C92)</f>
        <v>0</v>
      </c>
      <c r="D90" s="94">
        <f t="shared" si="30"/>
        <v>0</v>
      </c>
      <c r="E90" s="94">
        <f t="shared" si="30"/>
        <v>0</v>
      </c>
      <c r="F90" s="94">
        <f t="shared" si="30"/>
        <v>0</v>
      </c>
      <c r="G90" s="94">
        <f t="shared" si="30"/>
        <v>0</v>
      </c>
      <c r="H90" s="94">
        <f t="shared" si="30"/>
        <v>0</v>
      </c>
      <c r="I90" s="94">
        <f t="shared" si="30"/>
        <v>0</v>
      </c>
      <c r="J90" s="94">
        <f t="shared" si="30"/>
        <v>0</v>
      </c>
      <c r="K90" s="94">
        <f t="shared" si="30"/>
        <v>0</v>
      </c>
      <c r="L90" s="95">
        <f t="shared" si="30"/>
        <v>0</v>
      </c>
      <c r="M90" s="97"/>
      <c r="N90" s="98"/>
      <c r="O90" s="99"/>
      <c r="P90" s="99"/>
    </row>
    <row r="91" spans="1:14" ht="19.5" customHeight="1">
      <c r="A91" s="29">
        <v>1</v>
      </c>
      <c r="B91" s="30" t="s">
        <v>105</v>
      </c>
      <c r="C91" s="21"/>
      <c r="D91" s="21"/>
      <c r="E91" s="21">
        <f>C91+D91</f>
        <v>0</v>
      </c>
      <c r="F91" s="21"/>
      <c r="G91" s="21"/>
      <c r="H91" s="21"/>
      <c r="I91" s="21"/>
      <c r="J91" s="21"/>
      <c r="K91" s="31">
        <f>G91+H91+I91+J91</f>
        <v>0</v>
      </c>
      <c r="L91" s="32">
        <f t="shared" si="26"/>
        <v>0</v>
      </c>
      <c r="M91" s="20"/>
      <c r="N91" s="21"/>
    </row>
    <row r="92" spans="1:14" ht="8.25">
      <c r="A92" s="29"/>
      <c r="B92" s="30"/>
      <c r="C92" s="21"/>
      <c r="D92" s="21"/>
      <c r="E92" s="21">
        <f>C92+D92</f>
        <v>0</v>
      </c>
      <c r="F92" s="21"/>
      <c r="G92" s="21"/>
      <c r="H92" s="21"/>
      <c r="I92" s="21"/>
      <c r="J92" s="21"/>
      <c r="K92" s="31">
        <f>G92+H92+I92+J92</f>
        <v>0</v>
      </c>
      <c r="L92" s="32">
        <f t="shared" si="26"/>
        <v>0</v>
      </c>
      <c r="M92" s="20"/>
      <c r="N92" s="21"/>
    </row>
    <row r="93" spans="1:16" ht="28.5" customHeight="1">
      <c r="A93" s="92" t="s">
        <v>106</v>
      </c>
      <c r="B93" s="93" t="s">
        <v>107</v>
      </c>
      <c r="C93" s="94">
        <f aca="true" t="shared" si="31" ref="C93:L93">SUM(C94:C95)</f>
        <v>0</v>
      </c>
      <c r="D93" s="94">
        <f t="shared" si="31"/>
        <v>0</v>
      </c>
      <c r="E93" s="94">
        <f t="shared" si="31"/>
        <v>0</v>
      </c>
      <c r="F93" s="94">
        <f t="shared" si="31"/>
        <v>0</v>
      </c>
      <c r="G93" s="94">
        <f t="shared" si="31"/>
        <v>0</v>
      </c>
      <c r="H93" s="94">
        <f t="shared" si="31"/>
        <v>0</v>
      </c>
      <c r="I93" s="94">
        <f t="shared" si="31"/>
        <v>0</v>
      </c>
      <c r="J93" s="94">
        <f t="shared" si="31"/>
        <v>0</v>
      </c>
      <c r="K93" s="94">
        <f t="shared" si="31"/>
        <v>0</v>
      </c>
      <c r="L93" s="95">
        <f t="shared" si="31"/>
        <v>0</v>
      </c>
      <c r="M93" s="97"/>
      <c r="N93" s="98"/>
      <c r="O93" s="99"/>
      <c r="P93" s="99"/>
    </row>
    <row r="94" spans="1:14" ht="24.75" customHeight="1">
      <c r="A94" s="29">
        <v>1</v>
      </c>
      <c r="B94" s="30" t="s">
        <v>108</v>
      </c>
      <c r="C94" s="21"/>
      <c r="D94" s="21"/>
      <c r="E94" s="21">
        <f>C94+D94</f>
        <v>0</v>
      </c>
      <c r="F94" s="21"/>
      <c r="G94" s="21"/>
      <c r="H94" s="21"/>
      <c r="I94" s="21"/>
      <c r="J94" s="21"/>
      <c r="K94" s="31">
        <f>G94+H94+I94+J94</f>
        <v>0</v>
      </c>
      <c r="L94" s="32">
        <f t="shared" si="26"/>
        <v>0</v>
      </c>
      <c r="M94" s="20"/>
      <c r="N94" s="21"/>
    </row>
    <row r="95" spans="1:14" ht="8.25">
      <c r="A95" s="29"/>
      <c r="B95" s="30"/>
      <c r="C95" s="21"/>
      <c r="D95" s="21"/>
      <c r="E95" s="21">
        <f>C95+D95</f>
        <v>0</v>
      </c>
      <c r="F95" s="21"/>
      <c r="G95" s="21"/>
      <c r="H95" s="21"/>
      <c r="I95" s="21"/>
      <c r="J95" s="21"/>
      <c r="K95" s="31">
        <f>G95+H95+I95+J95</f>
        <v>0</v>
      </c>
      <c r="L95" s="32">
        <f t="shared" si="26"/>
        <v>0</v>
      </c>
      <c r="M95" s="20"/>
      <c r="N95" s="21"/>
    </row>
    <row r="96" spans="1:16" ht="9.75">
      <c r="A96" s="92" t="s">
        <v>109</v>
      </c>
      <c r="B96" s="93" t="s">
        <v>110</v>
      </c>
      <c r="C96" s="94">
        <f aca="true" t="shared" si="32" ref="C96:P96">SUM(C97:C98)</f>
        <v>0</v>
      </c>
      <c r="D96" s="94">
        <f t="shared" si="32"/>
        <v>0</v>
      </c>
      <c r="E96" s="94">
        <f t="shared" si="32"/>
        <v>0</v>
      </c>
      <c r="F96" s="94">
        <f t="shared" si="32"/>
        <v>0</v>
      </c>
      <c r="G96" s="94">
        <f t="shared" si="32"/>
        <v>0</v>
      </c>
      <c r="H96" s="94">
        <f t="shared" si="32"/>
        <v>0</v>
      </c>
      <c r="I96" s="94">
        <f t="shared" si="32"/>
        <v>0</v>
      </c>
      <c r="J96" s="94">
        <f t="shared" si="32"/>
        <v>0</v>
      </c>
      <c r="K96" s="94">
        <f t="shared" si="32"/>
        <v>0</v>
      </c>
      <c r="L96" s="95">
        <f t="shared" si="32"/>
        <v>0</v>
      </c>
      <c r="M96" s="95">
        <f t="shared" si="32"/>
        <v>0</v>
      </c>
      <c r="N96" s="95">
        <f t="shared" si="32"/>
        <v>0</v>
      </c>
      <c r="O96" s="95">
        <f t="shared" si="32"/>
        <v>0</v>
      </c>
      <c r="P96" s="95">
        <f t="shared" si="32"/>
        <v>0</v>
      </c>
    </row>
    <row r="97" spans="1:14" ht="15.75" customHeight="1">
      <c r="A97" s="29">
        <v>1</v>
      </c>
      <c r="B97" s="30" t="s">
        <v>111</v>
      </c>
      <c r="C97" s="21"/>
      <c r="D97" s="21"/>
      <c r="E97" s="21">
        <f>C97+D97</f>
        <v>0</v>
      </c>
      <c r="F97" s="21"/>
      <c r="G97" s="21"/>
      <c r="H97" s="21"/>
      <c r="I97" s="21">
        <v>0</v>
      </c>
      <c r="J97" s="21"/>
      <c r="K97" s="31">
        <f>G97+H97+I97+J97</f>
        <v>0</v>
      </c>
      <c r="L97" s="32">
        <f t="shared" si="26"/>
        <v>0</v>
      </c>
      <c r="M97" s="20"/>
      <c r="N97" s="21"/>
    </row>
    <row r="98" spans="1:14" ht="8.25">
      <c r="A98" s="29"/>
      <c r="B98" s="30"/>
      <c r="C98" s="21"/>
      <c r="D98" s="21"/>
      <c r="E98" s="21">
        <f>C98+D98</f>
        <v>0</v>
      </c>
      <c r="F98" s="21"/>
      <c r="G98" s="21"/>
      <c r="H98" s="21"/>
      <c r="I98" s="21"/>
      <c r="J98" s="21"/>
      <c r="K98" s="31">
        <f>G98+H98+I98+J98</f>
        <v>0</v>
      </c>
      <c r="L98" s="32">
        <f t="shared" si="26"/>
        <v>0</v>
      </c>
      <c r="M98" s="20"/>
      <c r="N98" s="21"/>
    </row>
    <row r="99" spans="1:16" ht="15" customHeight="1">
      <c r="A99" s="92">
        <v>2</v>
      </c>
      <c r="B99" s="93" t="s">
        <v>112</v>
      </c>
      <c r="C99" s="94">
        <f aca="true" t="shared" si="33" ref="C99:P99">+C100+C103+C106+C110+C113</f>
        <v>0</v>
      </c>
      <c r="D99" s="94">
        <f>+D100+D103+D106+D110+D113</f>
        <v>0</v>
      </c>
      <c r="E99" s="94">
        <f>+E100+E103+E106+E110+E113</f>
        <v>0</v>
      </c>
      <c r="F99" s="94">
        <f>+F100+F103+F106+F110+F113</f>
        <v>0</v>
      </c>
      <c r="G99" s="94">
        <f t="shared" si="33"/>
        <v>0</v>
      </c>
      <c r="H99" s="94">
        <f t="shared" si="33"/>
        <v>0</v>
      </c>
      <c r="I99" s="94">
        <f t="shared" si="33"/>
        <v>0</v>
      </c>
      <c r="J99" s="94">
        <f t="shared" si="33"/>
        <v>0</v>
      </c>
      <c r="K99" s="94">
        <f t="shared" si="33"/>
        <v>0</v>
      </c>
      <c r="L99" s="95">
        <f t="shared" si="33"/>
        <v>0</v>
      </c>
      <c r="M99" s="95">
        <f t="shared" si="33"/>
        <v>0</v>
      </c>
      <c r="N99" s="95">
        <f t="shared" si="33"/>
        <v>0</v>
      </c>
      <c r="O99" s="95">
        <f t="shared" si="33"/>
        <v>0</v>
      </c>
      <c r="P99" s="95">
        <f t="shared" si="33"/>
        <v>0</v>
      </c>
    </row>
    <row r="100" spans="1:16" ht="23.25" customHeight="1">
      <c r="A100" s="92" t="s">
        <v>113</v>
      </c>
      <c r="B100" s="93" t="s">
        <v>114</v>
      </c>
      <c r="C100" s="94">
        <f>SUM(C101:C102)</f>
        <v>0</v>
      </c>
      <c r="D100" s="94">
        <f>+D101+D104+D107+D111+D114</f>
        <v>0</v>
      </c>
      <c r="E100" s="94">
        <f>+E101+E104+E107+E111+E114</f>
        <v>0</v>
      </c>
      <c r="F100" s="94">
        <f>+F101+F104+F107+F111+F114</f>
        <v>0</v>
      </c>
      <c r="G100" s="94">
        <f>+G101+G104+G107+G111+G114</f>
        <v>0</v>
      </c>
      <c r="H100" s="94">
        <f>+H101+H104+H107+H111+H114</f>
        <v>0</v>
      </c>
      <c r="I100" s="94">
        <f>SUM(I101:I102)</f>
        <v>0</v>
      </c>
      <c r="J100" s="94">
        <f>SUM(J101:J102)</f>
        <v>0</v>
      </c>
      <c r="K100" s="94">
        <f>SUM(K101:K102)</f>
        <v>0</v>
      </c>
      <c r="L100" s="95">
        <f>SUM(L101:L102)</f>
        <v>0</v>
      </c>
      <c r="M100" s="95">
        <f>SUM(M101:M102)</f>
        <v>0</v>
      </c>
      <c r="N100" s="95">
        <f>SUM(N101:N102)</f>
        <v>0</v>
      </c>
      <c r="O100" s="95">
        <f>SUM(O101:O102)</f>
        <v>0</v>
      </c>
      <c r="P100" s="95">
        <f>SUM(P101:P102)</f>
        <v>0</v>
      </c>
    </row>
    <row r="101" spans="1:14" ht="8.25">
      <c r="A101" s="29">
        <v>1</v>
      </c>
      <c r="B101" s="30" t="s">
        <v>115</v>
      </c>
      <c r="C101" s="21"/>
      <c r="D101" s="21"/>
      <c r="E101" s="21">
        <f>C101+D101</f>
        <v>0</v>
      </c>
      <c r="F101" s="21"/>
      <c r="G101" s="21"/>
      <c r="H101" s="21"/>
      <c r="I101" s="21"/>
      <c r="J101" s="21"/>
      <c r="K101" s="31">
        <f>G101+H101+I101+J101</f>
        <v>0</v>
      </c>
      <c r="L101" s="32">
        <f>+C101+D101+F101+G101+H101+I101+J101</f>
        <v>0</v>
      </c>
      <c r="M101" s="20"/>
      <c r="N101" s="21"/>
    </row>
    <row r="102" spans="1:14" ht="8.25">
      <c r="A102" s="29"/>
      <c r="B102" s="30"/>
      <c r="C102" s="21"/>
      <c r="D102" s="21"/>
      <c r="E102" s="21">
        <f>C102+D102</f>
        <v>0</v>
      </c>
      <c r="F102" s="21"/>
      <c r="G102" s="21"/>
      <c r="H102" s="21"/>
      <c r="I102" s="21"/>
      <c r="J102" s="21"/>
      <c r="K102" s="31">
        <f>G102+H102+I102+J102</f>
        <v>0</v>
      </c>
      <c r="L102" s="32">
        <f>+C102+D102+F102+G102+H102+I102+J102</f>
        <v>0</v>
      </c>
      <c r="M102" s="20"/>
      <c r="N102" s="21"/>
    </row>
    <row r="103" spans="1:16" ht="9.75">
      <c r="A103" s="92" t="s">
        <v>116</v>
      </c>
      <c r="B103" s="93" t="s">
        <v>117</v>
      </c>
      <c r="C103" s="94">
        <f aca="true" t="shared" si="34" ref="C103:L103">SUM(C104:C105)</f>
        <v>0</v>
      </c>
      <c r="D103" s="94">
        <f t="shared" si="34"/>
        <v>0</v>
      </c>
      <c r="E103" s="94">
        <f t="shared" si="34"/>
        <v>0</v>
      </c>
      <c r="F103" s="94">
        <f t="shared" si="34"/>
        <v>0</v>
      </c>
      <c r="G103" s="94">
        <f t="shared" si="34"/>
        <v>0</v>
      </c>
      <c r="H103" s="94">
        <f t="shared" si="34"/>
        <v>0</v>
      </c>
      <c r="I103" s="94">
        <f t="shared" si="34"/>
        <v>0</v>
      </c>
      <c r="J103" s="94">
        <f t="shared" si="34"/>
        <v>0</v>
      </c>
      <c r="K103" s="94">
        <f t="shared" si="34"/>
        <v>0</v>
      </c>
      <c r="L103" s="95">
        <f t="shared" si="34"/>
        <v>0</v>
      </c>
      <c r="M103" s="97"/>
      <c r="N103" s="98"/>
      <c r="O103" s="99"/>
      <c r="P103" s="99"/>
    </row>
    <row r="104" spans="1:14" ht="8.25">
      <c r="A104" s="29">
        <v>1</v>
      </c>
      <c r="B104" s="30" t="s">
        <v>118</v>
      </c>
      <c r="C104" s="21"/>
      <c r="D104" s="21"/>
      <c r="E104" s="21">
        <f>C104+D104</f>
        <v>0</v>
      </c>
      <c r="F104" s="21"/>
      <c r="G104" s="21"/>
      <c r="H104" s="21"/>
      <c r="I104" s="21"/>
      <c r="J104" s="21"/>
      <c r="K104" s="31">
        <f>G104+H104+I104+J104</f>
        <v>0</v>
      </c>
      <c r="L104" s="32">
        <f>+C104+D104+F104+G104+H104+I104+J104</f>
        <v>0</v>
      </c>
      <c r="M104" s="20"/>
      <c r="N104" s="21"/>
    </row>
    <row r="105" spans="1:14" ht="8.25">
      <c r="A105" s="29"/>
      <c r="B105" s="30"/>
      <c r="C105" s="21"/>
      <c r="D105" s="21"/>
      <c r="E105" s="21">
        <f>C105+D105</f>
        <v>0</v>
      </c>
      <c r="F105" s="21"/>
      <c r="G105" s="21"/>
      <c r="H105" s="21"/>
      <c r="I105" s="21"/>
      <c r="J105" s="21"/>
      <c r="K105" s="31">
        <f>G105+H105+I105+J105</f>
        <v>0</v>
      </c>
      <c r="L105" s="32">
        <f>+C105+D105+F105+G105+H105+I105+J105</f>
        <v>0</v>
      </c>
      <c r="M105" s="20"/>
      <c r="N105" s="21"/>
    </row>
    <row r="106" spans="1:16" ht="20.25" customHeight="1">
      <c r="A106" s="92" t="s">
        <v>119</v>
      </c>
      <c r="B106" s="93" t="s">
        <v>120</v>
      </c>
      <c r="C106" s="94">
        <f aca="true" t="shared" si="35" ref="C106:L106">SUM(C107:C109)</f>
        <v>0</v>
      </c>
      <c r="D106" s="94">
        <f t="shared" si="35"/>
        <v>0</v>
      </c>
      <c r="E106" s="94">
        <f t="shared" si="35"/>
        <v>0</v>
      </c>
      <c r="F106" s="94">
        <f t="shared" si="35"/>
        <v>0</v>
      </c>
      <c r="G106" s="94">
        <f t="shared" si="35"/>
        <v>0</v>
      </c>
      <c r="H106" s="94">
        <f t="shared" si="35"/>
        <v>0</v>
      </c>
      <c r="I106" s="94">
        <f t="shared" si="35"/>
        <v>0</v>
      </c>
      <c r="J106" s="94">
        <f t="shared" si="35"/>
        <v>0</v>
      </c>
      <c r="K106" s="94">
        <f t="shared" si="35"/>
        <v>0</v>
      </c>
      <c r="L106" s="95">
        <f t="shared" si="35"/>
        <v>0</v>
      </c>
      <c r="M106" s="97"/>
      <c r="N106" s="98"/>
      <c r="O106" s="99"/>
      <c r="P106" s="99"/>
    </row>
    <row r="107" spans="1:14" ht="9.75">
      <c r="A107" s="29">
        <v>1</v>
      </c>
      <c r="B107" s="30" t="s">
        <v>121</v>
      </c>
      <c r="C107" s="21"/>
      <c r="D107" s="25"/>
      <c r="E107" s="21">
        <f>C107+D107</f>
        <v>0</v>
      </c>
      <c r="F107" s="21"/>
      <c r="G107" s="25"/>
      <c r="H107" s="25"/>
      <c r="I107" s="25"/>
      <c r="J107" s="25"/>
      <c r="K107" s="31">
        <f>G107+H107+I107+J107</f>
        <v>0</v>
      </c>
      <c r="L107" s="32">
        <f aca="true" t="shared" si="36" ref="L107:L117">+C107+D107+F107+G107+H107+I107+J107</f>
        <v>0</v>
      </c>
      <c r="M107" s="20"/>
      <c r="N107" s="21"/>
    </row>
    <row r="108" spans="1:14" ht="9.75">
      <c r="A108" s="29">
        <v>2</v>
      </c>
      <c r="B108" s="30" t="s">
        <v>122</v>
      </c>
      <c r="C108" s="21"/>
      <c r="D108" s="25"/>
      <c r="E108" s="21">
        <f>C108+D108</f>
        <v>0</v>
      </c>
      <c r="F108" s="21"/>
      <c r="G108" s="25"/>
      <c r="H108" s="25"/>
      <c r="I108" s="25"/>
      <c r="J108" s="25"/>
      <c r="K108" s="31">
        <f>G108+H108+I108+J108</f>
        <v>0</v>
      </c>
      <c r="L108" s="32">
        <f t="shared" si="36"/>
        <v>0</v>
      </c>
      <c r="M108" s="20"/>
      <c r="N108" s="21"/>
    </row>
    <row r="109" spans="1:14" ht="9.75">
      <c r="A109" s="29"/>
      <c r="B109" s="30"/>
      <c r="C109" s="21"/>
      <c r="D109" s="25"/>
      <c r="E109" s="21">
        <f>C109+D109</f>
        <v>0</v>
      </c>
      <c r="F109" s="21"/>
      <c r="G109" s="25"/>
      <c r="H109" s="25"/>
      <c r="I109" s="25"/>
      <c r="J109" s="25"/>
      <c r="K109" s="31">
        <f>G109+H109+I109+J109</f>
        <v>0</v>
      </c>
      <c r="L109" s="32">
        <f t="shared" si="36"/>
        <v>0</v>
      </c>
      <c r="M109" s="20"/>
      <c r="N109" s="21"/>
    </row>
    <row r="110" spans="1:16" ht="18.75" customHeight="1">
      <c r="A110" s="92" t="s">
        <v>123</v>
      </c>
      <c r="B110" s="93" t="s">
        <v>124</v>
      </c>
      <c r="C110" s="94">
        <f aca="true" t="shared" si="37" ref="C110:L110">SUM(C111:C112)</f>
        <v>0</v>
      </c>
      <c r="D110" s="94">
        <f t="shared" si="37"/>
        <v>0</v>
      </c>
      <c r="E110" s="94">
        <f t="shared" si="37"/>
        <v>0</v>
      </c>
      <c r="F110" s="94">
        <f t="shared" si="37"/>
        <v>0</v>
      </c>
      <c r="G110" s="94">
        <f t="shared" si="37"/>
        <v>0</v>
      </c>
      <c r="H110" s="94">
        <f t="shared" si="37"/>
        <v>0</v>
      </c>
      <c r="I110" s="94">
        <f t="shared" si="37"/>
        <v>0</v>
      </c>
      <c r="J110" s="94">
        <f t="shared" si="37"/>
        <v>0</v>
      </c>
      <c r="K110" s="94">
        <f t="shared" si="37"/>
        <v>0</v>
      </c>
      <c r="L110" s="95">
        <f t="shared" si="37"/>
        <v>0</v>
      </c>
      <c r="M110" s="97"/>
      <c r="N110" s="98"/>
      <c r="O110" s="99"/>
      <c r="P110" s="99"/>
    </row>
    <row r="111" spans="1:14" ht="8.25">
      <c r="A111" s="29">
        <v>1</v>
      </c>
      <c r="B111" s="30" t="s">
        <v>125</v>
      </c>
      <c r="C111" s="21"/>
      <c r="D111" s="21"/>
      <c r="E111" s="21">
        <f aca="true" t="shared" si="38" ref="E111:E117">C111+D111</f>
        <v>0</v>
      </c>
      <c r="F111" s="21"/>
      <c r="G111" s="21"/>
      <c r="H111" s="21"/>
      <c r="I111" s="21"/>
      <c r="J111" s="21"/>
      <c r="K111" s="31">
        <f>G111+H111+I111+J111</f>
        <v>0</v>
      </c>
      <c r="L111" s="32">
        <f t="shared" si="36"/>
        <v>0</v>
      </c>
      <c r="M111" s="20"/>
      <c r="N111" s="21"/>
    </row>
    <row r="112" spans="1:14" ht="9.75">
      <c r="A112" s="29"/>
      <c r="B112" s="24"/>
      <c r="C112" s="21"/>
      <c r="D112" s="21"/>
      <c r="E112" s="21">
        <f t="shared" si="38"/>
        <v>0</v>
      </c>
      <c r="F112" s="21"/>
      <c r="G112" s="21"/>
      <c r="H112" s="21"/>
      <c r="I112" s="21"/>
      <c r="J112" s="21"/>
      <c r="K112" s="31">
        <f>G112+H112+I112+J112</f>
        <v>0</v>
      </c>
      <c r="L112" s="32">
        <f t="shared" si="36"/>
        <v>0</v>
      </c>
      <c r="M112" s="20"/>
      <c r="N112" s="21"/>
    </row>
    <row r="113" spans="1:16" ht="20.25" customHeight="1">
      <c r="A113" s="92" t="s">
        <v>126</v>
      </c>
      <c r="B113" s="93" t="s">
        <v>127</v>
      </c>
      <c r="C113" s="94">
        <f aca="true" t="shared" si="39" ref="C113:P113">SUM(C114:C117)</f>
        <v>0</v>
      </c>
      <c r="D113" s="94">
        <f t="shared" si="39"/>
        <v>0</v>
      </c>
      <c r="E113" s="94">
        <f t="shared" si="39"/>
        <v>0</v>
      </c>
      <c r="F113" s="94">
        <f t="shared" si="39"/>
        <v>0</v>
      </c>
      <c r="G113" s="94">
        <f t="shared" si="39"/>
        <v>0</v>
      </c>
      <c r="H113" s="94">
        <f t="shared" si="39"/>
        <v>0</v>
      </c>
      <c r="I113" s="94">
        <f t="shared" si="39"/>
        <v>0</v>
      </c>
      <c r="J113" s="94">
        <f t="shared" si="39"/>
        <v>0</v>
      </c>
      <c r="K113" s="94">
        <f t="shared" si="39"/>
        <v>0</v>
      </c>
      <c r="L113" s="95">
        <f t="shared" si="39"/>
        <v>0</v>
      </c>
      <c r="M113" s="95">
        <f t="shared" si="39"/>
        <v>0</v>
      </c>
      <c r="N113" s="95">
        <f t="shared" si="39"/>
        <v>0</v>
      </c>
      <c r="O113" s="95">
        <f t="shared" si="39"/>
        <v>0</v>
      </c>
      <c r="P113" s="95">
        <f t="shared" si="39"/>
        <v>0</v>
      </c>
    </row>
    <row r="114" spans="1:14" ht="24.75" customHeight="1">
      <c r="A114" s="29">
        <v>1</v>
      </c>
      <c r="B114" s="30" t="s">
        <v>128</v>
      </c>
      <c r="C114" s="21"/>
      <c r="D114" s="21"/>
      <c r="E114" s="21">
        <f t="shared" si="38"/>
        <v>0</v>
      </c>
      <c r="F114" s="21"/>
      <c r="G114" s="21"/>
      <c r="H114" s="21"/>
      <c r="I114" s="21"/>
      <c r="J114" s="21"/>
      <c r="K114" s="31">
        <f>G114+H114+I114+J114</f>
        <v>0</v>
      </c>
      <c r="L114" s="32">
        <f t="shared" si="36"/>
        <v>0</v>
      </c>
      <c r="M114" s="20"/>
      <c r="N114" s="21"/>
    </row>
    <row r="115" spans="1:14" ht="19.5" customHeight="1">
      <c r="A115" s="29">
        <v>2</v>
      </c>
      <c r="B115" s="30" t="s">
        <v>129</v>
      </c>
      <c r="C115" s="21"/>
      <c r="D115" s="21"/>
      <c r="E115" s="21">
        <f t="shared" si="38"/>
        <v>0</v>
      </c>
      <c r="F115" s="21"/>
      <c r="G115" s="21"/>
      <c r="H115" s="21"/>
      <c r="I115" s="21">
        <v>0</v>
      </c>
      <c r="J115" s="21"/>
      <c r="K115" s="31">
        <f>G115+H115+I115+J115</f>
        <v>0</v>
      </c>
      <c r="L115" s="32">
        <f t="shared" si="36"/>
        <v>0</v>
      </c>
      <c r="M115" s="20"/>
      <c r="N115" s="21"/>
    </row>
    <row r="116" spans="1:14" ht="21" customHeight="1">
      <c r="A116" s="29">
        <v>3</v>
      </c>
      <c r="B116" s="30" t="s">
        <v>130</v>
      </c>
      <c r="C116" s="21"/>
      <c r="D116" s="21"/>
      <c r="E116" s="21">
        <f t="shared" si="38"/>
        <v>0</v>
      </c>
      <c r="F116" s="21"/>
      <c r="G116" s="21"/>
      <c r="H116" s="21"/>
      <c r="I116" s="21"/>
      <c r="J116" s="21"/>
      <c r="K116" s="31">
        <f>G116+H116+I116+J116</f>
        <v>0</v>
      </c>
      <c r="L116" s="32">
        <f t="shared" si="36"/>
        <v>0</v>
      </c>
      <c r="M116" s="20"/>
      <c r="N116" s="21"/>
    </row>
    <row r="117" spans="1:14" ht="23.25" customHeight="1" thickBot="1">
      <c r="A117" s="34">
        <v>4</v>
      </c>
      <c r="B117" s="35" t="s">
        <v>131</v>
      </c>
      <c r="C117" s="36"/>
      <c r="D117" s="36"/>
      <c r="E117" s="36">
        <f t="shared" si="38"/>
        <v>0</v>
      </c>
      <c r="F117" s="36"/>
      <c r="G117" s="36"/>
      <c r="H117" s="36"/>
      <c r="I117" s="36">
        <v>0</v>
      </c>
      <c r="J117" s="36"/>
      <c r="K117" s="37">
        <f>G117+H117+I117+J117</f>
        <v>0</v>
      </c>
      <c r="L117" s="32">
        <f t="shared" si="36"/>
        <v>0</v>
      </c>
      <c r="M117" s="20"/>
      <c r="N117" s="21"/>
    </row>
    <row r="118" spans="1:14" ht="8.25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0"/>
      <c r="N118" s="21"/>
    </row>
    <row r="119" spans="1:14" ht="8.25">
      <c r="A119" s="39"/>
      <c r="B119" s="40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20"/>
      <c r="N119" s="21"/>
    </row>
    <row r="120" spans="1:14" ht="15" customHeight="1">
      <c r="A120" s="220" t="s">
        <v>452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0"/>
      <c r="N120" s="21"/>
    </row>
    <row r="121" spans="1:14" ht="9" thickBot="1">
      <c r="A121" s="39"/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20"/>
      <c r="N121" s="21"/>
    </row>
    <row r="122" spans="1:14" ht="18.75" customHeight="1">
      <c r="A122" s="41">
        <v>3</v>
      </c>
      <c r="B122" s="42" t="s">
        <v>132</v>
      </c>
      <c r="C122" s="42">
        <f>C123+C135+C141+C146+C151+C154</f>
        <v>136567394</v>
      </c>
      <c r="D122" s="42">
        <v>0</v>
      </c>
      <c r="E122" s="42"/>
      <c r="F122" s="42"/>
      <c r="G122" s="42"/>
      <c r="H122" s="42"/>
      <c r="I122" s="42">
        <v>0</v>
      </c>
      <c r="J122" s="42">
        <v>0</v>
      </c>
      <c r="K122" s="43"/>
      <c r="L122" s="44">
        <f>L123+L135+L141+L146+L151+L154</f>
        <v>136567394</v>
      </c>
      <c r="M122" s="20"/>
      <c r="N122" s="21"/>
    </row>
    <row r="123" spans="1:15" ht="8.25">
      <c r="A123" s="45">
        <v>311</v>
      </c>
      <c r="B123" s="25" t="s">
        <v>133</v>
      </c>
      <c r="C123" s="25">
        <f>SUM(C124:C130)</f>
        <v>95967394</v>
      </c>
      <c r="D123" s="25">
        <v>0</v>
      </c>
      <c r="E123" s="25"/>
      <c r="F123" s="25"/>
      <c r="G123" s="25"/>
      <c r="H123" s="25"/>
      <c r="I123" s="25">
        <v>0</v>
      </c>
      <c r="J123" s="25">
        <v>0</v>
      </c>
      <c r="K123" s="46"/>
      <c r="L123" s="26">
        <f>SUM(C123:J123)</f>
        <v>95967394</v>
      </c>
      <c r="M123" s="20"/>
      <c r="N123" s="21"/>
      <c r="O123" s="3">
        <f>14000000*6</f>
        <v>84000000</v>
      </c>
    </row>
    <row r="124" spans="1:15" ht="8.25">
      <c r="A124" s="47"/>
      <c r="B124" s="21" t="s">
        <v>486</v>
      </c>
      <c r="C124" s="21">
        <f>2500*500*12</f>
        <v>15000000</v>
      </c>
      <c r="D124" s="25"/>
      <c r="E124" s="25"/>
      <c r="F124" s="25"/>
      <c r="G124" s="25"/>
      <c r="H124" s="25"/>
      <c r="I124" s="25"/>
      <c r="J124" s="25"/>
      <c r="K124" s="46"/>
      <c r="L124" s="32">
        <f aca="true" t="shared" si="40" ref="L124:L134">SUM(C124:K124)</f>
        <v>15000000</v>
      </c>
      <c r="M124" s="20"/>
      <c r="N124" s="21"/>
      <c r="O124" s="3">
        <v>54173124</v>
      </c>
    </row>
    <row r="125" spans="1:14" ht="8.25">
      <c r="A125" s="47"/>
      <c r="B125" s="21" t="s">
        <v>485</v>
      </c>
      <c r="C125" s="21">
        <f>10000*500*12</f>
        <v>60000000</v>
      </c>
      <c r="D125" s="25"/>
      <c r="E125" s="25"/>
      <c r="F125" s="25"/>
      <c r="G125" s="25"/>
      <c r="H125" s="25"/>
      <c r="I125" s="25"/>
      <c r="J125" s="25"/>
      <c r="K125" s="46"/>
      <c r="L125" s="32"/>
      <c r="M125" s="20"/>
      <c r="N125" s="21"/>
    </row>
    <row r="126" spans="1:15" ht="8.25">
      <c r="A126" s="47"/>
      <c r="B126" s="21" t="s">
        <v>134</v>
      </c>
      <c r="C126" s="21">
        <v>500000</v>
      </c>
      <c r="D126" s="21"/>
      <c r="E126" s="21"/>
      <c r="F126" s="21"/>
      <c r="G126" s="21"/>
      <c r="H126" s="21"/>
      <c r="I126" s="21"/>
      <c r="J126" s="21"/>
      <c r="K126" s="31"/>
      <c r="L126" s="32">
        <f t="shared" si="40"/>
        <v>500000</v>
      </c>
      <c r="M126" s="20"/>
      <c r="N126" s="21"/>
      <c r="O126" s="3">
        <f>SUM(O123:O124)</f>
        <v>138173124</v>
      </c>
    </row>
    <row r="127" spans="1:15" ht="8.25">
      <c r="A127" s="47"/>
      <c r="B127" s="21" t="s">
        <v>135</v>
      </c>
      <c r="C127" s="21">
        <v>2000000</v>
      </c>
      <c r="D127" s="21"/>
      <c r="E127" s="21"/>
      <c r="F127" s="21"/>
      <c r="G127" s="21"/>
      <c r="H127" s="21"/>
      <c r="I127" s="21"/>
      <c r="J127" s="21"/>
      <c r="K127" s="31"/>
      <c r="L127" s="32">
        <f t="shared" si="40"/>
        <v>2000000</v>
      </c>
      <c r="M127" s="20"/>
      <c r="N127" s="21"/>
      <c r="O127" s="3">
        <v>4953124</v>
      </c>
    </row>
    <row r="128" spans="1:14" ht="8.25">
      <c r="A128" s="47"/>
      <c r="B128" s="21" t="s">
        <v>136</v>
      </c>
      <c r="C128" s="21">
        <v>200000</v>
      </c>
      <c r="D128" s="25"/>
      <c r="E128" s="25"/>
      <c r="F128" s="25"/>
      <c r="G128" s="25"/>
      <c r="H128" s="25"/>
      <c r="I128" s="25"/>
      <c r="J128" s="25"/>
      <c r="K128" s="46"/>
      <c r="L128" s="32">
        <f t="shared" si="40"/>
        <v>200000</v>
      </c>
      <c r="M128" s="20"/>
      <c r="N128" s="21"/>
    </row>
    <row r="129" spans="1:14" ht="8.25">
      <c r="A129" s="47"/>
      <c r="B129" s="21" t="s">
        <v>137</v>
      </c>
      <c r="C129" s="21">
        <f>+'GAST 2012'!F120*3</f>
        <v>18167394</v>
      </c>
      <c r="D129" s="25"/>
      <c r="E129" s="25"/>
      <c r="F129" s="25"/>
      <c r="G129" s="25"/>
      <c r="H129" s="25"/>
      <c r="I129" s="25"/>
      <c r="J129" s="25"/>
      <c r="K129" s="46"/>
      <c r="L129" s="32">
        <f t="shared" si="40"/>
        <v>18167394</v>
      </c>
      <c r="M129" s="20"/>
      <c r="N129" s="21"/>
    </row>
    <row r="130" spans="1:14" ht="8.25">
      <c r="A130" s="45"/>
      <c r="B130" s="21" t="s">
        <v>487</v>
      </c>
      <c r="C130" s="21">
        <v>100000</v>
      </c>
      <c r="D130" s="25"/>
      <c r="E130" s="25"/>
      <c r="F130" s="25"/>
      <c r="G130" s="25"/>
      <c r="H130" s="25"/>
      <c r="I130" s="25"/>
      <c r="J130" s="25"/>
      <c r="K130" s="46"/>
      <c r="L130" s="32">
        <f t="shared" si="40"/>
        <v>100000</v>
      </c>
      <c r="M130" s="20"/>
      <c r="N130" s="21"/>
    </row>
    <row r="131" spans="1:14" ht="8.25">
      <c r="A131" s="45"/>
      <c r="B131" s="21" t="s">
        <v>488</v>
      </c>
      <c r="C131" s="21">
        <v>0</v>
      </c>
      <c r="D131" s="25"/>
      <c r="E131" s="25"/>
      <c r="F131" s="25"/>
      <c r="G131" s="25"/>
      <c r="H131" s="25"/>
      <c r="I131" s="25"/>
      <c r="J131" s="25"/>
      <c r="K131" s="46"/>
      <c r="L131" s="32">
        <f t="shared" si="40"/>
        <v>0</v>
      </c>
      <c r="M131" s="20"/>
      <c r="N131" s="21"/>
    </row>
    <row r="132" spans="1:14" ht="8.25">
      <c r="A132" s="45"/>
      <c r="B132" s="21" t="s">
        <v>489</v>
      </c>
      <c r="C132" s="21">
        <v>100000</v>
      </c>
      <c r="D132" s="25"/>
      <c r="E132" s="25"/>
      <c r="F132" s="25"/>
      <c r="G132" s="25"/>
      <c r="H132" s="25"/>
      <c r="I132" s="25"/>
      <c r="J132" s="25"/>
      <c r="K132" s="46"/>
      <c r="L132" s="32">
        <f t="shared" si="40"/>
        <v>100000</v>
      </c>
      <c r="M132" s="20"/>
      <c r="N132" s="21"/>
    </row>
    <row r="133" spans="1:14" ht="8.25">
      <c r="A133" s="45"/>
      <c r="B133" s="21" t="s">
        <v>484</v>
      </c>
      <c r="C133" s="21">
        <v>100000</v>
      </c>
      <c r="D133" s="25"/>
      <c r="E133" s="25"/>
      <c r="F133" s="25"/>
      <c r="G133" s="25"/>
      <c r="H133" s="25"/>
      <c r="I133" s="25"/>
      <c r="J133" s="25"/>
      <c r="K133" s="46"/>
      <c r="L133" s="32">
        <f t="shared" si="40"/>
        <v>100000</v>
      </c>
      <c r="M133" s="20"/>
      <c r="N133" s="21"/>
    </row>
    <row r="134" spans="1:14" ht="8.25">
      <c r="A134" s="45"/>
      <c r="B134" s="21" t="s">
        <v>490</v>
      </c>
      <c r="C134" s="21">
        <v>50000</v>
      </c>
      <c r="D134" s="25"/>
      <c r="E134" s="25"/>
      <c r="F134" s="25"/>
      <c r="G134" s="25"/>
      <c r="H134" s="25"/>
      <c r="I134" s="25"/>
      <c r="J134" s="25"/>
      <c r="K134" s="46"/>
      <c r="L134" s="32">
        <f t="shared" si="40"/>
        <v>50000</v>
      </c>
      <c r="M134" s="20"/>
      <c r="N134" s="21"/>
    </row>
    <row r="135" spans="1:14" ht="8.25">
      <c r="A135" s="45">
        <v>312</v>
      </c>
      <c r="B135" s="25" t="s">
        <v>138</v>
      </c>
      <c r="C135" s="25">
        <f>SUM(C136:C139)</f>
        <v>14100000</v>
      </c>
      <c r="D135" s="25">
        <v>0</v>
      </c>
      <c r="E135" s="25"/>
      <c r="F135" s="25"/>
      <c r="G135" s="25"/>
      <c r="H135" s="25"/>
      <c r="I135" s="25">
        <v>0</v>
      </c>
      <c r="J135" s="25">
        <v>0</v>
      </c>
      <c r="K135" s="46"/>
      <c r="L135" s="26">
        <f>SUM(L136:L139)</f>
        <v>14100000</v>
      </c>
      <c r="M135" s="20"/>
      <c r="N135" s="21"/>
    </row>
    <row r="136" spans="1:14" ht="8.25">
      <c r="A136" s="47"/>
      <c r="B136" s="21" t="s">
        <v>139</v>
      </c>
      <c r="C136" s="21">
        <f>1500*500*12</f>
        <v>9000000</v>
      </c>
      <c r="D136" s="21"/>
      <c r="E136" s="21"/>
      <c r="F136" s="21"/>
      <c r="G136" s="21"/>
      <c r="H136" s="21"/>
      <c r="I136" s="21"/>
      <c r="J136" s="21"/>
      <c r="K136" s="31"/>
      <c r="L136" s="32">
        <f>SUM(C136:K136)</f>
        <v>9000000</v>
      </c>
      <c r="M136" s="20"/>
      <c r="N136" s="21"/>
    </row>
    <row r="137" spans="1:14" ht="8.25">
      <c r="A137" s="47"/>
      <c r="B137" s="21" t="s">
        <v>140</v>
      </c>
      <c r="C137" s="21">
        <v>0</v>
      </c>
      <c r="D137" s="21"/>
      <c r="E137" s="21"/>
      <c r="F137" s="21"/>
      <c r="G137" s="21"/>
      <c r="H137" s="21"/>
      <c r="I137" s="21"/>
      <c r="J137" s="21"/>
      <c r="K137" s="31"/>
      <c r="L137" s="32">
        <f>SUM(C137:K137)</f>
        <v>0</v>
      </c>
      <c r="M137" s="20"/>
      <c r="N137" s="21"/>
    </row>
    <row r="138" spans="1:14" ht="8.25">
      <c r="A138" s="47"/>
      <c r="B138" s="21" t="s">
        <v>136</v>
      </c>
      <c r="C138" s="21">
        <v>100000</v>
      </c>
      <c r="D138" s="21"/>
      <c r="E138" s="21"/>
      <c r="F138" s="21"/>
      <c r="G138" s="21"/>
      <c r="H138" s="21"/>
      <c r="I138" s="21"/>
      <c r="J138" s="21"/>
      <c r="K138" s="31"/>
      <c r="L138" s="32">
        <f>SUM(C138:K138)</f>
        <v>100000</v>
      </c>
      <c r="M138" s="20"/>
      <c r="N138" s="21"/>
    </row>
    <row r="139" spans="1:14" ht="8.25">
      <c r="A139" s="47"/>
      <c r="B139" s="21" t="s">
        <v>137</v>
      </c>
      <c r="C139" s="21">
        <v>5000000</v>
      </c>
      <c r="D139" s="21"/>
      <c r="E139" s="21"/>
      <c r="F139" s="21"/>
      <c r="G139" s="21"/>
      <c r="H139" s="21"/>
      <c r="I139" s="21"/>
      <c r="J139" s="21"/>
      <c r="K139" s="31"/>
      <c r="L139" s="32">
        <f>SUM(C139:K139)</f>
        <v>5000000</v>
      </c>
      <c r="M139" s="20"/>
      <c r="N139" s="21"/>
    </row>
    <row r="140" spans="1:14" ht="8.25">
      <c r="A140" s="45"/>
      <c r="B140" s="21" t="s">
        <v>484</v>
      </c>
      <c r="C140" s="21">
        <v>200000</v>
      </c>
      <c r="D140" s="21"/>
      <c r="E140" s="21"/>
      <c r="F140" s="21"/>
      <c r="G140" s="21"/>
      <c r="H140" s="21"/>
      <c r="I140" s="21"/>
      <c r="J140" s="21"/>
      <c r="K140" s="31"/>
      <c r="L140" s="32"/>
      <c r="M140" s="20"/>
      <c r="N140" s="21"/>
    </row>
    <row r="141" spans="1:14" ht="8.25">
      <c r="A141" s="45">
        <v>313</v>
      </c>
      <c r="B141" s="25" t="s">
        <v>141</v>
      </c>
      <c r="C141" s="25">
        <f>SUM(C142:C144)</f>
        <v>23500000</v>
      </c>
      <c r="D141" s="25">
        <v>0</v>
      </c>
      <c r="E141" s="25"/>
      <c r="F141" s="25"/>
      <c r="G141" s="25"/>
      <c r="H141" s="25"/>
      <c r="I141" s="25">
        <v>0</v>
      </c>
      <c r="J141" s="25">
        <v>0</v>
      </c>
      <c r="K141" s="46"/>
      <c r="L141" s="26">
        <f>SUM(L142:L144)</f>
        <v>23500000</v>
      </c>
      <c r="M141" s="20"/>
      <c r="N141" s="21"/>
    </row>
    <row r="142" spans="1:14" ht="8.25">
      <c r="A142" s="47"/>
      <c r="B142" s="21" t="s">
        <v>142</v>
      </c>
      <c r="C142" s="21">
        <f>3000*500*12</f>
        <v>18000000</v>
      </c>
      <c r="D142" s="25"/>
      <c r="E142" s="25"/>
      <c r="F142" s="25"/>
      <c r="G142" s="25"/>
      <c r="H142" s="25"/>
      <c r="I142" s="25"/>
      <c r="J142" s="25"/>
      <c r="K142" s="46"/>
      <c r="L142" s="32">
        <f>SUM(C142:K142)</f>
        <v>18000000</v>
      </c>
      <c r="M142" s="20"/>
      <c r="N142" s="21"/>
    </row>
    <row r="143" spans="1:14" ht="8.25">
      <c r="A143" s="47"/>
      <c r="B143" s="21" t="s">
        <v>136</v>
      </c>
      <c r="C143" s="21">
        <v>500000</v>
      </c>
      <c r="D143" s="21"/>
      <c r="E143" s="21"/>
      <c r="F143" s="21"/>
      <c r="G143" s="21"/>
      <c r="H143" s="21"/>
      <c r="I143" s="21"/>
      <c r="J143" s="21"/>
      <c r="K143" s="31"/>
      <c r="L143" s="32">
        <f>SUM(C143:K143)</f>
        <v>500000</v>
      </c>
      <c r="M143" s="20"/>
      <c r="N143" s="21"/>
    </row>
    <row r="144" spans="1:14" ht="8.25">
      <c r="A144" s="47"/>
      <c r="B144" s="21" t="s">
        <v>137</v>
      </c>
      <c r="C144" s="21">
        <v>5000000</v>
      </c>
      <c r="D144" s="21"/>
      <c r="E144" s="21"/>
      <c r="F144" s="21"/>
      <c r="G144" s="21"/>
      <c r="H144" s="21"/>
      <c r="I144" s="21"/>
      <c r="J144" s="21"/>
      <c r="K144" s="31"/>
      <c r="L144" s="32">
        <f>SUM(C144:K144)</f>
        <v>5000000</v>
      </c>
      <c r="M144" s="20"/>
      <c r="N144" s="21"/>
    </row>
    <row r="145" spans="1:14" ht="8.25">
      <c r="A145" s="45"/>
      <c r="B145" s="21" t="s">
        <v>484</v>
      </c>
      <c r="C145" s="21">
        <v>100000</v>
      </c>
      <c r="D145" s="21"/>
      <c r="E145" s="21"/>
      <c r="F145" s="21"/>
      <c r="G145" s="21"/>
      <c r="H145" s="21"/>
      <c r="I145" s="21"/>
      <c r="J145" s="21"/>
      <c r="K145" s="31"/>
      <c r="L145" s="32"/>
      <c r="M145" s="20"/>
      <c r="N145" s="21"/>
    </row>
    <row r="146" spans="1:14" ht="8.25">
      <c r="A146" s="45">
        <v>314</v>
      </c>
      <c r="B146" s="25" t="s">
        <v>143</v>
      </c>
      <c r="C146" s="25">
        <f>SUM(C147:C150)</f>
        <v>2000000</v>
      </c>
      <c r="D146" s="25">
        <v>0</v>
      </c>
      <c r="E146" s="25"/>
      <c r="F146" s="25"/>
      <c r="G146" s="25"/>
      <c r="H146" s="25"/>
      <c r="I146" s="25">
        <v>0</v>
      </c>
      <c r="J146" s="25">
        <v>0</v>
      </c>
      <c r="K146" s="46"/>
      <c r="L146" s="26">
        <f>SUM(L147:L150)</f>
        <v>2000000</v>
      </c>
      <c r="M146" s="20"/>
      <c r="N146" s="21"/>
    </row>
    <row r="147" spans="1:14" ht="8.25">
      <c r="A147" s="47"/>
      <c r="B147" s="21" t="s">
        <v>144</v>
      </c>
      <c r="C147" s="21">
        <v>1000000</v>
      </c>
      <c r="D147" s="21"/>
      <c r="E147" s="21"/>
      <c r="F147" s="21"/>
      <c r="G147" s="21"/>
      <c r="H147" s="21"/>
      <c r="I147" s="21"/>
      <c r="J147" s="21"/>
      <c r="K147" s="31"/>
      <c r="L147" s="32">
        <f>SUM(C147:K147)</f>
        <v>1000000</v>
      </c>
      <c r="M147" s="20"/>
      <c r="N147" s="21"/>
    </row>
    <row r="148" spans="1:14" ht="8.25">
      <c r="A148" s="47"/>
      <c r="B148" s="21" t="s">
        <v>145</v>
      </c>
      <c r="C148" s="21">
        <v>500000</v>
      </c>
      <c r="D148" s="21"/>
      <c r="E148" s="21"/>
      <c r="F148" s="21"/>
      <c r="G148" s="21"/>
      <c r="H148" s="21"/>
      <c r="I148" s="21"/>
      <c r="J148" s="21"/>
      <c r="K148" s="31"/>
      <c r="L148" s="32">
        <f>SUM(C148:K148)</f>
        <v>500000</v>
      </c>
      <c r="M148" s="20"/>
      <c r="N148" s="21"/>
    </row>
    <row r="149" spans="1:14" ht="8.25">
      <c r="A149" s="47"/>
      <c r="B149" s="21" t="s">
        <v>146</v>
      </c>
      <c r="C149" s="21">
        <v>500000</v>
      </c>
      <c r="D149" s="21"/>
      <c r="E149" s="21"/>
      <c r="F149" s="21"/>
      <c r="G149" s="21"/>
      <c r="H149" s="21"/>
      <c r="I149" s="21"/>
      <c r="J149" s="21"/>
      <c r="K149" s="31"/>
      <c r="L149" s="32">
        <f>SUM(C149:K149)</f>
        <v>500000</v>
      </c>
      <c r="M149" s="20"/>
      <c r="N149" s="21"/>
    </row>
    <row r="150" spans="1:14" ht="8.25">
      <c r="A150" s="48"/>
      <c r="B150" s="21"/>
      <c r="C150" s="21"/>
      <c r="D150" s="21"/>
      <c r="E150" s="21"/>
      <c r="F150" s="21"/>
      <c r="G150" s="21"/>
      <c r="H150" s="21"/>
      <c r="I150" s="21"/>
      <c r="J150" s="21"/>
      <c r="K150" s="31"/>
      <c r="L150" s="32">
        <f>SUM(C150:K150)</f>
        <v>0</v>
      </c>
      <c r="M150" s="20"/>
      <c r="N150" s="21"/>
    </row>
    <row r="151" spans="1:14" ht="8.25">
      <c r="A151" s="49">
        <v>315</v>
      </c>
      <c r="B151" s="25" t="s">
        <v>147</v>
      </c>
      <c r="C151" s="25">
        <f>SUM(C152:C153)</f>
        <v>1000000</v>
      </c>
      <c r="D151" s="25">
        <v>0</v>
      </c>
      <c r="E151" s="25"/>
      <c r="F151" s="25"/>
      <c r="G151" s="25"/>
      <c r="H151" s="25"/>
      <c r="I151" s="25">
        <v>0</v>
      </c>
      <c r="J151" s="25">
        <v>0</v>
      </c>
      <c r="K151" s="46"/>
      <c r="L151" s="26">
        <f>SUM(L152:L153)</f>
        <v>1000000</v>
      </c>
      <c r="M151" s="20"/>
      <c r="N151" s="21"/>
    </row>
    <row r="152" spans="1:14" ht="8.25">
      <c r="A152" s="47"/>
      <c r="B152" s="21" t="s">
        <v>148</v>
      </c>
      <c r="C152" s="21">
        <v>1000000</v>
      </c>
      <c r="D152" s="21"/>
      <c r="E152" s="21"/>
      <c r="F152" s="21"/>
      <c r="G152" s="21"/>
      <c r="H152" s="21"/>
      <c r="I152" s="21"/>
      <c r="J152" s="21"/>
      <c r="K152" s="31"/>
      <c r="L152" s="32">
        <f>SUM(C152:K152)</f>
        <v>1000000</v>
      </c>
      <c r="M152" s="20"/>
      <c r="N152" s="21"/>
    </row>
    <row r="153" spans="1:14" ht="8.25">
      <c r="A153" s="48"/>
      <c r="B153" s="21"/>
      <c r="C153" s="21"/>
      <c r="D153" s="21"/>
      <c r="E153" s="21"/>
      <c r="F153" s="21"/>
      <c r="G153" s="21"/>
      <c r="H153" s="21"/>
      <c r="I153" s="21"/>
      <c r="J153" s="21"/>
      <c r="K153" s="31"/>
      <c r="L153" s="32">
        <f>SUM(C153:K153)</f>
        <v>0</v>
      </c>
      <c r="M153" s="20"/>
      <c r="N153" s="21"/>
    </row>
    <row r="154" spans="1:14" ht="8.25">
      <c r="A154" s="49">
        <v>316</v>
      </c>
      <c r="B154" s="25" t="s">
        <v>149</v>
      </c>
      <c r="C154" s="25">
        <f>+C155</f>
        <v>0</v>
      </c>
      <c r="D154" s="25">
        <v>0</v>
      </c>
      <c r="E154" s="25"/>
      <c r="F154" s="25"/>
      <c r="G154" s="25"/>
      <c r="H154" s="25"/>
      <c r="I154" s="25">
        <v>0</v>
      </c>
      <c r="J154" s="25">
        <v>0</v>
      </c>
      <c r="K154" s="46"/>
      <c r="L154" s="26">
        <f>SUM(L155)</f>
        <v>0</v>
      </c>
      <c r="M154" s="20"/>
      <c r="N154" s="21"/>
    </row>
    <row r="155" spans="1:14" ht="9" thickBot="1">
      <c r="A155" s="50"/>
      <c r="B155" s="35" t="s">
        <v>150</v>
      </c>
      <c r="C155" s="36">
        <v>0</v>
      </c>
      <c r="D155" s="36"/>
      <c r="E155" s="36"/>
      <c r="F155" s="36"/>
      <c r="G155" s="36"/>
      <c r="H155" s="36"/>
      <c r="I155" s="36"/>
      <c r="J155" s="36"/>
      <c r="K155" s="37"/>
      <c r="L155" s="38">
        <f>SUM(C155:K155)</f>
        <v>0</v>
      </c>
      <c r="M155" s="20"/>
      <c r="N155" s="21"/>
    </row>
    <row r="158" ht="8.25" hidden="1">
      <c r="B158" s="51" t="s">
        <v>151</v>
      </c>
    </row>
    <row r="159" ht="8.25" hidden="1">
      <c r="B159" s="51" t="s">
        <v>152</v>
      </c>
    </row>
    <row r="160" ht="8.25" hidden="1"/>
    <row r="161" spans="2:3" ht="8.25" hidden="1">
      <c r="B161" s="53">
        <f>2605860*12*11*80+19928650</f>
        <v>27537810250</v>
      </c>
      <c r="C161" s="54">
        <v>19928650.245</v>
      </c>
    </row>
    <row r="162" ht="8.25" hidden="1"/>
    <row r="163" spans="2:8" ht="8.25" hidden="1">
      <c r="B163" s="51" t="s">
        <v>153</v>
      </c>
      <c r="C163" s="54">
        <v>2605860</v>
      </c>
      <c r="D163" s="54"/>
      <c r="E163" s="54"/>
      <c r="F163" s="54"/>
      <c r="G163" s="54"/>
      <c r="H163" s="54"/>
    </row>
    <row r="164" spans="2:8" ht="8.25" hidden="1">
      <c r="B164" s="51" t="s">
        <v>154</v>
      </c>
      <c r="C164" s="54">
        <f>C163/30</f>
        <v>86862</v>
      </c>
      <c r="D164" s="54"/>
      <c r="E164" s="54"/>
      <c r="F164" s="54"/>
      <c r="G164" s="54"/>
      <c r="H164" s="54"/>
    </row>
    <row r="165" spans="1:14" ht="8.25" hidden="1">
      <c r="A165" s="3"/>
      <c r="B165" s="51" t="s">
        <v>155</v>
      </c>
      <c r="C165" s="54">
        <f>+C163/30*82*11</f>
        <v>78349524</v>
      </c>
      <c r="D165" s="54"/>
      <c r="E165" s="54"/>
      <c r="F165" s="54"/>
      <c r="G165" s="54"/>
      <c r="H165" s="54"/>
      <c r="I165" s="3"/>
      <c r="J165" s="3"/>
      <c r="K165" s="3"/>
      <c r="L165" s="3"/>
      <c r="M165" s="3"/>
      <c r="N165" s="3"/>
    </row>
    <row r="166" spans="1:14" ht="8.25" hidden="1">
      <c r="A166" s="3"/>
      <c r="B166" s="51" t="s">
        <v>156</v>
      </c>
      <c r="C166" s="55">
        <f>C161</f>
        <v>19928650.245</v>
      </c>
      <c r="D166" s="54"/>
      <c r="E166" s="54"/>
      <c r="F166" s="54"/>
      <c r="G166" s="54"/>
      <c r="H166" s="54"/>
      <c r="I166" s="3"/>
      <c r="J166" s="3"/>
      <c r="K166" s="3"/>
      <c r="L166" s="3"/>
      <c r="M166" s="3"/>
      <c r="N166" s="3"/>
    </row>
    <row r="167" spans="1:14" ht="8.25" hidden="1">
      <c r="A167" s="3"/>
      <c r="B167" s="51" t="s">
        <v>157</v>
      </c>
      <c r="C167" s="56">
        <f>SUM(C165:C166)</f>
        <v>98278174.245</v>
      </c>
      <c r="D167" s="54"/>
      <c r="E167" s="54"/>
      <c r="F167" s="54"/>
      <c r="G167" s="54"/>
      <c r="H167" s="54"/>
      <c r="I167" s="3"/>
      <c r="J167" s="3"/>
      <c r="K167" s="3"/>
      <c r="L167" s="3"/>
      <c r="M167" s="3"/>
      <c r="N167" s="3"/>
    </row>
  </sheetData>
  <sheetProtection/>
  <mergeCells count="5">
    <mergeCell ref="G3:J3"/>
    <mergeCell ref="C3:F3"/>
    <mergeCell ref="A120:L120"/>
    <mergeCell ref="A1:K1"/>
    <mergeCell ref="A2:K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8"/>
  <sheetViews>
    <sheetView tabSelected="1" zoomScale="90" zoomScaleNormal="90" zoomScalePageLayoutView="0" workbookViewId="0" topLeftCell="A1">
      <pane ySplit="16" topLeftCell="A137" activePane="bottomLeft" state="frozen"/>
      <selection pane="topLeft" activeCell="A1" sqref="A1"/>
      <selection pane="bottomLeft" activeCell="A163" sqref="A163"/>
    </sheetView>
  </sheetViews>
  <sheetFormatPr defaultColWidth="11.421875" defaultRowHeight="15"/>
  <cols>
    <col min="1" max="1" width="6.8515625" style="57" customWidth="1"/>
    <col min="2" max="2" width="35.8515625" style="74" customWidth="1"/>
    <col min="3" max="3" width="12.421875" style="57" customWidth="1"/>
    <col min="4" max="4" width="12.28125" style="57" customWidth="1"/>
    <col min="5" max="5" width="12.8515625" style="57" hidden="1" customWidth="1"/>
    <col min="6" max="6" width="13.57421875" style="57" customWidth="1"/>
    <col min="7" max="7" width="13.140625" style="57" customWidth="1"/>
    <col min="8" max="8" width="11.00390625" style="57" customWidth="1"/>
    <col min="9" max="9" width="12.140625" style="57" customWidth="1"/>
    <col min="10" max="10" width="11.8515625" style="57" customWidth="1"/>
    <col min="11" max="11" width="12.00390625" style="57" customWidth="1"/>
    <col min="12" max="12" width="11.421875" style="57" customWidth="1"/>
    <col min="13" max="13" width="11.8515625" style="57" customWidth="1"/>
    <col min="14" max="14" width="13.00390625" style="57" hidden="1" customWidth="1"/>
    <col min="15" max="15" width="15.8515625" style="79" customWidth="1"/>
    <col min="16" max="16" width="16.140625" style="0" hidden="1" customWidth="1"/>
    <col min="17" max="17" width="1.57421875" style="0" hidden="1" customWidth="1"/>
    <col min="19" max="19" width="17.7109375" style="0" customWidth="1"/>
    <col min="20" max="20" width="24.421875" style="0" customWidth="1"/>
    <col min="22" max="22" width="17.421875" style="0" customWidth="1"/>
    <col min="24" max="24" width="17.28125" style="0" customWidth="1"/>
    <col min="253" max="253" width="3.7109375" style="0" customWidth="1"/>
    <col min="254" max="254" width="24.140625" style="0" customWidth="1"/>
    <col min="255" max="16384" width="9.7109375" style="0" customWidth="1"/>
  </cols>
  <sheetData>
    <row r="1" spans="2:15" ht="29.25" customHeight="1">
      <c r="B1" s="223" t="s">
        <v>523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30" customHeight="1" thickBot="1">
      <c r="A2" s="57" t="s">
        <v>158</v>
      </c>
      <c r="B2" s="222" t="s">
        <v>524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2:15" ht="12.75" customHeight="1" hidden="1">
      <c r="B3" s="58"/>
      <c r="C3" s="62" t="s">
        <v>159</v>
      </c>
      <c r="D3" s="62" t="s">
        <v>160</v>
      </c>
      <c r="E3" s="62"/>
      <c r="F3" s="60"/>
      <c r="G3" s="60"/>
      <c r="H3" s="60"/>
      <c r="I3" s="60"/>
      <c r="J3" s="60"/>
      <c r="K3" s="60"/>
      <c r="L3" s="60"/>
      <c r="M3" s="60"/>
      <c r="N3" s="60"/>
      <c r="O3" s="59"/>
    </row>
    <row r="4" spans="2:15" ht="12.75" customHeight="1" hidden="1">
      <c r="B4" s="58" t="s">
        <v>161</v>
      </c>
      <c r="C4" s="59">
        <f>+'[1]ING-11'!C6</f>
        <v>661636157</v>
      </c>
      <c r="D4" s="59">
        <f>+'[1]ING-11'!D6</f>
        <v>657373571</v>
      </c>
      <c r="E4" s="59"/>
      <c r="F4" s="60"/>
      <c r="G4" s="60"/>
      <c r="H4" s="60"/>
      <c r="I4" s="60"/>
      <c r="J4" s="60"/>
      <c r="K4" s="60"/>
      <c r="L4" s="60"/>
      <c r="M4" s="60"/>
      <c r="N4" s="60"/>
      <c r="O4" s="59"/>
    </row>
    <row r="5" spans="2:15" ht="12.75" customHeight="1" hidden="1">
      <c r="B5" s="63" t="s">
        <v>162</v>
      </c>
      <c r="C5" s="64">
        <f>ROUND(C4*80%,0)</f>
        <v>529308926</v>
      </c>
      <c r="D5" s="64">
        <f>ROUND(D4*80%,0)</f>
        <v>525898857</v>
      </c>
      <c r="E5" s="64"/>
      <c r="O5" s="59"/>
    </row>
    <row r="6" spans="2:16" ht="12.75" customHeight="1" hidden="1">
      <c r="B6" s="63" t="s">
        <v>163</v>
      </c>
      <c r="C6" s="64">
        <f>+C18</f>
        <v>489160000</v>
      </c>
      <c r="D6" s="64">
        <f>+D18</f>
        <v>264515029</v>
      </c>
      <c r="E6" s="64"/>
      <c r="J6" s="65" t="s">
        <v>164</v>
      </c>
      <c r="K6" s="65"/>
      <c r="L6" s="65"/>
      <c r="M6" s="65"/>
      <c r="N6" s="65"/>
      <c r="O6" s="66"/>
      <c r="P6" s="67"/>
    </row>
    <row r="7" spans="2:15" ht="12.75" customHeight="1" hidden="1">
      <c r="B7" s="63" t="s">
        <v>165</v>
      </c>
      <c r="C7" s="68">
        <f>+C5-C6</f>
        <v>40148926</v>
      </c>
      <c r="D7" s="68">
        <f>+D5-D6</f>
        <v>261383828</v>
      </c>
      <c r="E7" s="68"/>
      <c r="O7" s="59"/>
    </row>
    <row r="8" spans="2:15" ht="12.75" customHeight="1" hidden="1">
      <c r="B8" s="69" t="s">
        <v>166</v>
      </c>
      <c r="C8" s="70">
        <f>+C4-C5</f>
        <v>132327231</v>
      </c>
      <c r="D8" s="70">
        <f>+D4-D5</f>
        <v>131474714</v>
      </c>
      <c r="E8" s="70"/>
      <c r="O8" s="59"/>
    </row>
    <row r="9" spans="2:15" ht="12.75" customHeight="1" hidden="1">
      <c r="B9" s="69" t="s">
        <v>167</v>
      </c>
      <c r="C9" s="70">
        <f>+C87</f>
        <v>0</v>
      </c>
      <c r="D9" s="70">
        <f>+D87</f>
        <v>0</v>
      </c>
      <c r="E9" s="70"/>
      <c r="O9" s="59"/>
    </row>
    <row r="10" spans="2:15" ht="12.75" customHeight="1" hidden="1">
      <c r="B10" s="69" t="s">
        <v>168</v>
      </c>
      <c r="C10" s="68">
        <f>+C8-C9</f>
        <v>132327231</v>
      </c>
      <c r="D10" s="68">
        <f>+D8-D9</f>
        <v>131474714</v>
      </c>
      <c r="E10" s="68"/>
      <c r="O10" s="59"/>
    </row>
    <row r="11" spans="2:15" ht="12.75" customHeight="1" hidden="1">
      <c r="B11" s="69" t="s">
        <v>169</v>
      </c>
      <c r="C11" s="71">
        <f>+C7+C10</f>
        <v>172476157</v>
      </c>
      <c r="D11" s="71">
        <f>+D7+D10</f>
        <v>392858542</v>
      </c>
      <c r="E11" s="71"/>
      <c r="O11" s="59"/>
    </row>
    <row r="12" spans="2:15" ht="12.75" customHeight="1" hidden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</row>
    <row r="13" spans="2:15" ht="12.75" customHeight="1" hidden="1">
      <c r="B13" s="72" t="s">
        <v>170</v>
      </c>
      <c r="C13" s="73">
        <f>+'[1]ING-11'!C6</f>
        <v>661636157</v>
      </c>
      <c r="D13" s="73">
        <f>+'[1]ING-11'!D6</f>
        <v>657373571</v>
      </c>
      <c r="E13" s="73"/>
      <c r="F13" s="73">
        <f>+'[1]ING-11'!H6</f>
        <v>974862370</v>
      </c>
      <c r="G13" s="73"/>
      <c r="H13" s="73"/>
      <c r="I13" s="73"/>
      <c r="J13" s="73">
        <f>+'[1]ING-11'!I6</f>
        <v>9500000</v>
      </c>
      <c r="K13" s="73"/>
      <c r="L13" s="73"/>
      <c r="M13" s="73"/>
      <c r="N13" s="73"/>
      <c r="O13" s="73">
        <f>+'[1]ING-11'!K6</f>
        <v>5866528188</v>
      </c>
    </row>
    <row r="14" spans="2:15" ht="13.5" customHeight="1" hidden="1">
      <c r="B14" s="72" t="s">
        <v>171</v>
      </c>
      <c r="C14" s="68">
        <f>+C13-C17</f>
        <v>172476157</v>
      </c>
      <c r="D14" s="68">
        <f>+D13-D17</f>
        <v>392858542</v>
      </c>
      <c r="E14" s="68"/>
      <c r="F14" s="68">
        <f>+F13-F17</f>
        <v>-507628172</v>
      </c>
      <c r="G14" s="68"/>
      <c r="H14" s="68"/>
      <c r="I14" s="68"/>
      <c r="J14" s="68">
        <f>+J13-J17</f>
        <v>-7500000</v>
      </c>
      <c r="K14" s="68"/>
      <c r="L14" s="68"/>
      <c r="M14" s="68"/>
      <c r="N14" s="68"/>
      <c r="O14" s="68">
        <f>+O13-O17</f>
        <v>3187733703</v>
      </c>
    </row>
    <row r="15" spans="1:15" ht="45.75" customHeight="1" thickBot="1">
      <c r="A15" s="204"/>
      <c r="B15" s="205"/>
      <c r="C15" s="224" t="s">
        <v>525</v>
      </c>
      <c r="D15" s="225"/>
      <c r="E15" s="206"/>
      <c r="F15" s="229" t="s">
        <v>461</v>
      </c>
      <c r="G15" s="230"/>
      <c r="H15" s="230"/>
      <c r="I15" s="230"/>
      <c r="J15" s="230"/>
      <c r="K15" s="230"/>
      <c r="L15" s="230"/>
      <c r="M15" s="231"/>
      <c r="N15" s="207"/>
      <c r="O15" s="208"/>
    </row>
    <row r="16" spans="1:15" ht="53.25">
      <c r="A16" s="209" t="s">
        <v>172</v>
      </c>
      <c r="B16" s="210" t="s">
        <v>2</v>
      </c>
      <c r="C16" s="211" t="s">
        <v>496</v>
      </c>
      <c r="D16" s="212" t="s">
        <v>517</v>
      </c>
      <c r="E16" s="213" t="s">
        <v>5</v>
      </c>
      <c r="F16" s="214" t="s">
        <v>518</v>
      </c>
      <c r="G16" s="215" t="s">
        <v>463</v>
      </c>
      <c r="H16" s="215" t="s">
        <v>500</v>
      </c>
      <c r="I16" s="215" t="s">
        <v>499</v>
      </c>
      <c r="J16" s="215" t="s">
        <v>505</v>
      </c>
      <c r="K16" s="215" t="s">
        <v>498</v>
      </c>
      <c r="L16" s="215" t="s">
        <v>462</v>
      </c>
      <c r="M16" s="215" t="s">
        <v>464</v>
      </c>
      <c r="N16" s="216" t="s">
        <v>9</v>
      </c>
      <c r="O16" s="214" t="s">
        <v>10</v>
      </c>
    </row>
    <row r="17" spans="1:17" ht="15">
      <c r="A17" s="185">
        <v>0</v>
      </c>
      <c r="B17" s="186" t="s">
        <v>173</v>
      </c>
      <c r="C17" s="187">
        <f aca="true" t="shared" si="0" ref="C17:M17">+C18+C87</f>
        <v>489160000</v>
      </c>
      <c r="D17" s="187">
        <f t="shared" si="0"/>
        <v>264515029</v>
      </c>
      <c r="E17" s="187">
        <f t="shared" si="0"/>
        <v>747008069</v>
      </c>
      <c r="F17" s="187">
        <f t="shared" si="0"/>
        <v>1482490542</v>
      </c>
      <c r="G17" s="187">
        <f t="shared" si="0"/>
        <v>220736479.98000002</v>
      </c>
      <c r="H17" s="187">
        <f t="shared" si="0"/>
        <v>2987033</v>
      </c>
      <c r="I17" s="187">
        <f t="shared" si="0"/>
        <v>161905401</v>
      </c>
      <c r="J17" s="187">
        <f t="shared" si="0"/>
        <v>17000000</v>
      </c>
      <c r="K17" s="187">
        <f t="shared" si="0"/>
        <v>0</v>
      </c>
      <c r="L17" s="187">
        <f t="shared" si="0"/>
        <v>0</v>
      </c>
      <c r="M17" s="187">
        <f t="shared" si="0"/>
        <v>40000000</v>
      </c>
      <c r="N17" s="169">
        <f>F17+I17+J17+M17</f>
        <v>1701395943</v>
      </c>
      <c r="O17" s="188">
        <f>ROUND(O18+O87,0)</f>
        <v>2678794485</v>
      </c>
      <c r="P17" s="163">
        <f>SUM(C17:J17)</f>
        <v>3385802553.98</v>
      </c>
      <c r="Q17" s="164"/>
    </row>
    <row r="18" spans="1:17" ht="15">
      <c r="A18" s="185">
        <v>1</v>
      </c>
      <c r="B18" s="186" t="s">
        <v>174</v>
      </c>
      <c r="C18" s="187">
        <f aca="true" t="shared" si="1" ref="C18:M18">+C19+C22</f>
        <v>489160000</v>
      </c>
      <c r="D18" s="187">
        <f t="shared" si="1"/>
        <v>264515029</v>
      </c>
      <c r="E18" s="187">
        <f t="shared" si="1"/>
        <v>747008069</v>
      </c>
      <c r="F18" s="187">
        <f t="shared" si="1"/>
        <v>0</v>
      </c>
      <c r="G18" s="187">
        <f t="shared" si="1"/>
        <v>0</v>
      </c>
      <c r="H18" s="187">
        <f t="shared" si="1"/>
        <v>0</v>
      </c>
      <c r="I18" s="187">
        <f t="shared" si="1"/>
        <v>0</v>
      </c>
      <c r="J18" s="187">
        <f t="shared" si="1"/>
        <v>0</v>
      </c>
      <c r="K18" s="187">
        <f t="shared" si="1"/>
        <v>0</v>
      </c>
      <c r="L18" s="187">
        <f t="shared" si="1"/>
        <v>0</v>
      </c>
      <c r="M18" s="187">
        <f t="shared" si="1"/>
        <v>0</v>
      </c>
      <c r="N18" s="169">
        <f>F18+I18+J18+M18+N18</f>
        <v>0</v>
      </c>
      <c r="O18" s="188">
        <f>+O19+O22</f>
        <v>753675029</v>
      </c>
      <c r="P18" s="165"/>
      <c r="Q18" s="165"/>
    </row>
    <row r="19" spans="1:17" ht="31.5" customHeight="1">
      <c r="A19" s="166" t="s">
        <v>38</v>
      </c>
      <c r="B19" s="167" t="s">
        <v>455</v>
      </c>
      <c r="C19" s="168">
        <f aca="true" t="shared" si="2" ref="C19:M19">C20+C21</f>
        <v>4000000</v>
      </c>
      <c r="D19" s="168">
        <f t="shared" si="2"/>
        <v>182289157</v>
      </c>
      <c r="E19" s="168">
        <f t="shared" si="2"/>
        <v>186289157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0</v>
      </c>
      <c r="J19" s="168">
        <f t="shared" si="2"/>
        <v>0</v>
      </c>
      <c r="K19" s="168">
        <f t="shared" si="2"/>
        <v>0</v>
      </c>
      <c r="L19" s="168">
        <f t="shared" si="2"/>
        <v>0</v>
      </c>
      <c r="M19" s="168">
        <f t="shared" si="2"/>
        <v>0</v>
      </c>
      <c r="N19" s="169">
        <f>F19+I19+J19+M19+N19</f>
        <v>0</v>
      </c>
      <c r="O19" s="170">
        <f>O20+O21</f>
        <v>186289157</v>
      </c>
      <c r="P19" s="171"/>
      <c r="Q19" s="171"/>
    </row>
    <row r="20" spans="1:17" ht="15">
      <c r="A20" s="146">
        <v>1</v>
      </c>
      <c r="B20" s="148" t="s">
        <v>175</v>
      </c>
      <c r="C20" s="149"/>
      <c r="D20" s="149">
        <v>101284157</v>
      </c>
      <c r="E20" s="150">
        <f>C20+D20</f>
        <v>101284157</v>
      </c>
      <c r="F20" s="149"/>
      <c r="G20" s="149"/>
      <c r="H20" s="149"/>
      <c r="I20" s="149"/>
      <c r="J20" s="149"/>
      <c r="K20" s="151"/>
      <c r="L20" s="151"/>
      <c r="M20" s="151"/>
      <c r="N20" s="151">
        <f>F20+I20+J20+M20</f>
        <v>0</v>
      </c>
      <c r="O20" s="152">
        <f>+C20+D20+F20+G20+H20+I20+J20+K20+L20+M20</f>
        <v>101284157</v>
      </c>
      <c r="P20" s="147"/>
      <c r="Q20" s="147"/>
    </row>
    <row r="21" spans="1:22" ht="15">
      <c r="A21" s="146">
        <v>2</v>
      </c>
      <c r="B21" s="148" t="s">
        <v>176</v>
      </c>
      <c r="C21" s="149">
        <v>4000000</v>
      </c>
      <c r="D21" s="149">
        <v>81005000</v>
      </c>
      <c r="E21" s="150">
        <f>C21+D21</f>
        <v>85005000</v>
      </c>
      <c r="F21" s="149"/>
      <c r="G21" s="149"/>
      <c r="H21" s="149"/>
      <c r="I21" s="149"/>
      <c r="J21" s="149"/>
      <c r="K21" s="151"/>
      <c r="L21" s="151"/>
      <c r="M21" s="151"/>
      <c r="N21" s="151">
        <f>F21+I21+J21+M21</f>
        <v>0</v>
      </c>
      <c r="O21" s="152">
        <f>+C21+D21+F21+G21+H21+I21+J21+K21+L21+M21</f>
        <v>85005000</v>
      </c>
      <c r="P21" s="147"/>
      <c r="Q21" s="147"/>
      <c r="S21" s="61" t="e">
        <f>+V21-#REF!</f>
        <v>#REF!</v>
      </c>
      <c r="T21">
        <v>566700</v>
      </c>
      <c r="U21">
        <v>150</v>
      </c>
      <c r="V21">
        <f>+U21*T21</f>
        <v>85005000</v>
      </c>
    </row>
    <row r="22" spans="1:17" ht="12.75" customHeight="1">
      <c r="A22" s="172" t="s">
        <v>177</v>
      </c>
      <c r="B22" s="173" t="s">
        <v>178</v>
      </c>
      <c r="C22" s="174">
        <f aca="true" t="shared" si="3" ref="C22:O22">+C23+C50+C77+C82+C85</f>
        <v>485160000</v>
      </c>
      <c r="D22" s="174">
        <f t="shared" si="3"/>
        <v>82225872</v>
      </c>
      <c r="E22" s="174">
        <f t="shared" si="3"/>
        <v>560718912</v>
      </c>
      <c r="F22" s="174">
        <f t="shared" si="3"/>
        <v>0</v>
      </c>
      <c r="G22" s="174">
        <f t="shared" si="3"/>
        <v>0</v>
      </c>
      <c r="H22" s="174">
        <f t="shared" si="3"/>
        <v>0</v>
      </c>
      <c r="I22" s="174">
        <f t="shared" si="3"/>
        <v>0</v>
      </c>
      <c r="J22" s="174">
        <f t="shared" si="3"/>
        <v>0</v>
      </c>
      <c r="K22" s="174">
        <f t="shared" si="3"/>
        <v>0</v>
      </c>
      <c r="L22" s="174">
        <f t="shared" si="3"/>
        <v>0</v>
      </c>
      <c r="M22" s="174">
        <f t="shared" si="3"/>
        <v>0</v>
      </c>
      <c r="N22" s="174">
        <f t="shared" si="3"/>
        <v>0</v>
      </c>
      <c r="O22" s="175">
        <f t="shared" si="3"/>
        <v>567385872</v>
      </c>
      <c r="P22" s="176"/>
      <c r="Q22" s="177"/>
    </row>
    <row r="23" spans="1:17" ht="12.75" customHeight="1">
      <c r="A23" s="172" t="s">
        <v>179</v>
      </c>
      <c r="B23" s="173" t="s">
        <v>180</v>
      </c>
      <c r="C23" s="174">
        <f aca="true" t="shared" si="4" ref="C23:Q23">+C24+C35+C37+C44</f>
        <v>337160000</v>
      </c>
      <c r="D23" s="174">
        <f t="shared" si="4"/>
        <v>82225872</v>
      </c>
      <c r="E23" s="174">
        <f t="shared" si="4"/>
        <v>412718912</v>
      </c>
      <c r="F23" s="174">
        <f t="shared" si="4"/>
        <v>0</v>
      </c>
      <c r="G23" s="174">
        <f t="shared" si="4"/>
        <v>0</v>
      </c>
      <c r="H23" s="174">
        <f t="shared" si="4"/>
        <v>0</v>
      </c>
      <c r="I23" s="174">
        <f t="shared" si="4"/>
        <v>0</v>
      </c>
      <c r="J23" s="174">
        <f t="shared" si="4"/>
        <v>0</v>
      </c>
      <c r="K23" s="174">
        <f t="shared" si="4"/>
        <v>0</v>
      </c>
      <c r="L23" s="174">
        <f t="shared" si="4"/>
        <v>0</v>
      </c>
      <c r="M23" s="174">
        <f t="shared" si="4"/>
        <v>0</v>
      </c>
      <c r="N23" s="174">
        <f t="shared" si="4"/>
        <v>0</v>
      </c>
      <c r="O23" s="175">
        <f t="shared" si="4"/>
        <v>419385872</v>
      </c>
      <c r="P23" s="175">
        <f t="shared" si="4"/>
        <v>0</v>
      </c>
      <c r="Q23" s="175">
        <f t="shared" si="4"/>
        <v>0</v>
      </c>
    </row>
    <row r="24" spans="1:24" ht="24" customHeight="1">
      <c r="A24" s="172" t="s">
        <v>182</v>
      </c>
      <c r="B24" s="173" t="s">
        <v>181</v>
      </c>
      <c r="C24" s="174">
        <f>SUM(C25:C34)</f>
        <v>138016652</v>
      </c>
      <c r="D24" s="174">
        <f aca="true" t="shared" si="5" ref="D24:M24">SUM(D25:D34)</f>
        <v>82225872</v>
      </c>
      <c r="E24" s="174">
        <f t="shared" si="5"/>
        <v>213575564</v>
      </c>
      <c r="F24" s="174">
        <f t="shared" si="5"/>
        <v>0</v>
      </c>
      <c r="G24" s="174">
        <f t="shared" si="5"/>
        <v>0</v>
      </c>
      <c r="H24" s="174">
        <f t="shared" si="5"/>
        <v>0</v>
      </c>
      <c r="I24" s="174">
        <f t="shared" si="5"/>
        <v>0</v>
      </c>
      <c r="J24" s="174">
        <f t="shared" si="5"/>
        <v>0</v>
      </c>
      <c r="K24" s="174">
        <f t="shared" si="5"/>
        <v>0</v>
      </c>
      <c r="L24" s="174">
        <f t="shared" si="5"/>
        <v>0</v>
      </c>
      <c r="M24" s="174">
        <f t="shared" si="5"/>
        <v>0</v>
      </c>
      <c r="N24" s="174">
        <f>SUM(N25:N34)</f>
        <v>0</v>
      </c>
      <c r="O24" s="175">
        <f>SUM(O25:O34)</f>
        <v>220242524</v>
      </c>
      <c r="P24" s="175">
        <f>SUM(P25:P34)</f>
        <v>0</v>
      </c>
      <c r="Q24" s="175">
        <f>SUM(Q25:Q34)</f>
        <v>0</v>
      </c>
      <c r="T24" t="s">
        <v>471</v>
      </c>
      <c r="U24">
        <v>1</v>
      </c>
      <c r="V24" s="90">
        <v>2500000</v>
      </c>
      <c r="W24">
        <v>12</v>
      </c>
      <c r="X24" s="90">
        <f>+U24*V24*W24</f>
        <v>30000000</v>
      </c>
    </row>
    <row r="25" spans="1:24" ht="15">
      <c r="A25" s="146">
        <v>1</v>
      </c>
      <c r="B25" s="148" t="s">
        <v>183</v>
      </c>
      <c r="C25" s="149">
        <v>77781868</v>
      </c>
      <c r="D25" s="149">
        <v>82225872</v>
      </c>
      <c r="E25" s="149">
        <f aca="true" t="shared" si="6" ref="E25:E49">C25+D25</f>
        <v>160007740</v>
      </c>
      <c r="F25" s="149"/>
      <c r="G25" s="149"/>
      <c r="H25" s="149"/>
      <c r="I25" s="149"/>
      <c r="J25" s="149"/>
      <c r="K25" s="151"/>
      <c r="L25" s="151"/>
      <c r="M25" s="151"/>
      <c r="N25" s="151">
        <f aca="true" t="shared" si="7" ref="N25:N49">F25+I25+J25+M25</f>
        <v>0</v>
      </c>
      <c r="O25" s="152">
        <f aca="true" t="shared" si="8" ref="O25:O49">+C25+D25+F25+G25+H25+I25+J25+K25+L25+M25</f>
        <v>160007740</v>
      </c>
      <c r="P25" s="147"/>
      <c r="Q25" s="147"/>
      <c r="T25" t="s">
        <v>472</v>
      </c>
      <c r="U25">
        <v>2</v>
      </c>
      <c r="V25" s="90">
        <v>2500000</v>
      </c>
      <c r="W25">
        <v>12</v>
      </c>
      <c r="X25" s="90">
        <f>+U25*V25*W25</f>
        <v>60000000</v>
      </c>
    </row>
    <row r="26" spans="1:24" ht="17.25" customHeight="1">
      <c r="A26" s="190">
        <f>+A25+1</f>
        <v>2</v>
      </c>
      <c r="B26" s="148" t="s">
        <v>184</v>
      </c>
      <c r="C26" s="149">
        <f>1133760*12</f>
        <v>13605120</v>
      </c>
      <c r="D26" s="149"/>
      <c r="E26" s="149">
        <f t="shared" si="6"/>
        <v>13605120</v>
      </c>
      <c r="F26" s="149"/>
      <c r="G26" s="149"/>
      <c r="H26" s="149"/>
      <c r="I26" s="149"/>
      <c r="J26" s="149"/>
      <c r="K26" s="151"/>
      <c r="L26" s="151"/>
      <c r="M26" s="151"/>
      <c r="N26" s="151">
        <v>0</v>
      </c>
      <c r="O26" s="152">
        <f t="shared" si="8"/>
        <v>13605120</v>
      </c>
      <c r="P26" s="147"/>
      <c r="Q26" s="147"/>
      <c r="T26" t="s">
        <v>473</v>
      </c>
      <c r="U26">
        <v>1</v>
      </c>
      <c r="V26" s="90">
        <v>1100000</v>
      </c>
      <c r="W26">
        <v>12</v>
      </c>
      <c r="X26" s="90">
        <f>+U26*V26*W26</f>
        <v>13200000</v>
      </c>
    </row>
    <row r="27" spans="1:24" ht="17.25" customHeight="1">
      <c r="A27" s="190">
        <f aca="true" t="shared" si="9" ref="A27:A34">+A26+1</f>
        <v>3</v>
      </c>
      <c r="B27" s="148" t="s">
        <v>492</v>
      </c>
      <c r="C27" s="149">
        <f>555580*12</f>
        <v>6666960</v>
      </c>
      <c r="D27" s="149"/>
      <c r="E27" s="149"/>
      <c r="F27" s="149"/>
      <c r="G27" s="149"/>
      <c r="H27" s="149"/>
      <c r="I27" s="149"/>
      <c r="J27" s="149"/>
      <c r="K27" s="151"/>
      <c r="L27" s="151"/>
      <c r="M27" s="151"/>
      <c r="N27" s="151"/>
      <c r="O27" s="152">
        <f t="shared" si="8"/>
        <v>6666960</v>
      </c>
      <c r="P27" s="147"/>
      <c r="Q27" s="147"/>
      <c r="V27" s="90"/>
      <c r="X27" s="90"/>
    </row>
    <row r="28" spans="1:24" ht="12.75" customHeight="1">
      <c r="A28" s="190">
        <f t="shared" si="9"/>
        <v>4</v>
      </c>
      <c r="B28" s="148" t="s">
        <v>185</v>
      </c>
      <c r="C28" s="149">
        <v>2000000</v>
      </c>
      <c r="D28" s="149"/>
      <c r="E28" s="149">
        <f t="shared" si="6"/>
        <v>2000000</v>
      </c>
      <c r="F28" s="149"/>
      <c r="G28" s="149"/>
      <c r="H28" s="149"/>
      <c r="I28" s="149"/>
      <c r="J28" s="149"/>
      <c r="K28" s="151"/>
      <c r="L28" s="151"/>
      <c r="M28" s="151"/>
      <c r="N28" s="151">
        <f t="shared" si="7"/>
        <v>0</v>
      </c>
      <c r="O28" s="152">
        <f t="shared" si="8"/>
        <v>2000000</v>
      </c>
      <c r="P28" s="147"/>
      <c r="Q28" s="147"/>
      <c r="T28" t="s">
        <v>474</v>
      </c>
      <c r="U28">
        <v>1</v>
      </c>
      <c r="V28" s="90">
        <v>1160000</v>
      </c>
      <c r="W28">
        <v>12</v>
      </c>
      <c r="X28" s="90">
        <f>+U28*V28*W28</f>
        <v>13920000</v>
      </c>
    </row>
    <row r="29" spans="1:24" ht="12.75" customHeight="1">
      <c r="A29" s="190">
        <f t="shared" si="9"/>
        <v>5</v>
      </c>
      <c r="B29" s="148" t="s">
        <v>186</v>
      </c>
      <c r="C29" s="149">
        <f>555580*12</f>
        <v>6666960</v>
      </c>
      <c r="D29" s="149"/>
      <c r="E29" s="149">
        <f t="shared" si="6"/>
        <v>6666960</v>
      </c>
      <c r="F29" s="149"/>
      <c r="G29" s="149"/>
      <c r="H29" s="149"/>
      <c r="I29" s="149"/>
      <c r="J29" s="149"/>
      <c r="K29" s="151"/>
      <c r="L29" s="151"/>
      <c r="M29" s="151"/>
      <c r="N29" s="151">
        <f t="shared" si="7"/>
        <v>0</v>
      </c>
      <c r="O29" s="152">
        <f t="shared" si="8"/>
        <v>6666960</v>
      </c>
      <c r="P29" s="147"/>
      <c r="Q29" s="147"/>
      <c r="T29" t="s">
        <v>475</v>
      </c>
      <c r="U29">
        <v>1</v>
      </c>
      <c r="V29" s="90">
        <v>1160000</v>
      </c>
      <c r="W29">
        <v>12</v>
      </c>
      <c r="X29" s="90">
        <f>+U29*V29*W29</f>
        <v>13920000</v>
      </c>
    </row>
    <row r="30" spans="1:21" ht="12.75" customHeight="1">
      <c r="A30" s="190">
        <f t="shared" si="9"/>
        <v>6</v>
      </c>
      <c r="B30" s="148" t="s">
        <v>187</v>
      </c>
      <c r="C30" s="149">
        <v>23000000</v>
      </c>
      <c r="D30" s="149"/>
      <c r="E30" s="149">
        <f t="shared" si="6"/>
        <v>23000000</v>
      </c>
      <c r="F30" s="149"/>
      <c r="G30" s="149"/>
      <c r="H30" s="149"/>
      <c r="I30" s="149"/>
      <c r="J30" s="149"/>
      <c r="K30" s="151"/>
      <c r="L30" s="151"/>
      <c r="M30" s="151"/>
      <c r="N30" s="151">
        <f t="shared" si="7"/>
        <v>0</v>
      </c>
      <c r="O30" s="152">
        <f t="shared" si="8"/>
        <v>23000000</v>
      </c>
      <c r="P30" s="147"/>
      <c r="Q30" s="147"/>
      <c r="T30" t="s">
        <v>478</v>
      </c>
      <c r="U30">
        <v>1</v>
      </c>
    </row>
    <row r="31" spans="1:24" ht="12.75" customHeight="1">
      <c r="A31" s="190">
        <f t="shared" si="9"/>
        <v>7</v>
      </c>
      <c r="B31" s="148" t="s">
        <v>188</v>
      </c>
      <c r="C31" s="149">
        <f>170112*12</f>
        <v>2041344</v>
      </c>
      <c r="D31" s="149"/>
      <c r="E31" s="149">
        <f t="shared" si="6"/>
        <v>2041344</v>
      </c>
      <c r="F31" s="149"/>
      <c r="G31" s="149"/>
      <c r="H31" s="149"/>
      <c r="I31" s="149"/>
      <c r="J31" s="149"/>
      <c r="K31" s="151"/>
      <c r="L31" s="151"/>
      <c r="M31" s="151"/>
      <c r="N31" s="151">
        <f t="shared" si="7"/>
        <v>0</v>
      </c>
      <c r="O31" s="152">
        <f t="shared" si="8"/>
        <v>2041344</v>
      </c>
      <c r="P31" s="147"/>
      <c r="Q31" s="147"/>
      <c r="X31" s="90">
        <f>SUM(X24:X30)</f>
        <v>131040000</v>
      </c>
    </row>
    <row r="32" spans="1:24" ht="18" customHeight="1">
      <c r="A32" s="190">
        <f t="shared" si="9"/>
        <v>8</v>
      </c>
      <c r="B32" s="148" t="s">
        <v>189</v>
      </c>
      <c r="C32" s="149">
        <v>3000000</v>
      </c>
      <c r="D32" s="149"/>
      <c r="E32" s="149">
        <f t="shared" si="6"/>
        <v>3000000</v>
      </c>
      <c r="F32" s="149"/>
      <c r="G32" s="149"/>
      <c r="H32" s="149"/>
      <c r="I32" s="149"/>
      <c r="J32" s="149"/>
      <c r="K32" s="151"/>
      <c r="L32" s="151"/>
      <c r="M32" s="151"/>
      <c r="N32" s="151">
        <f t="shared" si="7"/>
        <v>0</v>
      </c>
      <c r="O32" s="152">
        <f t="shared" si="8"/>
        <v>3000000</v>
      </c>
      <c r="P32" s="147"/>
      <c r="Q32" s="147"/>
      <c r="T32" t="s">
        <v>476</v>
      </c>
      <c r="U32">
        <v>1</v>
      </c>
      <c r="V32" s="90">
        <v>1300000</v>
      </c>
      <c r="W32">
        <v>12</v>
      </c>
      <c r="X32" s="189">
        <f>+U32*V32*W32</f>
        <v>15600000</v>
      </c>
    </row>
    <row r="33" spans="1:21" ht="23.25" customHeight="1">
      <c r="A33" s="190">
        <f t="shared" si="9"/>
        <v>9</v>
      </c>
      <c r="B33" s="148" t="s">
        <v>190</v>
      </c>
      <c r="C33" s="149"/>
      <c r="D33" s="149"/>
      <c r="E33" s="149">
        <f t="shared" si="6"/>
        <v>0</v>
      </c>
      <c r="F33" s="149"/>
      <c r="G33" s="149"/>
      <c r="H33" s="149"/>
      <c r="I33" s="149"/>
      <c r="J33" s="149"/>
      <c r="K33" s="151"/>
      <c r="L33" s="151"/>
      <c r="M33" s="151"/>
      <c r="N33" s="151">
        <f t="shared" si="7"/>
        <v>0</v>
      </c>
      <c r="O33" s="152">
        <f t="shared" si="8"/>
        <v>0</v>
      </c>
      <c r="P33" s="147"/>
      <c r="Q33" s="147"/>
      <c r="T33" t="s">
        <v>477</v>
      </c>
      <c r="U33">
        <v>1</v>
      </c>
    </row>
    <row r="34" spans="1:17" ht="12.75" customHeight="1">
      <c r="A34" s="190">
        <f t="shared" si="9"/>
        <v>10</v>
      </c>
      <c r="B34" s="148" t="s">
        <v>491</v>
      </c>
      <c r="C34" s="149">
        <f>271200*12</f>
        <v>3254400</v>
      </c>
      <c r="D34" s="149"/>
      <c r="E34" s="149">
        <f t="shared" si="6"/>
        <v>3254400</v>
      </c>
      <c r="F34" s="149"/>
      <c r="G34" s="149"/>
      <c r="H34" s="149"/>
      <c r="I34" s="149"/>
      <c r="J34" s="149"/>
      <c r="K34" s="151"/>
      <c r="L34" s="151"/>
      <c r="M34" s="151"/>
      <c r="N34" s="151">
        <f t="shared" si="7"/>
        <v>0</v>
      </c>
      <c r="O34" s="152">
        <f t="shared" si="8"/>
        <v>3254400</v>
      </c>
      <c r="P34" s="147"/>
      <c r="Q34" s="147"/>
    </row>
    <row r="35" spans="1:20" ht="24.75" customHeight="1">
      <c r="A35" s="172" t="s">
        <v>191</v>
      </c>
      <c r="B35" s="173" t="s">
        <v>192</v>
      </c>
      <c r="C35" s="174">
        <f aca="true" t="shared" si="10" ref="C35:O35">SUM(C36:C36)</f>
        <v>135000000</v>
      </c>
      <c r="D35" s="174">
        <f t="shared" si="10"/>
        <v>0</v>
      </c>
      <c r="E35" s="174">
        <f t="shared" si="10"/>
        <v>135000000</v>
      </c>
      <c r="F35" s="174">
        <f t="shared" si="10"/>
        <v>0</v>
      </c>
      <c r="G35" s="174">
        <f t="shared" si="10"/>
        <v>0</v>
      </c>
      <c r="H35" s="174">
        <f t="shared" si="10"/>
        <v>0</v>
      </c>
      <c r="I35" s="174">
        <f t="shared" si="10"/>
        <v>0</v>
      </c>
      <c r="J35" s="174">
        <f t="shared" si="10"/>
        <v>0</v>
      </c>
      <c r="K35" s="174">
        <f t="shared" si="10"/>
        <v>0</v>
      </c>
      <c r="L35" s="174">
        <f t="shared" si="10"/>
        <v>0</v>
      </c>
      <c r="M35" s="174">
        <f t="shared" si="10"/>
        <v>0</v>
      </c>
      <c r="N35" s="174">
        <f t="shared" si="10"/>
        <v>0</v>
      </c>
      <c r="O35" s="175">
        <f t="shared" si="10"/>
        <v>135000000</v>
      </c>
      <c r="P35" s="176"/>
      <c r="Q35" s="176"/>
      <c r="T35" t="s">
        <v>479</v>
      </c>
    </row>
    <row r="36" spans="1:17" ht="12.75" customHeight="1">
      <c r="A36" s="153">
        <v>1</v>
      </c>
      <c r="B36" s="148" t="s">
        <v>193</v>
      </c>
      <c r="C36" s="149">
        <v>135000000</v>
      </c>
      <c r="D36" s="149"/>
      <c r="E36" s="149">
        <f t="shared" si="6"/>
        <v>135000000</v>
      </c>
      <c r="F36" s="149"/>
      <c r="G36" s="149"/>
      <c r="H36" s="149"/>
      <c r="I36" s="149"/>
      <c r="J36" s="149"/>
      <c r="K36" s="151"/>
      <c r="L36" s="151"/>
      <c r="M36" s="151"/>
      <c r="N36" s="151">
        <f t="shared" si="7"/>
        <v>0</v>
      </c>
      <c r="O36" s="152">
        <f t="shared" si="8"/>
        <v>135000000</v>
      </c>
      <c r="P36" s="147"/>
      <c r="Q36" s="147"/>
    </row>
    <row r="37" spans="1:22" ht="27.75" customHeight="1">
      <c r="A37" s="172" t="s">
        <v>194</v>
      </c>
      <c r="B37" s="173" t="s">
        <v>195</v>
      </c>
      <c r="C37" s="174">
        <f aca="true" t="shared" si="11" ref="C37:O37">SUM(C38:C43)</f>
        <v>49944708</v>
      </c>
      <c r="D37" s="174">
        <f t="shared" si="11"/>
        <v>0</v>
      </c>
      <c r="E37" s="174">
        <f t="shared" si="11"/>
        <v>49944708</v>
      </c>
      <c r="F37" s="174">
        <f t="shared" si="11"/>
        <v>0</v>
      </c>
      <c r="G37" s="174">
        <f t="shared" si="11"/>
        <v>0</v>
      </c>
      <c r="H37" s="174">
        <f t="shared" si="11"/>
        <v>0</v>
      </c>
      <c r="I37" s="174">
        <f t="shared" si="11"/>
        <v>0</v>
      </c>
      <c r="J37" s="174">
        <f t="shared" si="11"/>
        <v>0</v>
      </c>
      <c r="K37" s="174">
        <f t="shared" si="11"/>
        <v>0</v>
      </c>
      <c r="L37" s="174">
        <f t="shared" si="11"/>
        <v>0</v>
      </c>
      <c r="M37" s="174">
        <f t="shared" si="11"/>
        <v>0</v>
      </c>
      <c r="N37" s="174">
        <f t="shared" si="11"/>
        <v>0</v>
      </c>
      <c r="O37" s="175">
        <f t="shared" si="11"/>
        <v>49944708</v>
      </c>
      <c r="P37" s="176"/>
      <c r="Q37" s="176"/>
      <c r="T37" t="s">
        <v>480</v>
      </c>
      <c r="V37" s="90">
        <v>409200000</v>
      </c>
    </row>
    <row r="38" spans="1:22" ht="29.25" customHeight="1">
      <c r="A38" s="153">
        <v>1</v>
      </c>
      <c r="B38" s="148" t="s">
        <v>196</v>
      </c>
      <c r="C38" s="149">
        <f>1060763*12</f>
        <v>12729156</v>
      </c>
      <c r="D38" s="149"/>
      <c r="E38" s="149">
        <f t="shared" si="6"/>
        <v>12729156</v>
      </c>
      <c r="F38" s="149"/>
      <c r="G38" s="149"/>
      <c r="H38" s="149"/>
      <c r="I38" s="149"/>
      <c r="J38" s="149"/>
      <c r="K38" s="151"/>
      <c r="L38" s="151"/>
      <c r="M38" s="151"/>
      <c r="N38" s="151">
        <f t="shared" si="7"/>
        <v>0</v>
      </c>
      <c r="O38" s="152">
        <f t="shared" si="8"/>
        <v>12729156</v>
      </c>
      <c r="P38" s="147"/>
      <c r="Q38" s="147"/>
      <c r="V38" s="90">
        <v>344475029</v>
      </c>
    </row>
    <row r="39" spans="1:22" ht="27.75" customHeight="1">
      <c r="A39" s="153">
        <v>2</v>
      </c>
      <c r="B39" s="148" t="s">
        <v>197</v>
      </c>
      <c r="C39" s="149">
        <v>3000000</v>
      </c>
      <c r="D39" s="149"/>
      <c r="E39" s="149">
        <f t="shared" si="6"/>
        <v>3000000</v>
      </c>
      <c r="F39" s="149"/>
      <c r="G39" s="149"/>
      <c r="H39" s="149"/>
      <c r="I39" s="149"/>
      <c r="J39" s="149"/>
      <c r="K39" s="151"/>
      <c r="L39" s="151"/>
      <c r="M39" s="151"/>
      <c r="N39" s="151">
        <f t="shared" si="7"/>
        <v>0</v>
      </c>
      <c r="O39" s="152">
        <f t="shared" si="8"/>
        <v>3000000</v>
      </c>
      <c r="P39" s="147"/>
      <c r="Q39" s="147"/>
      <c r="V39" s="90">
        <v>1482490542</v>
      </c>
    </row>
    <row r="40" spans="1:22" ht="12.75" customHeight="1">
      <c r="A40" s="153">
        <v>3</v>
      </c>
      <c r="B40" s="148" t="s">
        <v>198</v>
      </c>
      <c r="C40" s="149">
        <f>1512987*12</f>
        <v>18155844</v>
      </c>
      <c r="D40" s="149"/>
      <c r="E40" s="149">
        <f t="shared" si="6"/>
        <v>18155844</v>
      </c>
      <c r="F40" s="149"/>
      <c r="G40" s="149"/>
      <c r="H40" s="149"/>
      <c r="I40" s="149"/>
      <c r="J40" s="149"/>
      <c r="K40" s="151"/>
      <c r="L40" s="151"/>
      <c r="M40" s="151"/>
      <c r="N40" s="151">
        <f t="shared" si="7"/>
        <v>0</v>
      </c>
      <c r="O40" s="152">
        <f t="shared" si="8"/>
        <v>18155844</v>
      </c>
      <c r="P40" s="147"/>
      <c r="Q40" s="147"/>
      <c r="V40" s="90">
        <v>26612142</v>
      </c>
    </row>
    <row r="41" spans="1:22" ht="12.75" customHeight="1">
      <c r="A41" s="153">
        <v>4</v>
      </c>
      <c r="B41" s="148" t="s">
        <v>199</v>
      </c>
      <c r="C41" s="149">
        <f>68498*12</f>
        <v>821976</v>
      </c>
      <c r="D41" s="149"/>
      <c r="E41" s="149">
        <f t="shared" si="6"/>
        <v>821976</v>
      </c>
      <c r="F41" s="149"/>
      <c r="G41" s="149"/>
      <c r="H41" s="149"/>
      <c r="I41" s="149"/>
      <c r="J41" s="149"/>
      <c r="K41" s="151"/>
      <c r="L41" s="151"/>
      <c r="M41" s="151"/>
      <c r="N41" s="151">
        <f t="shared" si="7"/>
        <v>0</v>
      </c>
      <c r="O41" s="152">
        <f t="shared" si="8"/>
        <v>821976</v>
      </c>
      <c r="P41" s="147"/>
      <c r="Q41" s="147"/>
      <c r="V41" s="90">
        <v>2987033</v>
      </c>
    </row>
    <row r="42" spans="1:22" ht="12.75" customHeight="1">
      <c r="A42" s="153">
        <v>5</v>
      </c>
      <c r="B42" s="148" t="s">
        <v>200</v>
      </c>
      <c r="C42" s="149">
        <f>1133760*12</f>
        <v>13605120</v>
      </c>
      <c r="D42" s="149"/>
      <c r="E42" s="149">
        <f t="shared" si="6"/>
        <v>13605120</v>
      </c>
      <c r="F42" s="149"/>
      <c r="G42" s="149"/>
      <c r="H42" s="149"/>
      <c r="I42" s="149"/>
      <c r="J42" s="149"/>
      <c r="K42" s="151"/>
      <c r="L42" s="151"/>
      <c r="M42" s="151"/>
      <c r="N42" s="151">
        <f t="shared" si="7"/>
        <v>0</v>
      </c>
      <c r="O42" s="152">
        <f t="shared" si="8"/>
        <v>13605120</v>
      </c>
      <c r="P42" s="147"/>
      <c r="Q42" s="147"/>
      <c r="V42" s="90">
        <v>161905401</v>
      </c>
    </row>
    <row r="43" spans="1:22" ht="12.75" customHeight="1">
      <c r="A43" s="153">
        <v>6</v>
      </c>
      <c r="B43" s="148" t="s">
        <v>201</v>
      </c>
      <c r="C43" s="149">
        <f>136051*12</f>
        <v>1632612</v>
      </c>
      <c r="D43" s="149"/>
      <c r="E43" s="149">
        <f t="shared" si="6"/>
        <v>1632612</v>
      </c>
      <c r="F43" s="149"/>
      <c r="G43" s="149"/>
      <c r="H43" s="149"/>
      <c r="I43" s="149"/>
      <c r="J43" s="149"/>
      <c r="K43" s="151"/>
      <c r="L43" s="151"/>
      <c r="M43" s="151"/>
      <c r="N43" s="151">
        <f t="shared" si="7"/>
        <v>0</v>
      </c>
      <c r="O43" s="152">
        <f t="shared" si="8"/>
        <v>1632612</v>
      </c>
      <c r="P43" s="147"/>
      <c r="Q43" s="147"/>
      <c r="V43" s="90">
        <v>17000000</v>
      </c>
    </row>
    <row r="44" spans="1:22" ht="12.75" customHeight="1">
      <c r="A44" s="172" t="s">
        <v>202</v>
      </c>
      <c r="B44" s="173" t="s">
        <v>203</v>
      </c>
      <c r="C44" s="174">
        <f aca="true" t="shared" si="12" ref="C44:O44">SUM(C45:C49)</f>
        <v>14198640</v>
      </c>
      <c r="D44" s="174">
        <f t="shared" si="12"/>
        <v>0</v>
      </c>
      <c r="E44" s="174">
        <f t="shared" si="12"/>
        <v>14198640</v>
      </c>
      <c r="F44" s="174">
        <f t="shared" si="12"/>
        <v>0</v>
      </c>
      <c r="G44" s="174">
        <f t="shared" si="12"/>
        <v>0</v>
      </c>
      <c r="H44" s="174">
        <f t="shared" si="12"/>
        <v>0</v>
      </c>
      <c r="I44" s="174">
        <f t="shared" si="12"/>
        <v>0</v>
      </c>
      <c r="J44" s="174">
        <f t="shared" si="12"/>
        <v>0</v>
      </c>
      <c r="K44" s="174">
        <f t="shared" si="12"/>
        <v>0</v>
      </c>
      <c r="L44" s="174">
        <f t="shared" si="12"/>
        <v>0</v>
      </c>
      <c r="M44" s="174">
        <f t="shared" si="12"/>
        <v>0</v>
      </c>
      <c r="N44" s="174">
        <f t="shared" si="12"/>
        <v>0</v>
      </c>
      <c r="O44" s="175">
        <f t="shared" si="12"/>
        <v>14198640</v>
      </c>
      <c r="P44" s="176"/>
      <c r="Q44" s="176"/>
      <c r="V44" s="90">
        <v>40000000</v>
      </c>
    </row>
    <row r="45" spans="1:22" ht="12.75" customHeight="1">
      <c r="A45" s="153">
        <v>1</v>
      </c>
      <c r="B45" s="148" t="s">
        <v>204</v>
      </c>
      <c r="C45" s="149">
        <f>65727*12</f>
        <v>788724</v>
      </c>
      <c r="D45" s="149"/>
      <c r="E45" s="149">
        <f t="shared" si="6"/>
        <v>788724</v>
      </c>
      <c r="F45" s="149"/>
      <c r="G45" s="149"/>
      <c r="H45" s="149"/>
      <c r="I45" s="149"/>
      <c r="J45" s="149"/>
      <c r="K45" s="151"/>
      <c r="L45" s="151"/>
      <c r="M45" s="151"/>
      <c r="N45" s="151">
        <f t="shared" si="7"/>
        <v>0</v>
      </c>
      <c r="O45" s="152">
        <f t="shared" si="8"/>
        <v>788724</v>
      </c>
      <c r="P45" s="147"/>
      <c r="Q45" s="147"/>
      <c r="V45" s="90">
        <f>SUM(V37:V44)</f>
        <v>2484670147</v>
      </c>
    </row>
    <row r="46" spans="1:22" ht="12.75" customHeight="1">
      <c r="A46" s="153">
        <v>2</v>
      </c>
      <c r="B46" s="148" t="s">
        <v>205</v>
      </c>
      <c r="C46" s="149">
        <f>394429*12</f>
        <v>4733148</v>
      </c>
      <c r="D46" s="149"/>
      <c r="E46" s="149">
        <f t="shared" si="6"/>
        <v>4733148</v>
      </c>
      <c r="F46" s="149"/>
      <c r="G46" s="149"/>
      <c r="H46" s="149"/>
      <c r="I46" s="149"/>
      <c r="J46" s="149"/>
      <c r="K46" s="151"/>
      <c r="L46" s="151"/>
      <c r="M46" s="151"/>
      <c r="N46" s="151">
        <f t="shared" si="7"/>
        <v>0</v>
      </c>
      <c r="O46" s="152">
        <f t="shared" si="8"/>
        <v>4733148</v>
      </c>
      <c r="P46" s="147"/>
      <c r="Q46" s="147"/>
      <c r="V46" s="90"/>
    </row>
    <row r="47" spans="1:22" ht="12.75" customHeight="1">
      <c r="A47" s="153">
        <v>3</v>
      </c>
      <c r="B47" s="148" t="s">
        <v>206</v>
      </c>
      <c r="C47" s="149">
        <f>65727*12</f>
        <v>788724</v>
      </c>
      <c r="D47" s="149"/>
      <c r="E47" s="149">
        <f t="shared" si="6"/>
        <v>788724</v>
      </c>
      <c r="F47" s="149"/>
      <c r="G47" s="149"/>
      <c r="H47" s="149"/>
      <c r="I47" s="149"/>
      <c r="J47" s="149"/>
      <c r="K47" s="151"/>
      <c r="L47" s="151"/>
      <c r="M47" s="151"/>
      <c r="N47" s="151">
        <f t="shared" si="7"/>
        <v>0</v>
      </c>
      <c r="O47" s="152">
        <f t="shared" si="8"/>
        <v>788724</v>
      </c>
      <c r="P47" s="147"/>
      <c r="Q47" s="147"/>
      <c r="V47" s="90"/>
    </row>
    <row r="48" spans="1:22" ht="12.75" customHeight="1">
      <c r="A48" s="153">
        <v>4</v>
      </c>
      <c r="B48" s="148" t="s">
        <v>207</v>
      </c>
      <c r="C48" s="149">
        <f>525883*12</f>
        <v>6310596</v>
      </c>
      <c r="D48" s="149"/>
      <c r="E48" s="149">
        <f t="shared" si="6"/>
        <v>6310596</v>
      </c>
      <c r="F48" s="149"/>
      <c r="G48" s="149"/>
      <c r="H48" s="149"/>
      <c r="I48" s="149"/>
      <c r="J48" s="149"/>
      <c r="K48" s="151"/>
      <c r="L48" s="151"/>
      <c r="M48" s="151"/>
      <c r="N48" s="151">
        <f t="shared" si="7"/>
        <v>0</v>
      </c>
      <c r="O48" s="152">
        <f t="shared" si="8"/>
        <v>6310596</v>
      </c>
      <c r="P48" s="147"/>
      <c r="Q48" s="147"/>
      <c r="V48" s="90"/>
    </row>
    <row r="49" spans="1:22" ht="12.75" customHeight="1">
      <c r="A49" s="153">
        <v>5</v>
      </c>
      <c r="B49" s="148" t="s">
        <v>208</v>
      </c>
      <c r="C49" s="149">
        <f>131454*12</f>
        <v>1577448</v>
      </c>
      <c r="D49" s="149"/>
      <c r="E49" s="149">
        <f t="shared" si="6"/>
        <v>1577448</v>
      </c>
      <c r="F49" s="149"/>
      <c r="G49" s="149"/>
      <c r="H49" s="149"/>
      <c r="I49" s="149"/>
      <c r="J49" s="149"/>
      <c r="K49" s="151"/>
      <c r="L49" s="151"/>
      <c r="M49" s="151"/>
      <c r="N49" s="151">
        <f t="shared" si="7"/>
        <v>0</v>
      </c>
      <c r="O49" s="152">
        <f t="shared" si="8"/>
        <v>1577448</v>
      </c>
      <c r="P49" s="147"/>
      <c r="Q49" s="147"/>
      <c r="V49" s="90"/>
    </row>
    <row r="50" spans="1:22" ht="12.75" customHeight="1">
      <c r="A50" s="172" t="s">
        <v>209</v>
      </c>
      <c r="B50" s="173" t="s">
        <v>210</v>
      </c>
      <c r="C50" s="174">
        <f aca="true" t="shared" si="13" ref="C50:O50">+C51+C54+C56+C61+C65</f>
        <v>128000000</v>
      </c>
      <c r="D50" s="174">
        <f t="shared" si="13"/>
        <v>0</v>
      </c>
      <c r="E50" s="174">
        <f t="shared" si="13"/>
        <v>128000000</v>
      </c>
      <c r="F50" s="174">
        <f t="shared" si="13"/>
        <v>0</v>
      </c>
      <c r="G50" s="174">
        <f t="shared" si="13"/>
        <v>0</v>
      </c>
      <c r="H50" s="174">
        <f t="shared" si="13"/>
        <v>0</v>
      </c>
      <c r="I50" s="174">
        <f t="shared" si="13"/>
        <v>0</v>
      </c>
      <c r="J50" s="174">
        <f t="shared" si="13"/>
        <v>0</v>
      </c>
      <c r="K50" s="174">
        <f t="shared" si="13"/>
        <v>0</v>
      </c>
      <c r="L50" s="174">
        <f t="shared" si="13"/>
        <v>0</v>
      </c>
      <c r="M50" s="174">
        <f t="shared" si="13"/>
        <v>0</v>
      </c>
      <c r="N50" s="174">
        <f t="shared" si="13"/>
        <v>0</v>
      </c>
      <c r="O50" s="175">
        <f t="shared" si="13"/>
        <v>128000000</v>
      </c>
      <c r="P50" s="176"/>
      <c r="Q50" s="176"/>
      <c r="V50" s="90"/>
    </row>
    <row r="51" spans="1:17" ht="12.75" customHeight="1">
      <c r="A51" s="172" t="s">
        <v>211</v>
      </c>
      <c r="B51" s="173" t="s">
        <v>212</v>
      </c>
      <c r="C51" s="174">
        <f aca="true" t="shared" si="14" ref="C51:O51">SUM(C52:C53)</f>
        <v>6000000</v>
      </c>
      <c r="D51" s="174">
        <f t="shared" si="14"/>
        <v>0</v>
      </c>
      <c r="E51" s="174">
        <f t="shared" si="14"/>
        <v>6000000</v>
      </c>
      <c r="F51" s="174">
        <f t="shared" si="14"/>
        <v>0</v>
      </c>
      <c r="G51" s="174">
        <f t="shared" si="14"/>
        <v>0</v>
      </c>
      <c r="H51" s="174">
        <f t="shared" si="14"/>
        <v>0</v>
      </c>
      <c r="I51" s="174">
        <f t="shared" si="14"/>
        <v>0</v>
      </c>
      <c r="J51" s="174">
        <f t="shared" si="14"/>
        <v>0</v>
      </c>
      <c r="K51" s="174">
        <f t="shared" si="14"/>
        <v>0</v>
      </c>
      <c r="L51" s="174">
        <f t="shared" si="14"/>
        <v>0</v>
      </c>
      <c r="M51" s="174">
        <f t="shared" si="14"/>
        <v>0</v>
      </c>
      <c r="N51" s="174">
        <f t="shared" si="14"/>
        <v>0</v>
      </c>
      <c r="O51" s="175">
        <f t="shared" si="14"/>
        <v>6000000</v>
      </c>
      <c r="P51" s="176"/>
      <c r="Q51" s="176"/>
    </row>
    <row r="52" spans="1:17" ht="12.75" customHeight="1">
      <c r="A52" s="153">
        <v>1</v>
      </c>
      <c r="B52" s="148" t="s">
        <v>213</v>
      </c>
      <c r="C52" s="149">
        <v>1000000</v>
      </c>
      <c r="D52" s="149"/>
      <c r="E52" s="149">
        <f aca="true" t="shared" si="15" ref="E52:E86">C52+D52</f>
        <v>1000000</v>
      </c>
      <c r="F52" s="149"/>
      <c r="G52" s="149"/>
      <c r="H52" s="149"/>
      <c r="I52" s="149"/>
      <c r="J52" s="149"/>
      <c r="K52" s="151"/>
      <c r="L52" s="151"/>
      <c r="M52" s="151"/>
      <c r="N52" s="151">
        <f aca="true" t="shared" si="16" ref="N52:N86">F52+I52+J52+M52</f>
        <v>0</v>
      </c>
      <c r="O52" s="152">
        <f aca="true" t="shared" si="17" ref="O52:O86">+C52+D52+F52+G52+H52+I52+J52+K52+L52+M52</f>
        <v>1000000</v>
      </c>
      <c r="P52" s="147"/>
      <c r="Q52" s="147"/>
    </row>
    <row r="53" spans="1:17" ht="26.25" customHeight="1">
      <c r="A53" s="153">
        <v>2</v>
      </c>
      <c r="B53" s="148" t="s">
        <v>214</v>
      </c>
      <c r="C53" s="149">
        <v>5000000</v>
      </c>
      <c r="D53" s="149"/>
      <c r="E53" s="149">
        <f t="shared" si="15"/>
        <v>5000000</v>
      </c>
      <c r="F53" s="149"/>
      <c r="G53" s="149"/>
      <c r="H53" s="149"/>
      <c r="I53" s="149"/>
      <c r="J53" s="149"/>
      <c r="K53" s="151"/>
      <c r="L53" s="151"/>
      <c r="M53" s="151"/>
      <c r="N53" s="151">
        <f t="shared" si="16"/>
        <v>0</v>
      </c>
      <c r="O53" s="152">
        <f t="shared" si="17"/>
        <v>5000000</v>
      </c>
      <c r="P53" s="147"/>
      <c r="Q53" s="147"/>
    </row>
    <row r="54" spans="1:17" ht="12.75" customHeight="1">
      <c r="A54" s="172" t="s">
        <v>215</v>
      </c>
      <c r="B54" s="173" t="s">
        <v>216</v>
      </c>
      <c r="C54" s="174">
        <f aca="true" t="shared" si="18" ref="C54:O54">SUM(C55:C55)</f>
        <v>2000000</v>
      </c>
      <c r="D54" s="174">
        <f t="shared" si="18"/>
        <v>0</v>
      </c>
      <c r="E54" s="174">
        <f t="shared" si="18"/>
        <v>2000000</v>
      </c>
      <c r="F54" s="174">
        <f t="shared" si="18"/>
        <v>0</v>
      </c>
      <c r="G54" s="174">
        <f t="shared" si="18"/>
        <v>0</v>
      </c>
      <c r="H54" s="174">
        <f t="shared" si="18"/>
        <v>0</v>
      </c>
      <c r="I54" s="174">
        <f t="shared" si="18"/>
        <v>0</v>
      </c>
      <c r="J54" s="174">
        <f t="shared" si="18"/>
        <v>0</v>
      </c>
      <c r="K54" s="174">
        <f t="shared" si="18"/>
        <v>0</v>
      </c>
      <c r="L54" s="174">
        <f t="shared" si="18"/>
        <v>0</v>
      </c>
      <c r="M54" s="174">
        <f t="shared" si="18"/>
        <v>0</v>
      </c>
      <c r="N54" s="174">
        <f t="shared" si="18"/>
        <v>0</v>
      </c>
      <c r="O54" s="175">
        <f t="shared" si="18"/>
        <v>2000000</v>
      </c>
      <c r="P54" s="176"/>
      <c r="Q54" s="176"/>
    </row>
    <row r="55" spans="1:17" ht="24.75" customHeight="1">
      <c r="A55" s="153">
        <v>1</v>
      </c>
      <c r="B55" s="148" t="s">
        <v>217</v>
      </c>
      <c r="C55" s="149">
        <v>2000000</v>
      </c>
      <c r="D55" s="149"/>
      <c r="E55" s="149">
        <f t="shared" si="15"/>
        <v>2000000</v>
      </c>
      <c r="F55" s="149"/>
      <c r="G55" s="149"/>
      <c r="H55" s="149"/>
      <c r="I55" s="149"/>
      <c r="J55" s="149"/>
      <c r="K55" s="149"/>
      <c r="L55" s="149"/>
      <c r="M55" s="149"/>
      <c r="N55" s="151">
        <f t="shared" si="16"/>
        <v>0</v>
      </c>
      <c r="O55" s="152">
        <f t="shared" si="17"/>
        <v>2000000</v>
      </c>
      <c r="P55" s="147"/>
      <c r="Q55" s="147"/>
    </row>
    <row r="56" spans="1:17" ht="12.75" customHeight="1">
      <c r="A56" s="172" t="s">
        <v>218</v>
      </c>
      <c r="B56" s="173" t="s">
        <v>219</v>
      </c>
      <c r="C56" s="174">
        <f aca="true" t="shared" si="19" ref="C56:O56">SUM(C57:C60)</f>
        <v>12000000</v>
      </c>
      <c r="D56" s="174">
        <f t="shared" si="19"/>
        <v>0</v>
      </c>
      <c r="E56" s="174">
        <f t="shared" si="19"/>
        <v>12000000</v>
      </c>
      <c r="F56" s="174">
        <f t="shared" si="19"/>
        <v>0</v>
      </c>
      <c r="G56" s="174">
        <f t="shared" si="19"/>
        <v>0</v>
      </c>
      <c r="H56" s="174">
        <f t="shared" si="19"/>
        <v>0</v>
      </c>
      <c r="I56" s="174">
        <f t="shared" si="19"/>
        <v>0</v>
      </c>
      <c r="J56" s="174">
        <f t="shared" si="19"/>
        <v>0</v>
      </c>
      <c r="K56" s="174">
        <f t="shared" si="19"/>
        <v>0</v>
      </c>
      <c r="L56" s="174">
        <f t="shared" si="19"/>
        <v>0</v>
      </c>
      <c r="M56" s="174">
        <f t="shared" si="19"/>
        <v>0</v>
      </c>
      <c r="N56" s="174">
        <f t="shared" si="19"/>
        <v>0</v>
      </c>
      <c r="O56" s="175">
        <f t="shared" si="19"/>
        <v>12000000</v>
      </c>
      <c r="P56" s="176"/>
      <c r="Q56" s="176"/>
    </row>
    <row r="57" spans="1:17" ht="28.5" customHeight="1">
      <c r="A57" s="153">
        <v>1</v>
      </c>
      <c r="B57" s="148" t="s">
        <v>220</v>
      </c>
      <c r="C57" s="149">
        <v>5000000</v>
      </c>
      <c r="D57" s="149"/>
      <c r="E57" s="149">
        <f t="shared" si="15"/>
        <v>5000000</v>
      </c>
      <c r="F57" s="149"/>
      <c r="G57" s="149"/>
      <c r="H57" s="149"/>
      <c r="I57" s="149"/>
      <c r="J57" s="149"/>
      <c r="K57" s="151"/>
      <c r="L57" s="151"/>
      <c r="M57" s="151"/>
      <c r="N57" s="151">
        <f t="shared" si="16"/>
        <v>0</v>
      </c>
      <c r="O57" s="152">
        <f t="shared" si="17"/>
        <v>5000000</v>
      </c>
      <c r="P57" s="147"/>
      <c r="Q57" s="147"/>
    </row>
    <row r="58" spans="1:17" ht="12.75" customHeight="1">
      <c r="A58" s="153">
        <v>2</v>
      </c>
      <c r="B58" s="148" t="s">
        <v>221</v>
      </c>
      <c r="C58" s="149">
        <v>2500000</v>
      </c>
      <c r="D58" s="149"/>
      <c r="E58" s="149">
        <f t="shared" si="15"/>
        <v>2500000</v>
      </c>
      <c r="F58" s="149"/>
      <c r="G58" s="149"/>
      <c r="H58" s="149"/>
      <c r="I58" s="149"/>
      <c r="J58" s="149"/>
      <c r="K58" s="151"/>
      <c r="L58" s="151"/>
      <c r="M58" s="151"/>
      <c r="N58" s="151">
        <f t="shared" si="16"/>
        <v>0</v>
      </c>
      <c r="O58" s="152">
        <f t="shared" si="17"/>
        <v>2500000</v>
      </c>
      <c r="P58" s="147"/>
      <c r="Q58" s="147"/>
    </row>
    <row r="59" spans="1:17" ht="12.75" customHeight="1">
      <c r="A59" s="153">
        <v>3</v>
      </c>
      <c r="B59" s="148" t="s">
        <v>222</v>
      </c>
      <c r="C59" s="149">
        <v>2500000</v>
      </c>
      <c r="D59" s="149"/>
      <c r="E59" s="149">
        <f t="shared" si="15"/>
        <v>2500000</v>
      </c>
      <c r="F59" s="149"/>
      <c r="G59" s="149"/>
      <c r="H59" s="149"/>
      <c r="I59" s="149"/>
      <c r="J59" s="149"/>
      <c r="K59" s="151"/>
      <c r="L59" s="151"/>
      <c r="M59" s="151"/>
      <c r="N59" s="151">
        <f t="shared" si="16"/>
        <v>0</v>
      </c>
      <c r="O59" s="152">
        <f t="shared" si="17"/>
        <v>2500000</v>
      </c>
      <c r="P59" s="147"/>
      <c r="Q59" s="147"/>
    </row>
    <row r="60" spans="1:17" ht="15" customHeight="1">
      <c r="A60" s="153">
        <v>4</v>
      </c>
      <c r="B60" s="148" t="s">
        <v>223</v>
      </c>
      <c r="C60" s="149">
        <v>2000000</v>
      </c>
      <c r="D60" s="149"/>
      <c r="E60" s="149">
        <f t="shared" si="15"/>
        <v>2000000</v>
      </c>
      <c r="F60" s="149"/>
      <c r="G60" s="149"/>
      <c r="H60" s="149"/>
      <c r="I60" s="149"/>
      <c r="J60" s="149"/>
      <c r="K60" s="151"/>
      <c r="L60" s="151"/>
      <c r="M60" s="151"/>
      <c r="N60" s="151">
        <f t="shared" si="16"/>
        <v>0</v>
      </c>
      <c r="O60" s="152">
        <f t="shared" si="17"/>
        <v>2000000</v>
      </c>
      <c r="P60" s="147"/>
      <c r="Q60" s="147"/>
    </row>
    <row r="61" spans="1:17" ht="12.75" customHeight="1">
      <c r="A61" s="172" t="s">
        <v>224</v>
      </c>
      <c r="B61" s="173" t="s">
        <v>225</v>
      </c>
      <c r="C61" s="174">
        <f aca="true" t="shared" si="20" ref="C61:O61">SUM(C62:C64)</f>
        <v>18000000</v>
      </c>
      <c r="D61" s="174">
        <f t="shared" si="20"/>
        <v>0</v>
      </c>
      <c r="E61" s="174">
        <f t="shared" si="20"/>
        <v>18000000</v>
      </c>
      <c r="F61" s="174">
        <f t="shared" si="20"/>
        <v>0</v>
      </c>
      <c r="G61" s="174">
        <f t="shared" si="20"/>
        <v>0</v>
      </c>
      <c r="H61" s="174">
        <f t="shared" si="20"/>
        <v>0</v>
      </c>
      <c r="I61" s="174">
        <f t="shared" si="20"/>
        <v>0</v>
      </c>
      <c r="J61" s="174">
        <f t="shared" si="20"/>
        <v>0</v>
      </c>
      <c r="K61" s="174">
        <f t="shared" si="20"/>
        <v>0</v>
      </c>
      <c r="L61" s="174">
        <f t="shared" si="20"/>
        <v>0</v>
      </c>
      <c r="M61" s="174">
        <f t="shared" si="20"/>
        <v>0</v>
      </c>
      <c r="N61" s="174">
        <f t="shared" si="20"/>
        <v>0</v>
      </c>
      <c r="O61" s="175">
        <f t="shared" si="20"/>
        <v>18000000</v>
      </c>
      <c r="P61" s="176"/>
      <c r="Q61" s="176"/>
    </row>
    <row r="62" spans="1:17" ht="12.75" customHeight="1">
      <c r="A62" s="153">
        <v>1</v>
      </c>
      <c r="B62" s="148" t="s">
        <v>226</v>
      </c>
      <c r="C62" s="149">
        <v>10000000</v>
      </c>
      <c r="D62" s="149"/>
      <c r="E62" s="149">
        <f t="shared" si="15"/>
        <v>10000000</v>
      </c>
      <c r="F62" s="149"/>
      <c r="G62" s="149"/>
      <c r="H62" s="149"/>
      <c r="I62" s="149"/>
      <c r="J62" s="149"/>
      <c r="K62" s="151"/>
      <c r="L62" s="151"/>
      <c r="M62" s="151"/>
      <c r="N62" s="151">
        <f t="shared" si="16"/>
        <v>0</v>
      </c>
      <c r="O62" s="152">
        <f t="shared" si="17"/>
        <v>10000000</v>
      </c>
      <c r="P62" s="147"/>
      <c r="Q62" s="147"/>
    </row>
    <row r="63" spans="1:17" ht="12.75" customHeight="1">
      <c r="A63" s="153">
        <v>2</v>
      </c>
      <c r="B63" s="148" t="s">
        <v>227</v>
      </c>
      <c r="C63" s="149">
        <v>6000000</v>
      </c>
      <c r="D63" s="149"/>
      <c r="E63" s="149">
        <f t="shared" si="15"/>
        <v>6000000</v>
      </c>
      <c r="F63" s="149"/>
      <c r="G63" s="149"/>
      <c r="H63" s="149"/>
      <c r="I63" s="149"/>
      <c r="J63" s="149"/>
      <c r="K63" s="151"/>
      <c r="L63" s="151"/>
      <c r="M63" s="151"/>
      <c r="N63" s="151">
        <f t="shared" si="16"/>
        <v>0</v>
      </c>
      <c r="O63" s="152">
        <f t="shared" si="17"/>
        <v>6000000</v>
      </c>
      <c r="P63" s="147"/>
      <c r="Q63" s="147"/>
    </row>
    <row r="64" spans="1:17" ht="12.75" customHeight="1">
      <c r="A64" s="153">
        <v>3</v>
      </c>
      <c r="B64" s="148" t="s">
        <v>228</v>
      </c>
      <c r="C64" s="149">
        <v>2000000</v>
      </c>
      <c r="D64" s="149"/>
      <c r="E64" s="149">
        <f t="shared" si="15"/>
        <v>2000000</v>
      </c>
      <c r="F64" s="149"/>
      <c r="G64" s="149"/>
      <c r="H64" s="149"/>
      <c r="I64" s="149"/>
      <c r="J64" s="149"/>
      <c r="K64" s="151"/>
      <c r="L64" s="151"/>
      <c r="M64" s="151"/>
      <c r="N64" s="151">
        <f t="shared" si="16"/>
        <v>0</v>
      </c>
      <c r="O64" s="152">
        <f t="shared" si="17"/>
        <v>2000000</v>
      </c>
      <c r="P64" s="147"/>
      <c r="Q64" s="147"/>
    </row>
    <row r="65" spans="1:17" ht="12.75" customHeight="1">
      <c r="A65" s="172" t="s">
        <v>229</v>
      </c>
      <c r="B65" s="173" t="s">
        <v>230</v>
      </c>
      <c r="C65" s="174">
        <f>SUM(C66:C76)</f>
        <v>90000000</v>
      </c>
      <c r="D65" s="174">
        <f aca="true" t="shared" si="21" ref="D65:M65">SUM(D66:D76)</f>
        <v>0</v>
      </c>
      <c r="E65" s="174">
        <f t="shared" si="21"/>
        <v>90000000</v>
      </c>
      <c r="F65" s="174">
        <f t="shared" si="21"/>
        <v>0</v>
      </c>
      <c r="G65" s="174">
        <f t="shared" si="21"/>
        <v>0</v>
      </c>
      <c r="H65" s="174">
        <f t="shared" si="21"/>
        <v>0</v>
      </c>
      <c r="I65" s="174">
        <f t="shared" si="21"/>
        <v>0</v>
      </c>
      <c r="J65" s="174">
        <f t="shared" si="21"/>
        <v>0</v>
      </c>
      <c r="K65" s="174">
        <f t="shared" si="21"/>
        <v>0</v>
      </c>
      <c r="L65" s="174">
        <f t="shared" si="21"/>
        <v>0</v>
      </c>
      <c r="M65" s="174">
        <f t="shared" si="21"/>
        <v>0</v>
      </c>
      <c r="N65" s="174">
        <f>SUM(N66:N75)</f>
        <v>0</v>
      </c>
      <c r="O65" s="175">
        <f>SUM(O66:O76)</f>
        <v>90000000</v>
      </c>
      <c r="P65" s="176"/>
      <c r="Q65" s="176"/>
    </row>
    <row r="66" spans="1:17" ht="12.75" customHeight="1">
      <c r="A66" s="153">
        <v>1</v>
      </c>
      <c r="B66" s="148" t="s">
        <v>231</v>
      </c>
      <c r="C66" s="149">
        <v>45000000</v>
      </c>
      <c r="D66" s="149"/>
      <c r="E66" s="149">
        <f t="shared" si="15"/>
        <v>45000000</v>
      </c>
      <c r="F66" s="149"/>
      <c r="G66" s="149"/>
      <c r="H66" s="149"/>
      <c r="I66" s="149"/>
      <c r="J66" s="149"/>
      <c r="K66" s="151"/>
      <c r="L66" s="151"/>
      <c r="M66" s="151"/>
      <c r="N66" s="151">
        <f t="shared" si="16"/>
        <v>0</v>
      </c>
      <c r="O66" s="152">
        <f t="shared" si="17"/>
        <v>45000000</v>
      </c>
      <c r="P66" s="147"/>
      <c r="Q66" s="147"/>
    </row>
    <row r="67" spans="1:17" ht="24.75" customHeight="1">
      <c r="A67" s="153">
        <v>2</v>
      </c>
      <c r="B67" s="148" t="s">
        <v>232</v>
      </c>
      <c r="C67" s="149">
        <v>7000000</v>
      </c>
      <c r="D67" s="149"/>
      <c r="E67" s="149">
        <f t="shared" si="15"/>
        <v>7000000</v>
      </c>
      <c r="F67" s="149"/>
      <c r="G67" s="149"/>
      <c r="H67" s="149"/>
      <c r="I67" s="149"/>
      <c r="J67" s="149"/>
      <c r="K67" s="151"/>
      <c r="L67" s="151"/>
      <c r="M67" s="151"/>
      <c r="N67" s="151">
        <f t="shared" si="16"/>
        <v>0</v>
      </c>
      <c r="O67" s="152">
        <f t="shared" si="17"/>
        <v>7000000</v>
      </c>
      <c r="P67" s="147"/>
      <c r="Q67" s="147"/>
    </row>
    <row r="68" spans="1:17" ht="12.75" customHeight="1">
      <c r="A68" s="153">
        <v>3</v>
      </c>
      <c r="B68" s="148" t="s">
        <v>233</v>
      </c>
      <c r="C68" s="149">
        <v>5000000</v>
      </c>
      <c r="D68" s="149"/>
      <c r="E68" s="149">
        <f t="shared" si="15"/>
        <v>5000000</v>
      </c>
      <c r="F68" s="149"/>
      <c r="G68" s="149"/>
      <c r="H68" s="149"/>
      <c r="I68" s="149"/>
      <c r="J68" s="149"/>
      <c r="K68" s="151"/>
      <c r="L68" s="151"/>
      <c r="M68" s="151"/>
      <c r="N68" s="151">
        <f t="shared" si="16"/>
        <v>0</v>
      </c>
      <c r="O68" s="152">
        <f t="shared" si="17"/>
        <v>5000000</v>
      </c>
      <c r="P68" s="147"/>
      <c r="Q68" s="147"/>
    </row>
    <row r="69" spans="1:17" ht="12.75" customHeight="1">
      <c r="A69" s="153">
        <v>4</v>
      </c>
      <c r="B69" s="148" t="s">
        <v>234</v>
      </c>
      <c r="C69" s="149">
        <v>5000000</v>
      </c>
      <c r="D69" s="149"/>
      <c r="E69" s="149">
        <f t="shared" si="15"/>
        <v>5000000</v>
      </c>
      <c r="F69" s="149"/>
      <c r="G69" s="149"/>
      <c r="H69" s="149"/>
      <c r="I69" s="149"/>
      <c r="J69" s="149"/>
      <c r="K69" s="151"/>
      <c r="L69" s="151"/>
      <c r="M69" s="151"/>
      <c r="N69" s="151">
        <f t="shared" si="16"/>
        <v>0</v>
      </c>
      <c r="O69" s="152">
        <f t="shared" si="17"/>
        <v>5000000</v>
      </c>
      <c r="P69" s="147"/>
      <c r="Q69" s="147"/>
    </row>
    <row r="70" spans="1:17" ht="12.75" customHeight="1">
      <c r="A70" s="153">
        <v>5</v>
      </c>
      <c r="B70" s="148" t="s">
        <v>235</v>
      </c>
      <c r="C70" s="149">
        <v>6000000</v>
      </c>
      <c r="D70" s="149"/>
      <c r="E70" s="149">
        <f t="shared" si="15"/>
        <v>6000000</v>
      </c>
      <c r="F70" s="149"/>
      <c r="G70" s="149"/>
      <c r="H70" s="149"/>
      <c r="I70" s="149"/>
      <c r="J70" s="149"/>
      <c r="K70" s="151"/>
      <c r="L70" s="151"/>
      <c r="M70" s="151"/>
      <c r="N70" s="151">
        <f t="shared" si="16"/>
        <v>0</v>
      </c>
      <c r="O70" s="152">
        <f t="shared" si="17"/>
        <v>6000000</v>
      </c>
      <c r="P70" s="147"/>
      <c r="Q70" s="147"/>
    </row>
    <row r="71" spans="1:17" ht="12.75" customHeight="1">
      <c r="A71" s="153">
        <v>6</v>
      </c>
      <c r="B71" s="148" t="s">
        <v>236</v>
      </c>
      <c r="C71" s="149">
        <v>5000000</v>
      </c>
      <c r="D71" s="149"/>
      <c r="E71" s="149">
        <f t="shared" si="15"/>
        <v>5000000</v>
      </c>
      <c r="F71" s="149"/>
      <c r="G71" s="149"/>
      <c r="H71" s="149"/>
      <c r="I71" s="149"/>
      <c r="J71" s="149"/>
      <c r="K71" s="151"/>
      <c r="L71" s="151"/>
      <c r="M71" s="151"/>
      <c r="N71" s="151">
        <f t="shared" si="16"/>
        <v>0</v>
      </c>
      <c r="O71" s="152">
        <f t="shared" si="17"/>
        <v>5000000</v>
      </c>
      <c r="P71" s="147"/>
      <c r="Q71" s="147"/>
    </row>
    <row r="72" spans="1:17" ht="12.75" customHeight="1">
      <c r="A72" s="153">
        <v>7</v>
      </c>
      <c r="B72" s="148" t="s">
        <v>237</v>
      </c>
      <c r="C72" s="149">
        <v>2000000</v>
      </c>
      <c r="D72" s="149"/>
      <c r="E72" s="149">
        <f t="shared" si="15"/>
        <v>2000000</v>
      </c>
      <c r="F72" s="149"/>
      <c r="G72" s="149"/>
      <c r="H72" s="149"/>
      <c r="I72" s="149"/>
      <c r="J72" s="149"/>
      <c r="K72" s="151"/>
      <c r="L72" s="151"/>
      <c r="M72" s="151"/>
      <c r="N72" s="151">
        <f t="shared" si="16"/>
        <v>0</v>
      </c>
      <c r="O72" s="152">
        <f t="shared" si="17"/>
        <v>2000000</v>
      </c>
      <c r="P72" s="147"/>
      <c r="Q72" s="147"/>
    </row>
    <row r="73" spans="1:17" ht="12.75" customHeight="1">
      <c r="A73" s="153">
        <v>8</v>
      </c>
      <c r="B73" s="148" t="s">
        <v>238</v>
      </c>
      <c r="C73" s="149">
        <v>1000000</v>
      </c>
      <c r="D73" s="149"/>
      <c r="E73" s="149">
        <f t="shared" si="15"/>
        <v>1000000</v>
      </c>
      <c r="F73" s="149"/>
      <c r="G73" s="149"/>
      <c r="H73" s="149"/>
      <c r="I73" s="149"/>
      <c r="J73" s="149"/>
      <c r="K73" s="151"/>
      <c r="L73" s="151"/>
      <c r="M73" s="151"/>
      <c r="N73" s="151">
        <f t="shared" si="16"/>
        <v>0</v>
      </c>
      <c r="O73" s="152">
        <f t="shared" si="17"/>
        <v>1000000</v>
      </c>
      <c r="P73" s="147"/>
      <c r="Q73" s="147"/>
    </row>
    <row r="74" spans="1:17" ht="12.75" customHeight="1">
      <c r="A74" s="153">
        <v>9</v>
      </c>
      <c r="B74" s="148" t="s">
        <v>239</v>
      </c>
      <c r="C74" s="149">
        <v>10000000</v>
      </c>
      <c r="D74" s="149"/>
      <c r="E74" s="149">
        <f t="shared" si="15"/>
        <v>10000000</v>
      </c>
      <c r="F74" s="149"/>
      <c r="G74" s="149"/>
      <c r="H74" s="149"/>
      <c r="I74" s="149"/>
      <c r="J74" s="149"/>
      <c r="K74" s="151"/>
      <c r="L74" s="151"/>
      <c r="M74" s="151"/>
      <c r="N74" s="151">
        <f t="shared" si="16"/>
        <v>0</v>
      </c>
      <c r="O74" s="152">
        <f t="shared" si="17"/>
        <v>10000000</v>
      </c>
      <c r="P74" s="147"/>
      <c r="Q74" s="147"/>
    </row>
    <row r="75" spans="1:17" ht="12.75" customHeight="1">
      <c r="A75" s="153">
        <v>10</v>
      </c>
      <c r="B75" s="148" t="s">
        <v>481</v>
      </c>
      <c r="C75" s="149">
        <v>2000000</v>
      </c>
      <c r="D75" s="149"/>
      <c r="E75" s="149">
        <f t="shared" si="15"/>
        <v>2000000</v>
      </c>
      <c r="F75" s="149"/>
      <c r="G75" s="149"/>
      <c r="H75" s="149"/>
      <c r="I75" s="149"/>
      <c r="J75" s="149"/>
      <c r="K75" s="151"/>
      <c r="L75" s="151"/>
      <c r="M75" s="151"/>
      <c r="N75" s="151">
        <f t="shared" si="16"/>
        <v>0</v>
      </c>
      <c r="O75" s="152">
        <f t="shared" si="17"/>
        <v>2000000</v>
      </c>
      <c r="P75" s="147"/>
      <c r="Q75" s="147"/>
    </row>
    <row r="76" spans="1:17" ht="12.75" customHeight="1">
      <c r="A76" s="153">
        <v>11</v>
      </c>
      <c r="B76" s="148" t="s">
        <v>482</v>
      </c>
      <c r="C76" s="149">
        <v>2000000</v>
      </c>
      <c r="D76" s="149"/>
      <c r="E76" s="149">
        <f t="shared" si="15"/>
        <v>2000000</v>
      </c>
      <c r="F76" s="149"/>
      <c r="G76" s="149"/>
      <c r="H76" s="149"/>
      <c r="I76" s="149"/>
      <c r="J76" s="149"/>
      <c r="K76" s="151"/>
      <c r="L76" s="151"/>
      <c r="M76" s="151"/>
      <c r="N76" s="151"/>
      <c r="O76" s="152">
        <f t="shared" si="17"/>
        <v>2000000</v>
      </c>
      <c r="P76" s="147"/>
      <c r="Q76" s="147"/>
    </row>
    <row r="77" spans="1:17" ht="27.75" customHeight="1">
      <c r="A77" s="172" t="s">
        <v>240</v>
      </c>
      <c r="B77" s="173" t="s">
        <v>241</v>
      </c>
      <c r="C77" s="174">
        <f aca="true" t="shared" si="22" ref="C77:O77">SUM(C78:C81)</f>
        <v>18000000</v>
      </c>
      <c r="D77" s="174">
        <f t="shared" si="22"/>
        <v>0</v>
      </c>
      <c r="E77" s="174">
        <f t="shared" si="22"/>
        <v>18000000</v>
      </c>
      <c r="F77" s="174">
        <f t="shared" si="22"/>
        <v>0</v>
      </c>
      <c r="G77" s="174">
        <f t="shared" si="22"/>
        <v>0</v>
      </c>
      <c r="H77" s="174">
        <f t="shared" si="22"/>
        <v>0</v>
      </c>
      <c r="I77" s="174">
        <f t="shared" si="22"/>
        <v>0</v>
      </c>
      <c r="J77" s="174">
        <f t="shared" si="22"/>
        <v>0</v>
      </c>
      <c r="K77" s="174">
        <f t="shared" si="22"/>
        <v>0</v>
      </c>
      <c r="L77" s="174">
        <f t="shared" si="22"/>
        <v>0</v>
      </c>
      <c r="M77" s="174">
        <f t="shared" si="22"/>
        <v>0</v>
      </c>
      <c r="N77" s="174">
        <f t="shared" si="22"/>
        <v>0</v>
      </c>
      <c r="O77" s="175">
        <f t="shared" si="22"/>
        <v>18000000</v>
      </c>
      <c r="P77" s="176"/>
      <c r="Q77" s="176"/>
    </row>
    <row r="78" spans="1:17" ht="17.25" customHeight="1">
      <c r="A78" s="153">
        <v>1</v>
      </c>
      <c r="B78" s="148" t="s">
        <v>242</v>
      </c>
      <c r="C78" s="149">
        <v>8000000</v>
      </c>
      <c r="D78" s="149"/>
      <c r="E78" s="149">
        <f t="shared" si="15"/>
        <v>8000000</v>
      </c>
      <c r="F78" s="149"/>
      <c r="G78" s="149"/>
      <c r="H78" s="149"/>
      <c r="I78" s="149"/>
      <c r="J78" s="149"/>
      <c r="K78" s="151"/>
      <c r="L78" s="151"/>
      <c r="M78" s="151"/>
      <c r="N78" s="151">
        <f t="shared" si="16"/>
        <v>0</v>
      </c>
      <c r="O78" s="152">
        <f t="shared" si="17"/>
        <v>8000000</v>
      </c>
      <c r="P78" s="147"/>
      <c r="Q78" s="147"/>
    </row>
    <row r="79" spans="1:17" ht="31.5" customHeight="1">
      <c r="A79" s="153">
        <v>2</v>
      </c>
      <c r="B79" s="148" t="s">
        <v>243</v>
      </c>
      <c r="C79" s="149">
        <v>0</v>
      </c>
      <c r="D79" s="149"/>
      <c r="E79" s="149">
        <f t="shared" si="15"/>
        <v>0</v>
      </c>
      <c r="F79" s="149"/>
      <c r="G79" s="149"/>
      <c r="H79" s="149"/>
      <c r="I79" s="149"/>
      <c r="J79" s="149"/>
      <c r="K79" s="151"/>
      <c r="L79" s="151"/>
      <c r="M79" s="151"/>
      <c r="N79" s="151">
        <f t="shared" si="16"/>
        <v>0</v>
      </c>
      <c r="O79" s="152">
        <f t="shared" si="17"/>
        <v>0</v>
      </c>
      <c r="P79" s="147"/>
      <c r="Q79" s="147"/>
    </row>
    <row r="80" spans="1:17" ht="25.5" customHeight="1">
      <c r="A80" s="153">
        <v>4</v>
      </c>
      <c r="B80" s="148" t="s">
        <v>244</v>
      </c>
      <c r="C80" s="149">
        <v>7000000</v>
      </c>
      <c r="D80" s="149"/>
      <c r="E80" s="149">
        <f t="shared" si="15"/>
        <v>7000000</v>
      </c>
      <c r="F80" s="149"/>
      <c r="G80" s="149"/>
      <c r="H80" s="149"/>
      <c r="I80" s="149"/>
      <c r="J80" s="149"/>
      <c r="K80" s="151"/>
      <c r="L80" s="151"/>
      <c r="M80" s="151"/>
      <c r="N80" s="151">
        <f t="shared" si="16"/>
        <v>0</v>
      </c>
      <c r="O80" s="152">
        <f t="shared" si="17"/>
        <v>7000000</v>
      </c>
      <c r="P80" s="147"/>
      <c r="Q80" s="147"/>
    </row>
    <row r="81" spans="1:17" ht="17.25" customHeight="1">
      <c r="A81" s="153">
        <v>5</v>
      </c>
      <c r="B81" s="148" t="s">
        <v>245</v>
      </c>
      <c r="C81" s="149">
        <v>3000000</v>
      </c>
      <c r="D81" s="149"/>
      <c r="E81" s="149">
        <f t="shared" si="15"/>
        <v>3000000</v>
      </c>
      <c r="F81" s="149"/>
      <c r="G81" s="149"/>
      <c r="H81" s="149"/>
      <c r="I81" s="149"/>
      <c r="J81" s="149"/>
      <c r="K81" s="151"/>
      <c r="L81" s="151"/>
      <c r="M81" s="151"/>
      <c r="N81" s="151">
        <f t="shared" si="16"/>
        <v>0</v>
      </c>
      <c r="O81" s="152">
        <f t="shared" si="17"/>
        <v>3000000</v>
      </c>
      <c r="P81" s="147"/>
      <c r="Q81" s="147"/>
    </row>
    <row r="82" spans="1:17" ht="27.75" customHeight="1">
      <c r="A82" s="172" t="s">
        <v>246</v>
      </c>
      <c r="B82" s="173" t="s">
        <v>247</v>
      </c>
      <c r="C82" s="174">
        <f aca="true" t="shared" si="23" ref="C82:O82">SUM(C83:C84)</f>
        <v>2000000</v>
      </c>
      <c r="D82" s="174">
        <f t="shared" si="23"/>
        <v>0</v>
      </c>
      <c r="E82" s="174">
        <f t="shared" si="23"/>
        <v>2000000</v>
      </c>
      <c r="F82" s="174">
        <f t="shared" si="23"/>
        <v>0</v>
      </c>
      <c r="G82" s="174">
        <f t="shared" si="23"/>
        <v>0</v>
      </c>
      <c r="H82" s="174">
        <f t="shared" si="23"/>
        <v>0</v>
      </c>
      <c r="I82" s="174">
        <f t="shared" si="23"/>
        <v>0</v>
      </c>
      <c r="J82" s="174">
        <f t="shared" si="23"/>
        <v>0</v>
      </c>
      <c r="K82" s="174">
        <f t="shared" si="23"/>
        <v>0</v>
      </c>
      <c r="L82" s="174">
        <f t="shared" si="23"/>
        <v>0</v>
      </c>
      <c r="M82" s="174">
        <f t="shared" si="23"/>
        <v>0</v>
      </c>
      <c r="N82" s="174">
        <f t="shared" si="23"/>
        <v>0</v>
      </c>
      <c r="O82" s="175">
        <f t="shared" si="23"/>
        <v>2000000</v>
      </c>
      <c r="P82" s="176"/>
      <c r="Q82" s="176"/>
    </row>
    <row r="83" spans="1:17" ht="12.75" customHeight="1">
      <c r="A83" s="153">
        <v>1</v>
      </c>
      <c r="B83" s="148" t="s">
        <v>248</v>
      </c>
      <c r="C83" s="149">
        <v>0</v>
      </c>
      <c r="D83" s="149"/>
      <c r="E83" s="149">
        <f t="shared" si="15"/>
        <v>0</v>
      </c>
      <c r="F83" s="149"/>
      <c r="G83" s="149"/>
      <c r="H83" s="149"/>
      <c r="I83" s="149"/>
      <c r="J83" s="149"/>
      <c r="K83" s="151"/>
      <c r="L83" s="151"/>
      <c r="M83" s="151"/>
      <c r="N83" s="151">
        <f t="shared" si="16"/>
        <v>0</v>
      </c>
      <c r="O83" s="152">
        <f t="shared" si="17"/>
        <v>0</v>
      </c>
      <c r="P83" s="147"/>
      <c r="Q83" s="147"/>
    </row>
    <row r="84" spans="1:17" ht="12.75" customHeight="1">
      <c r="A84" s="153">
        <v>2</v>
      </c>
      <c r="B84" s="148" t="s">
        <v>249</v>
      </c>
      <c r="C84" s="149">
        <v>2000000</v>
      </c>
      <c r="D84" s="149"/>
      <c r="E84" s="149">
        <f t="shared" si="15"/>
        <v>2000000</v>
      </c>
      <c r="F84" s="149"/>
      <c r="G84" s="149"/>
      <c r="H84" s="149"/>
      <c r="I84" s="149"/>
      <c r="J84" s="149"/>
      <c r="K84" s="151"/>
      <c r="L84" s="151"/>
      <c r="M84" s="151"/>
      <c r="N84" s="151">
        <f t="shared" si="16"/>
        <v>0</v>
      </c>
      <c r="O84" s="152">
        <f t="shared" si="17"/>
        <v>2000000</v>
      </c>
      <c r="P84" s="147"/>
      <c r="Q84" s="147"/>
    </row>
    <row r="85" spans="1:17" ht="24.75" customHeight="1">
      <c r="A85" s="172" t="s">
        <v>250</v>
      </c>
      <c r="B85" s="173" t="s">
        <v>251</v>
      </c>
      <c r="C85" s="174">
        <f aca="true" t="shared" si="24" ref="C85:O85">SUM(C86:C86)</f>
        <v>0</v>
      </c>
      <c r="D85" s="174">
        <f t="shared" si="24"/>
        <v>0</v>
      </c>
      <c r="E85" s="174">
        <f t="shared" si="24"/>
        <v>0</v>
      </c>
      <c r="F85" s="174">
        <f t="shared" si="24"/>
        <v>0</v>
      </c>
      <c r="G85" s="174">
        <f t="shared" si="24"/>
        <v>0</v>
      </c>
      <c r="H85" s="174">
        <f t="shared" si="24"/>
        <v>0</v>
      </c>
      <c r="I85" s="174">
        <f t="shared" si="24"/>
        <v>0</v>
      </c>
      <c r="J85" s="174">
        <f t="shared" si="24"/>
        <v>0</v>
      </c>
      <c r="K85" s="174">
        <f t="shared" si="24"/>
        <v>0</v>
      </c>
      <c r="L85" s="174">
        <f t="shared" si="24"/>
        <v>0</v>
      </c>
      <c r="M85" s="174">
        <f t="shared" si="24"/>
        <v>0</v>
      </c>
      <c r="N85" s="174">
        <f t="shared" si="24"/>
        <v>0</v>
      </c>
      <c r="O85" s="175">
        <f t="shared" si="24"/>
        <v>0</v>
      </c>
      <c r="P85" s="176"/>
      <c r="Q85" s="176"/>
    </row>
    <row r="86" spans="1:17" ht="23.25" customHeight="1">
      <c r="A86" s="153">
        <v>1</v>
      </c>
      <c r="B86" s="148" t="s">
        <v>252</v>
      </c>
      <c r="C86" s="149">
        <v>0</v>
      </c>
      <c r="D86" s="149"/>
      <c r="E86" s="149">
        <f t="shared" si="15"/>
        <v>0</v>
      </c>
      <c r="F86" s="149"/>
      <c r="G86" s="149"/>
      <c r="H86" s="149"/>
      <c r="I86" s="149"/>
      <c r="J86" s="149"/>
      <c r="K86" s="151"/>
      <c r="L86" s="151"/>
      <c r="M86" s="151"/>
      <c r="N86" s="151">
        <f t="shared" si="16"/>
        <v>0</v>
      </c>
      <c r="O86" s="152">
        <f t="shared" si="17"/>
        <v>0</v>
      </c>
      <c r="P86" s="147"/>
      <c r="Q86" s="147"/>
    </row>
    <row r="87" spans="1:17" ht="15">
      <c r="A87" s="178" t="s">
        <v>253</v>
      </c>
      <c r="B87" s="179" t="s">
        <v>254</v>
      </c>
      <c r="C87" s="180">
        <f>+C88</f>
        <v>0</v>
      </c>
      <c r="D87" s="180">
        <f aca="true" t="shared" si="25" ref="D87:M87">+D88</f>
        <v>0</v>
      </c>
      <c r="E87" s="180">
        <f t="shared" si="25"/>
        <v>0</v>
      </c>
      <c r="F87" s="180">
        <f t="shared" si="25"/>
        <v>1482490542</v>
      </c>
      <c r="G87" s="180">
        <f t="shared" si="25"/>
        <v>220736479.98000002</v>
      </c>
      <c r="H87" s="180">
        <f t="shared" si="25"/>
        <v>2987033</v>
      </c>
      <c r="I87" s="180">
        <f t="shared" si="25"/>
        <v>161905401</v>
      </c>
      <c r="J87" s="180">
        <f t="shared" si="25"/>
        <v>17000000</v>
      </c>
      <c r="K87" s="180">
        <f t="shared" si="25"/>
        <v>0</v>
      </c>
      <c r="L87" s="180">
        <f t="shared" si="25"/>
        <v>0</v>
      </c>
      <c r="M87" s="180">
        <f t="shared" si="25"/>
        <v>40000000</v>
      </c>
      <c r="N87" s="180">
        <f>+N88</f>
        <v>1713656667</v>
      </c>
      <c r="O87" s="181">
        <f>+O88</f>
        <v>1925119455.98</v>
      </c>
      <c r="P87" s="182"/>
      <c r="Q87" s="182"/>
    </row>
    <row r="88" spans="1:17" ht="15">
      <c r="A88" s="172" t="s">
        <v>255</v>
      </c>
      <c r="B88" s="173" t="s">
        <v>256</v>
      </c>
      <c r="C88" s="174">
        <f>+C89+C101+C107+C118+C141+C147+C152+C235</f>
        <v>0</v>
      </c>
      <c r="D88" s="174">
        <f aca="true" t="shared" si="26" ref="D88:M88">+D89+D101+D107+D118+D141+D147+D152+D235</f>
        <v>0</v>
      </c>
      <c r="E88" s="174">
        <f t="shared" si="26"/>
        <v>0</v>
      </c>
      <c r="F88" s="174">
        <f>+F89+F101+F107+F118+F141+F147+F152++F232+F235</f>
        <v>1482490542</v>
      </c>
      <c r="G88" s="174">
        <f t="shared" si="26"/>
        <v>220736479.98000002</v>
      </c>
      <c r="H88" s="174">
        <f t="shared" si="26"/>
        <v>2987033</v>
      </c>
      <c r="I88" s="174">
        <f t="shared" si="26"/>
        <v>161905401</v>
      </c>
      <c r="J88" s="174">
        <f t="shared" si="26"/>
        <v>17000000</v>
      </c>
      <c r="K88" s="174">
        <f t="shared" si="26"/>
        <v>0</v>
      </c>
      <c r="L88" s="174">
        <f t="shared" si="26"/>
        <v>0</v>
      </c>
      <c r="M88" s="174">
        <f t="shared" si="26"/>
        <v>40000000</v>
      </c>
      <c r="N88" s="174">
        <f>+N89+N101+N107+N118+N141+N147+N152+N235</f>
        <v>1713656667</v>
      </c>
      <c r="O88" s="175">
        <f>+O89+O101+O107+O118+O141+O147+O152+O232+O235</f>
        <v>1925119455.98</v>
      </c>
      <c r="P88" s="176"/>
      <c r="Q88" s="176"/>
    </row>
    <row r="89" spans="1:17" ht="15">
      <c r="A89" s="172" t="s">
        <v>257</v>
      </c>
      <c r="B89" s="173" t="s">
        <v>258</v>
      </c>
      <c r="C89" s="174">
        <f>SUM(C90:C100)</f>
        <v>0</v>
      </c>
      <c r="D89" s="174">
        <f aca="true" t="shared" si="27" ref="D89:M89">SUM(D90:D100)</f>
        <v>0</v>
      </c>
      <c r="E89" s="174">
        <f t="shared" si="27"/>
        <v>0</v>
      </c>
      <c r="F89" s="174">
        <f t="shared" si="27"/>
        <v>95917169</v>
      </c>
      <c r="G89" s="174">
        <f t="shared" si="27"/>
        <v>5000000</v>
      </c>
      <c r="H89" s="174">
        <f t="shared" si="27"/>
        <v>0</v>
      </c>
      <c r="I89" s="174">
        <f t="shared" si="27"/>
        <v>0</v>
      </c>
      <c r="J89" s="174">
        <f t="shared" si="27"/>
        <v>0</v>
      </c>
      <c r="K89" s="174">
        <f t="shared" si="27"/>
        <v>0</v>
      </c>
      <c r="L89" s="174">
        <f t="shared" si="27"/>
        <v>0</v>
      </c>
      <c r="M89" s="174">
        <f t="shared" si="27"/>
        <v>0</v>
      </c>
      <c r="N89" s="174">
        <f>SUM(N90:N97)</f>
        <v>85917169</v>
      </c>
      <c r="O89" s="175">
        <f>SUM(O90:O100)</f>
        <v>100917169</v>
      </c>
      <c r="P89" s="183">
        <f>+'[1]ING-11'!H73-'[1]GAT-11'!F99</f>
        <v>-295326171</v>
      </c>
      <c r="Q89" s="184" t="s">
        <v>259</v>
      </c>
    </row>
    <row r="90" spans="1:17" ht="25.5" customHeight="1">
      <c r="A90" s="154">
        <v>1</v>
      </c>
      <c r="B90" s="148" t="s">
        <v>260</v>
      </c>
      <c r="C90" s="149"/>
      <c r="D90" s="149"/>
      <c r="E90" s="149">
        <f aca="true" t="shared" si="28" ref="E90:E97">C90+D90</f>
        <v>0</v>
      </c>
      <c r="F90" s="149"/>
      <c r="G90" s="149">
        <v>5000000</v>
      </c>
      <c r="H90" s="149"/>
      <c r="I90" s="149"/>
      <c r="J90" s="149"/>
      <c r="K90" s="151"/>
      <c r="L90" s="151"/>
      <c r="M90" s="151"/>
      <c r="N90" s="151">
        <f aca="true" t="shared" si="29" ref="N90:N97">F90+I90+J90+M90</f>
        <v>0</v>
      </c>
      <c r="O90" s="152">
        <f>+C90+D90+F90+G90+H90+I90+J90+K90+L90+M90</f>
        <v>5000000</v>
      </c>
      <c r="P90" s="147"/>
      <c r="Q90" s="147"/>
    </row>
    <row r="91" spans="1:17" ht="27.75" customHeight="1">
      <c r="A91" s="153">
        <v>2</v>
      </c>
      <c r="B91" s="148" t="s">
        <v>261</v>
      </c>
      <c r="C91" s="149"/>
      <c r="D91" s="149"/>
      <c r="E91" s="149">
        <f t="shared" si="28"/>
        <v>0</v>
      </c>
      <c r="F91" s="149">
        <v>5917169</v>
      </c>
      <c r="G91" s="149"/>
      <c r="H91" s="149"/>
      <c r="I91" s="149"/>
      <c r="J91" s="149"/>
      <c r="K91" s="151"/>
      <c r="L91" s="151"/>
      <c r="M91" s="151"/>
      <c r="N91" s="151">
        <f t="shared" si="29"/>
        <v>5917169</v>
      </c>
      <c r="O91" s="152">
        <f aca="true" t="shared" si="30" ref="O91:O100">+C91+D91+F91+G91+H91+I91+J91+K91+L91+M91</f>
        <v>5917169</v>
      </c>
      <c r="P91" s="147"/>
      <c r="Q91" s="147"/>
    </row>
    <row r="92" spans="1:17" ht="22.5" customHeight="1">
      <c r="A92" s="153">
        <v>3</v>
      </c>
      <c r="B92" s="148" t="s">
        <v>262</v>
      </c>
      <c r="C92" s="149"/>
      <c r="D92" s="149"/>
      <c r="E92" s="149">
        <f t="shared" si="28"/>
        <v>0</v>
      </c>
      <c r="F92" s="149"/>
      <c r="G92" s="149"/>
      <c r="H92" s="149"/>
      <c r="I92" s="149"/>
      <c r="J92" s="149"/>
      <c r="K92" s="151"/>
      <c r="L92" s="151"/>
      <c r="M92" s="151"/>
      <c r="N92" s="151">
        <f t="shared" si="29"/>
        <v>0</v>
      </c>
      <c r="O92" s="152">
        <f t="shared" si="30"/>
        <v>0</v>
      </c>
      <c r="P92" s="147"/>
      <c r="Q92" s="147"/>
    </row>
    <row r="93" spans="1:17" ht="24.75" customHeight="1">
      <c r="A93" s="153">
        <v>4</v>
      </c>
      <c r="B93" s="148" t="s">
        <v>263</v>
      </c>
      <c r="C93" s="149"/>
      <c r="D93" s="149"/>
      <c r="E93" s="149">
        <f t="shared" si="28"/>
        <v>0</v>
      </c>
      <c r="F93" s="149">
        <v>0</v>
      </c>
      <c r="G93" s="149"/>
      <c r="H93" s="149"/>
      <c r="I93" s="149"/>
      <c r="J93" s="149"/>
      <c r="K93" s="151"/>
      <c r="L93" s="151"/>
      <c r="M93" s="151"/>
      <c r="N93" s="151">
        <f t="shared" si="29"/>
        <v>0</v>
      </c>
      <c r="O93" s="152">
        <f t="shared" si="30"/>
        <v>0</v>
      </c>
      <c r="P93" s="147"/>
      <c r="Q93" s="147"/>
    </row>
    <row r="94" spans="1:17" ht="12.75" customHeight="1">
      <c r="A94" s="153">
        <v>5</v>
      </c>
      <c r="B94" s="148" t="s">
        <v>495</v>
      </c>
      <c r="C94" s="149"/>
      <c r="D94" s="149"/>
      <c r="E94" s="149">
        <f t="shared" si="28"/>
        <v>0</v>
      </c>
      <c r="F94" s="149">
        <v>5000000</v>
      </c>
      <c r="G94" s="149"/>
      <c r="H94" s="149"/>
      <c r="I94" s="149"/>
      <c r="J94" s="149"/>
      <c r="K94" s="151"/>
      <c r="L94" s="151"/>
      <c r="M94" s="151"/>
      <c r="N94" s="151">
        <f t="shared" si="29"/>
        <v>5000000</v>
      </c>
      <c r="O94" s="152">
        <f t="shared" si="30"/>
        <v>5000000</v>
      </c>
      <c r="P94" s="147"/>
      <c r="Q94" s="147"/>
    </row>
    <row r="95" spans="1:17" ht="18.75" customHeight="1">
      <c r="A95" s="153">
        <v>6</v>
      </c>
      <c r="B95" s="148" t="s">
        <v>264</v>
      </c>
      <c r="C95" s="149"/>
      <c r="D95" s="149"/>
      <c r="E95" s="149">
        <f t="shared" si="28"/>
        <v>0</v>
      </c>
      <c r="F95" s="149">
        <v>70000000</v>
      </c>
      <c r="G95" s="149"/>
      <c r="H95" s="149"/>
      <c r="I95" s="149"/>
      <c r="J95" s="149"/>
      <c r="K95" s="151"/>
      <c r="L95" s="151"/>
      <c r="M95" s="151"/>
      <c r="N95" s="151">
        <f t="shared" si="29"/>
        <v>70000000</v>
      </c>
      <c r="O95" s="152">
        <f t="shared" si="30"/>
        <v>70000000</v>
      </c>
      <c r="P95" s="147"/>
      <c r="Q95" s="147"/>
    </row>
    <row r="96" spans="1:17" ht="15" customHeight="1">
      <c r="A96" s="153">
        <v>7</v>
      </c>
      <c r="B96" s="148" t="s">
        <v>265</v>
      </c>
      <c r="C96" s="149"/>
      <c r="D96" s="149"/>
      <c r="E96" s="149">
        <f t="shared" si="28"/>
        <v>0</v>
      </c>
      <c r="F96" s="149">
        <v>5000000</v>
      </c>
      <c r="G96" s="149"/>
      <c r="H96" s="149"/>
      <c r="I96" s="149"/>
      <c r="J96" s="149"/>
      <c r="K96" s="151"/>
      <c r="L96" s="151"/>
      <c r="M96" s="151"/>
      <c r="N96" s="151">
        <f t="shared" si="29"/>
        <v>5000000</v>
      </c>
      <c r="O96" s="152">
        <f t="shared" si="30"/>
        <v>5000000</v>
      </c>
      <c r="P96" s="147"/>
      <c r="Q96" s="147"/>
    </row>
    <row r="97" spans="1:17" ht="25.5" customHeight="1">
      <c r="A97" s="153">
        <v>8</v>
      </c>
      <c r="B97" s="148" t="s">
        <v>266</v>
      </c>
      <c r="C97" s="149"/>
      <c r="D97" s="149"/>
      <c r="E97" s="149">
        <f t="shared" si="28"/>
        <v>0</v>
      </c>
      <c r="F97" s="149"/>
      <c r="G97" s="149"/>
      <c r="H97" s="149"/>
      <c r="I97" s="149"/>
      <c r="J97" s="149"/>
      <c r="K97" s="151"/>
      <c r="L97" s="151"/>
      <c r="M97" s="151"/>
      <c r="N97" s="151">
        <f t="shared" si="29"/>
        <v>0</v>
      </c>
      <c r="O97" s="152">
        <f t="shared" si="30"/>
        <v>0</v>
      </c>
      <c r="P97" s="147"/>
      <c r="Q97" s="147"/>
    </row>
    <row r="98" spans="1:17" ht="15">
      <c r="A98" s="153">
        <v>13</v>
      </c>
      <c r="B98" s="148" t="s">
        <v>443</v>
      </c>
      <c r="C98" s="149"/>
      <c r="D98" s="149"/>
      <c r="E98" s="149"/>
      <c r="F98" s="149"/>
      <c r="G98" s="149"/>
      <c r="H98" s="149"/>
      <c r="I98" s="149"/>
      <c r="J98" s="149"/>
      <c r="K98" s="151"/>
      <c r="L98" s="151"/>
      <c r="M98" s="151"/>
      <c r="N98" s="151"/>
      <c r="O98" s="152">
        <f t="shared" si="30"/>
        <v>0</v>
      </c>
      <c r="P98" s="147"/>
      <c r="Q98" s="147"/>
    </row>
    <row r="99" spans="1:17" ht="37.5" customHeight="1">
      <c r="A99" s="153">
        <v>14</v>
      </c>
      <c r="B99" s="148" t="s">
        <v>444</v>
      </c>
      <c r="C99" s="149"/>
      <c r="D99" s="149"/>
      <c r="E99" s="149"/>
      <c r="F99" s="149">
        <v>10000000</v>
      </c>
      <c r="G99" s="149"/>
      <c r="H99" s="149"/>
      <c r="I99" s="149"/>
      <c r="J99" s="149"/>
      <c r="K99" s="151"/>
      <c r="L99" s="151"/>
      <c r="M99" s="151"/>
      <c r="N99" s="151"/>
      <c r="O99" s="152">
        <f t="shared" si="30"/>
        <v>10000000</v>
      </c>
      <c r="P99" s="147"/>
      <c r="Q99" s="147"/>
    </row>
    <row r="100" spans="1:17" ht="15">
      <c r="A100" s="153">
        <v>16</v>
      </c>
      <c r="B100" s="148" t="s">
        <v>445</v>
      </c>
      <c r="C100" s="149"/>
      <c r="D100" s="149"/>
      <c r="E100" s="149"/>
      <c r="F100" s="149"/>
      <c r="G100" s="149"/>
      <c r="H100" s="149"/>
      <c r="I100" s="149"/>
      <c r="J100" s="149"/>
      <c r="K100" s="151"/>
      <c r="L100" s="151"/>
      <c r="M100" s="151"/>
      <c r="N100" s="151"/>
      <c r="O100" s="152">
        <f t="shared" si="30"/>
        <v>0</v>
      </c>
      <c r="P100" s="147"/>
      <c r="Q100" s="147"/>
    </row>
    <row r="101" spans="1:17" ht="21.75" customHeight="1">
      <c r="A101" s="172" t="s">
        <v>267</v>
      </c>
      <c r="B101" s="173" t="s">
        <v>268</v>
      </c>
      <c r="C101" s="174">
        <f>SUM(C102:C106)</f>
        <v>0</v>
      </c>
      <c r="D101" s="174">
        <f aca="true" t="shared" si="31" ref="D101:M101">SUM(D102:D106)</f>
        <v>0</v>
      </c>
      <c r="E101" s="174">
        <f t="shared" si="31"/>
        <v>0</v>
      </c>
      <c r="F101" s="174">
        <f t="shared" si="31"/>
        <v>9290533</v>
      </c>
      <c r="G101" s="174">
        <f t="shared" si="31"/>
        <v>1612142</v>
      </c>
      <c r="H101" s="174">
        <f t="shared" si="31"/>
        <v>0</v>
      </c>
      <c r="I101" s="174">
        <f t="shared" si="31"/>
        <v>0</v>
      </c>
      <c r="J101" s="174">
        <f t="shared" si="31"/>
        <v>0</v>
      </c>
      <c r="K101" s="174">
        <f t="shared" si="31"/>
        <v>0</v>
      </c>
      <c r="L101" s="174">
        <f t="shared" si="31"/>
        <v>0</v>
      </c>
      <c r="M101" s="174">
        <f t="shared" si="31"/>
        <v>0</v>
      </c>
      <c r="N101" s="174">
        <f>SUM(N102:N106)</f>
        <v>9290533</v>
      </c>
      <c r="O101" s="175">
        <f>SUM(O102:O106)</f>
        <v>10902675</v>
      </c>
      <c r="P101" s="183">
        <f>+'[1]ING-11'!K74-'[1]GAT-11'!F109</f>
        <v>0</v>
      </c>
      <c r="Q101" s="184" t="s">
        <v>259</v>
      </c>
    </row>
    <row r="102" spans="1:17" ht="12.75" customHeight="1">
      <c r="A102" s="153">
        <v>1</v>
      </c>
      <c r="B102" s="148" t="s">
        <v>269</v>
      </c>
      <c r="C102" s="149"/>
      <c r="D102" s="149"/>
      <c r="E102" s="149">
        <f>C102+D102</f>
        <v>0</v>
      </c>
      <c r="F102" s="155"/>
      <c r="G102" s="155">
        <v>612142</v>
      </c>
      <c r="H102" s="155"/>
      <c r="I102" s="155"/>
      <c r="J102" s="155"/>
      <c r="K102" s="156"/>
      <c r="L102" s="156"/>
      <c r="M102" s="156"/>
      <c r="N102" s="151">
        <f>F102+I102+J102+M102</f>
        <v>0</v>
      </c>
      <c r="O102" s="152">
        <f aca="true" t="shared" si="32" ref="O102:O117">+C102+D102+F102+G102+H102+I102+J102+K102+L102+M102</f>
        <v>612142</v>
      </c>
      <c r="P102" s="147"/>
      <c r="Q102" s="147"/>
    </row>
    <row r="103" spans="1:17" ht="12.75" customHeight="1">
      <c r="A103" s="153">
        <v>2</v>
      </c>
      <c r="B103" s="148" t="s">
        <v>270</v>
      </c>
      <c r="C103" s="149"/>
      <c r="D103" s="149"/>
      <c r="E103" s="149">
        <f>C103+D103</f>
        <v>0</v>
      </c>
      <c r="F103" s="155"/>
      <c r="G103" s="155"/>
      <c r="H103" s="155"/>
      <c r="I103" s="155"/>
      <c r="J103" s="155"/>
      <c r="K103" s="156"/>
      <c r="L103" s="156"/>
      <c r="M103" s="156"/>
      <c r="N103" s="151">
        <f>F103+I103+J103+M103</f>
        <v>0</v>
      </c>
      <c r="O103" s="152">
        <f t="shared" si="32"/>
        <v>0</v>
      </c>
      <c r="P103" s="147"/>
      <c r="Q103" s="147"/>
    </row>
    <row r="104" spans="1:17" ht="12.75" customHeight="1">
      <c r="A104" s="153">
        <v>3</v>
      </c>
      <c r="B104" s="148" t="s">
        <v>497</v>
      </c>
      <c r="C104" s="149"/>
      <c r="D104" s="149"/>
      <c r="E104" s="149">
        <f>C104+D104</f>
        <v>0</v>
      </c>
      <c r="F104" s="155">
        <v>9290533</v>
      </c>
      <c r="G104" s="155"/>
      <c r="H104" s="155"/>
      <c r="I104" s="155"/>
      <c r="J104" s="155"/>
      <c r="K104" s="156"/>
      <c r="L104" s="156"/>
      <c r="M104" s="156"/>
      <c r="N104" s="151">
        <f>F104+I104+J104+M104</f>
        <v>9290533</v>
      </c>
      <c r="O104" s="152">
        <f t="shared" si="32"/>
        <v>9290533</v>
      </c>
      <c r="P104" s="147"/>
      <c r="Q104" s="147"/>
    </row>
    <row r="105" spans="1:17" ht="27.75" customHeight="1">
      <c r="A105" s="153">
        <v>4</v>
      </c>
      <c r="B105" s="148" t="s">
        <v>271</v>
      </c>
      <c r="C105" s="149"/>
      <c r="D105" s="149"/>
      <c r="E105" s="149">
        <f>C105+D105</f>
        <v>0</v>
      </c>
      <c r="F105" s="155"/>
      <c r="G105" s="155">
        <v>0</v>
      </c>
      <c r="H105" s="155"/>
      <c r="I105" s="155"/>
      <c r="J105" s="155"/>
      <c r="K105" s="156"/>
      <c r="L105" s="156"/>
      <c r="M105" s="156"/>
      <c r="N105" s="151">
        <f>F105+I105+J105+M105</f>
        <v>0</v>
      </c>
      <c r="O105" s="152">
        <f t="shared" si="32"/>
        <v>0</v>
      </c>
      <c r="P105" s="147"/>
      <c r="Q105" s="147"/>
    </row>
    <row r="106" spans="1:17" ht="23.25">
      <c r="A106" s="153">
        <v>5</v>
      </c>
      <c r="B106" s="148" t="s">
        <v>446</v>
      </c>
      <c r="C106" s="149"/>
      <c r="D106" s="149"/>
      <c r="E106" s="149">
        <f>C106+D106</f>
        <v>0</v>
      </c>
      <c r="F106" s="149"/>
      <c r="G106" s="149">
        <v>1000000</v>
      </c>
      <c r="H106" s="149"/>
      <c r="I106" s="149"/>
      <c r="J106" s="149"/>
      <c r="K106" s="151"/>
      <c r="L106" s="151"/>
      <c r="M106" s="151"/>
      <c r="N106" s="151">
        <f>F106+I106+J106+M106</f>
        <v>0</v>
      </c>
      <c r="O106" s="152">
        <f t="shared" si="32"/>
        <v>1000000</v>
      </c>
      <c r="P106" s="147"/>
      <c r="Q106" s="147"/>
    </row>
    <row r="107" spans="1:19" ht="30.75" customHeight="1">
      <c r="A107" s="172" t="s">
        <v>272</v>
      </c>
      <c r="B107" s="173" t="s">
        <v>273</v>
      </c>
      <c r="C107" s="174">
        <f>+C108+C109+C110+C111+C112</f>
        <v>0</v>
      </c>
      <c r="D107" s="174">
        <f aca="true" t="shared" si="33" ref="D107:M107">+D108+D109+D110+D111+D112</f>
        <v>0</v>
      </c>
      <c r="E107" s="174">
        <f t="shared" si="33"/>
        <v>0</v>
      </c>
      <c r="F107" s="174">
        <f t="shared" si="33"/>
        <v>302396246</v>
      </c>
      <c r="G107" s="174">
        <f t="shared" si="33"/>
        <v>20000000</v>
      </c>
      <c r="H107" s="174">
        <f t="shared" si="33"/>
        <v>2987033</v>
      </c>
      <c r="I107" s="174">
        <f t="shared" si="33"/>
        <v>161905401</v>
      </c>
      <c r="J107" s="174">
        <f t="shared" si="33"/>
        <v>0</v>
      </c>
      <c r="K107" s="174">
        <f t="shared" si="33"/>
        <v>0</v>
      </c>
      <c r="L107" s="174">
        <f t="shared" si="33"/>
        <v>0</v>
      </c>
      <c r="M107" s="174">
        <f t="shared" si="33"/>
        <v>0</v>
      </c>
      <c r="N107" s="174">
        <f>SUM(N108:N117)</f>
        <v>486562371</v>
      </c>
      <c r="O107" s="175">
        <f>+O108+O109+O110+O111+O112</f>
        <v>487288680</v>
      </c>
      <c r="P107" s="183">
        <f>+'[1]ING-11'!K84+'[1]ING-11'!H114+'[1]ING-11'!I114-'[1]GAT-11'!K115</f>
        <v>-19855546</v>
      </c>
      <c r="Q107" s="184" t="s">
        <v>259</v>
      </c>
      <c r="S107" s="89" t="e">
        <f>+#REF!</f>
        <v>#REF!</v>
      </c>
    </row>
    <row r="108" spans="1:20" ht="12.75" customHeight="1">
      <c r="A108" s="153">
        <v>1</v>
      </c>
      <c r="B108" s="148" t="s">
        <v>274</v>
      </c>
      <c r="C108" s="149"/>
      <c r="D108" s="149"/>
      <c r="E108" s="149"/>
      <c r="F108" s="155">
        <v>280135522</v>
      </c>
      <c r="G108" s="155"/>
      <c r="H108" s="155">
        <v>2987033</v>
      </c>
      <c r="I108" s="155">
        <v>161905401</v>
      </c>
      <c r="J108" s="155"/>
      <c r="K108" s="156"/>
      <c r="L108" s="156"/>
      <c r="M108" s="156"/>
      <c r="N108" s="151">
        <f aca="true" t="shared" si="34" ref="N108:N117">F108+I108+J108+M108</f>
        <v>442040923</v>
      </c>
      <c r="O108" s="152">
        <f t="shared" si="32"/>
        <v>445027956</v>
      </c>
      <c r="P108" s="147"/>
      <c r="Q108" s="147"/>
      <c r="S108" s="61"/>
      <c r="T108" s="89"/>
    </row>
    <row r="109" spans="1:17" ht="12.75" customHeight="1">
      <c r="A109" s="153">
        <v>2</v>
      </c>
      <c r="B109" s="148" t="s">
        <v>275</v>
      </c>
      <c r="C109" s="149"/>
      <c r="D109" s="149"/>
      <c r="E109" s="149"/>
      <c r="F109" s="155"/>
      <c r="G109" s="155"/>
      <c r="H109" s="155"/>
      <c r="I109" s="155"/>
      <c r="J109" s="155"/>
      <c r="K109" s="156"/>
      <c r="L109" s="156"/>
      <c r="M109" s="156"/>
      <c r="N109" s="151">
        <f t="shared" si="34"/>
        <v>0</v>
      </c>
      <c r="O109" s="152">
        <f t="shared" si="32"/>
        <v>0</v>
      </c>
      <c r="P109" s="147"/>
      <c r="Q109" s="147"/>
    </row>
    <row r="110" spans="1:20" ht="25.5" customHeight="1">
      <c r="A110" s="153">
        <v>3</v>
      </c>
      <c r="B110" s="148" t="s">
        <v>276</v>
      </c>
      <c r="C110" s="149"/>
      <c r="D110" s="149"/>
      <c r="E110" s="149"/>
      <c r="F110" s="155"/>
      <c r="G110" s="155"/>
      <c r="H110" s="155"/>
      <c r="I110" s="155"/>
      <c r="J110" s="155"/>
      <c r="K110" s="156"/>
      <c r="L110" s="156"/>
      <c r="M110" s="156"/>
      <c r="N110" s="151">
        <f t="shared" si="34"/>
        <v>0</v>
      </c>
      <c r="O110" s="152">
        <f t="shared" si="32"/>
        <v>0</v>
      </c>
      <c r="P110" s="147"/>
      <c r="Q110" s="147"/>
      <c r="S110" s="61"/>
      <c r="T110" s="89"/>
    </row>
    <row r="111" spans="1:17" ht="15.75" customHeight="1">
      <c r="A111" s="153">
        <v>6</v>
      </c>
      <c r="B111" s="148" t="s">
        <v>501</v>
      </c>
      <c r="C111" s="149"/>
      <c r="D111" s="149"/>
      <c r="E111" s="149"/>
      <c r="F111" s="155"/>
      <c r="G111" s="155">
        <v>20000000</v>
      </c>
      <c r="H111" s="155"/>
      <c r="I111" s="155"/>
      <c r="J111" s="155"/>
      <c r="K111" s="156"/>
      <c r="L111" s="156"/>
      <c r="M111" s="156"/>
      <c r="N111" s="151">
        <f t="shared" si="34"/>
        <v>0</v>
      </c>
      <c r="O111" s="152">
        <f t="shared" si="32"/>
        <v>20000000</v>
      </c>
      <c r="P111" s="147"/>
      <c r="Q111" s="147"/>
    </row>
    <row r="112" spans="1:19" ht="21.75" customHeight="1">
      <c r="A112" s="153"/>
      <c r="B112" s="198" t="s">
        <v>502</v>
      </c>
      <c r="C112" s="199">
        <f>SUM(C113:C117)</f>
        <v>0</v>
      </c>
      <c r="D112" s="199">
        <f aca="true" t="shared" si="35" ref="D112:O112">SUM(D113:D117)</f>
        <v>0</v>
      </c>
      <c r="E112" s="199">
        <f t="shared" si="35"/>
        <v>0</v>
      </c>
      <c r="F112" s="199">
        <f t="shared" si="35"/>
        <v>22260724</v>
      </c>
      <c r="G112" s="199">
        <f t="shared" si="35"/>
        <v>0</v>
      </c>
      <c r="H112" s="199">
        <f t="shared" si="35"/>
        <v>0</v>
      </c>
      <c r="I112" s="199">
        <f t="shared" si="35"/>
        <v>0</v>
      </c>
      <c r="J112" s="199">
        <f t="shared" si="35"/>
        <v>0</v>
      </c>
      <c r="K112" s="199">
        <f t="shared" si="35"/>
        <v>0</v>
      </c>
      <c r="L112" s="199">
        <f t="shared" si="35"/>
        <v>0</v>
      </c>
      <c r="M112" s="199">
        <f t="shared" si="35"/>
        <v>0</v>
      </c>
      <c r="N112" s="199">
        <f t="shared" si="35"/>
        <v>22260724</v>
      </c>
      <c r="O112" s="199">
        <f t="shared" si="35"/>
        <v>22260724</v>
      </c>
      <c r="P112" s="147"/>
      <c r="Q112" s="147"/>
      <c r="S112" s="90"/>
    </row>
    <row r="113" spans="1:17" ht="27.75" customHeight="1">
      <c r="A113" s="153">
        <v>1</v>
      </c>
      <c r="B113" s="148" t="s">
        <v>503</v>
      </c>
      <c r="C113" s="149"/>
      <c r="D113" s="149"/>
      <c r="E113" s="149"/>
      <c r="F113" s="155">
        <v>22260724</v>
      </c>
      <c r="G113" s="155"/>
      <c r="H113" s="155"/>
      <c r="I113" s="155"/>
      <c r="J113" s="155"/>
      <c r="K113" s="155"/>
      <c r="L113" s="155"/>
      <c r="M113" s="155"/>
      <c r="N113" s="151">
        <f t="shared" si="34"/>
        <v>22260724</v>
      </c>
      <c r="O113" s="152">
        <f t="shared" si="32"/>
        <v>22260724</v>
      </c>
      <c r="P113" s="147"/>
      <c r="Q113" s="147"/>
    </row>
    <row r="114" spans="1:17" ht="37.5" customHeight="1">
      <c r="A114" s="153">
        <v>2</v>
      </c>
      <c r="B114" s="148" t="s">
        <v>504</v>
      </c>
      <c r="C114" s="149"/>
      <c r="D114" s="149"/>
      <c r="E114" s="149"/>
      <c r="F114" s="155"/>
      <c r="G114" s="155"/>
      <c r="H114" s="155"/>
      <c r="I114" s="155"/>
      <c r="J114" s="155"/>
      <c r="K114" s="155"/>
      <c r="L114" s="155"/>
      <c r="M114" s="155"/>
      <c r="N114" s="151">
        <f t="shared" si="34"/>
        <v>0</v>
      </c>
      <c r="O114" s="152">
        <f t="shared" si="32"/>
        <v>0</v>
      </c>
      <c r="P114" s="147"/>
      <c r="Q114" s="147"/>
    </row>
    <row r="115" spans="1:17" ht="26.25" customHeight="1">
      <c r="A115" s="153">
        <v>3</v>
      </c>
      <c r="B115" s="148" t="s">
        <v>277</v>
      </c>
      <c r="C115" s="149"/>
      <c r="D115" s="149"/>
      <c r="E115" s="149"/>
      <c r="F115" s="155"/>
      <c r="G115" s="155"/>
      <c r="H115" s="155"/>
      <c r="I115" s="155"/>
      <c r="J115" s="155"/>
      <c r="K115" s="156"/>
      <c r="L115" s="156"/>
      <c r="M115" s="156"/>
      <c r="N115" s="151">
        <f t="shared" si="34"/>
        <v>0</v>
      </c>
      <c r="O115" s="152">
        <f t="shared" si="32"/>
        <v>0</v>
      </c>
      <c r="P115" s="147"/>
      <c r="Q115" s="147"/>
    </row>
    <row r="116" spans="1:17" ht="18.75" customHeight="1">
      <c r="A116" s="153">
        <v>4</v>
      </c>
      <c r="B116" s="148" t="s">
        <v>278</v>
      </c>
      <c r="C116" s="149"/>
      <c r="D116" s="149"/>
      <c r="E116" s="149"/>
      <c r="F116" s="155"/>
      <c r="G116" s="155"/>
      <c r="H116" s="155"/>
      <c r="I116" s="155"/>
      <c r="J116" s="155"/>
      <c r="K116" s="156"/>
      <c r="L116" s="156"/>
      <c r="M116" s="156"/>
      <c r="N116" s="151">
        <f t="shared" si="34"/>
        <v>0</v>
      </c>
      <c r="O116" s="152">
        <f t="shared" si="32"/>
        <v>0</v>
      </c>
      <c r="P116" s="147"/>
      <c r="Q116" s="147"/>
    </row>
    <row r="117" spans="1:17" ht="15">
      <c r="A117" s="153"/>
      <c r="B117" s="148"/>
      <c r="C117" s="149"/>
      <c r="D117" s="149"/>
      <c r="E117" s="149"/>
      <c r="F117" s="149"/>
      <c r="G117" s="149"/>
      <c r="H117" s="149"/>
      <c r="I117" s="149"/>
      <c r="J117" s="149"/>
      <c r="K117" s="151"/>
      <c r="L117" s="151"/>
      <c r="M117" s="151"/>
      <c r="N117" s="151">
        <f t="shared" si="34"/>
        <v>0</v>
      </c>
      <c r="O117" s="152">
        <f t="shared" si="32"/>
        <v>0</v>
      </c>
      <c r="P117" s="147"/>
      <c r="Q117" s="147"/>
    </row>
    <row r="118" spans="1:17" ht="27.75" customHeight="1">
      <c r="A118" s="172" t="s">
        <v>279</v>
      </c>
      <c r="B118" s="173" t="s">
        <v>280</v>
      </c>
      <c r="C118" s="174">
        <f>+C119+C129+C136</f>
        <v>0</v>
      </c>
      <c r="D118" s="174">
        <f aca="true" t="shared" si="36" ref="D118:M118">+D119+D129+D136</f>
        <v>0</v>
      </c>
      <c r="E118" s="174">
        <f t="shared" si="36"/>
        <v>0</v>
      </c>
      <c r="F118" s="174">
        <f t="shared" si="36"/>
        <v>121115969</v>
      </c>
      <c r="G118" s="174">
        <f t="shared" si="36"/>
        <v>20000000</v>
      </c>
      <c r="H118" s="174">
        <f t="shared" si="36"/>
        <v>0</v>
      </c>
      <c r="I118" s="174">
        <f t="shared" si="36"/>
        <v>0</v>
      </c>
      <c r="J118" s="174">
        <f t="shared" si="36"/>
        <v>0</v>
      </c>
      <c r="K118" s="174">
        <f t="shared" si="36"/>
        <v>0</v>
      </c>
      <c r="L118" s="174">
        <f t="shared" si="36"/>
        <v>0</v>
      </c>
      <c r="M118" s="174">
        <f t="shared" si="36"/>
        <v>0</v>
      </c>
      <c r="N118" s="174">
        <f>+N119+N129+N136</f>
        <v>121115969</v>
      </c>
      <c r="O118" s="175">
        <f>+O119+O129+O136</f>
        <v>141115969</v>
      </c>
      <c r="P118" s="183">
        <f>+'[1]ING-11'!K75-'[1]GAT-11'!F128</f>
        <v>0</v>
      </c>
      <c r="Q118" s="184" t="s">
        <v>259</v>
      </c>
    </row>
    <row r="119" spans="1:17" ht="24" customHeight="1">
      <c r="A119" s="172" t="s">
        <v>281</v>
      </c>
      <c r="B119" s="173" t="s">
        <v>282</v>
      </c>
      <c r="C119" s="174">
        <f>SUM(C120:C128)</f>
        <v>0</v>
      </c>
      <c r="D119" s="174">
        <f aca="true" t="shared" si="37" ref="D119:M119">SUM(D120:D128)</f>
        <v>0</v>
      </c>
      <c r="E119" s="174">
        <f t="shared" si="37"/>
        <v>0</v>
      </c>
      <c r="F119" s="174">
        <f t="shared" si="37"/>
        <v>82004373</v>
      </c>
      <c r="G119" s="174">
        <f t="shared" si="37"/>
        <v>0</v>
      </c>
      <c r="H119" s="174">
        <f t="shared" si="37"/>
        <v>0</v>
      </c>
      <c r="I119" s="174">
        <f t="shared" si="37"/>
        <v>0</v>
      </c>
      <c r="J119" s="174">
        <f t="shared" si="37"/>
        <v>0</v>
      </c>
      <c r="K119" s="174">
        <f t="shared" si="37"/>
        <v>0</v>
      </c>
      <c r="L119" s="174">
        <f t="shared" si="37"/>
        <v>0</v>
      </c>
      <c r="M119" s="174">
        <f t="shared" si="37"/>
        <v>0</v>
      </c>
      <c r="N119" s="174">
        <f>SUM(N120:N128)</f>
        <v>82004373</v>
      </c>
      <c r="O119" s="175">
        <f>SUM(O120:O128)</f>
        <v>82004373</v>
      </c>
      <c r="P119" s="176"/>
      <c r="Q119" s="176"/>
    </row>
    <row r="120" spans="1:17" ht="12.75" customHeight="1">
      <c r="A120" s="157" t="s">
        <v>433</v>
      </c>
      <c r="B120" s="148" t="s">
        <v>283</v>
      </c>
      <c r="C120" s="149"/>
      <c r="D120" s="149"/>
      <c r="E120" s="149"/>
      <c r="F120" s="149">
        <v>6055798</v>
      </c>
      <c r="G120" s="149"/>
      <c r="H120" s="149"/>
      <c r="I120" s="149"/>
      <c r="J120" s="149"/>
      <c r="K120" s="151"/>
      <c r="L120" s="151"/>
      <c r="M120" s="151"/>
      <c r="N120" s="151">
        <f aca="true" t="shared" si="38" ref="N120:N151">F120+I120+J120+M120</f>
        <v>6055798</v>
      </c>
      <c r="O120" s="152">
        <f aca="true" t="shared" si="39" ref="O120:O151">+C120+D120+F120+G120+H120+I120+J120+K120+L120+M120</f>
        <v>6055798</v>
      </c>
      <c r="P120" s="147"/>
      <c r="Q120" s="147"/>
    </row>
    <row r="121" spans="1:17" ht="24" customHeight="1">
      <c r="A121" s="157" t="s">
        <v>434</v>
      </c>
      <c r="B121" s="148" t="s">
        <v>284</v>
      </c>
      <c r="C121" s="149"/>
      <c r="D121" s="149"/>
      <c r="E121" s="149"/>
      <c r="F121" s="149">
        <v>56948575</v>
      </c>
      <c r="G121" s="149"/>
      <c r="H121" s="149"/>
      <c r="I121" s="149"/>
      <c r="J121" s="149"/>
      <c r="K121" s="151"/>
      <c r="L121" s="151"/>
      <c r="M121" s="151"/>
      <c r="N121" s="151">
        <f t="shared" si="38"/>
        <v>56948575</v>
      </c>
      <c r="O121" s="152">
        <f t="shared" si="39"/>
        <v>56948575</v>
      </c>
      <c r="P121" s="147"/>
      <c r="Q121" s="147"/>
    </row>
    <row r="122" spans="1:17" ht="19.5" customHeight="1">
      <c r="A122" s="157" t="s">
        <v>435</v>
      </c>
      <c r="B122" s="148" t="s">
        <v>285</v>
      </c>
      <c r="C122" s="149"/>
      <c r="D122" s="149"/>
      <c r="E122" s="149"/>
      <c r="F122" s="149">
        <v>5000000</v>
      </c>
      <c r="G122" s="149"/>
      <c r="H122" s="149"/>
      <c r="I122" s="149"/>
      <c r="J122" s="149"/>
      <c r="K122" s="151"/>
      <c r="L122" s="151"/>
      <c r="M122" s="151"/>
      <c r="N122" s="151">
        <f t="shared" si="38"/>
        <v>5000000</v>
      </c>
      <c r="O122" s="152">
        <f t="shared" si="39"/>
        <v>5000000</v>
      </c>
      <c r="P122" s="147"/>
      <c r="Q122" s="147"/>
    </row>
    <row r="123" spans="1:17" ht="27.75" customHeight="1">
      <c r="A123" s="157" t="s">
        <v>436</v>
      </c>
      <c r="B123" s="148" t="s">
        <v>286</v>
      </c>
      <c r="C123" s="149"/>
      <c r="D123" s="149"/>
      <c r="E123" s="149"/>
      <c r="F123" s="149">
        <v>2000000</v>
      </c>
      <c r="G123" s="149"/>
      <c r="H123" s="149"/>
      <c r="I123" s="149"/>
      <c r="J123" s="149"/>
      <c r="K123" s="151"/>
      <c r="L123" s="151"/>
      <c r="M123" s="151"/>
      <c r="N123" s="151">
        <f t="shared" si="38"/>
        <v>2000000</v>
      </c>
      <c r="O123" s="152">
        <f t="shared" si="39"/>
        <v>2000000</v>
      </c>
      <c r="P123" s="147"/>
      <c r="Q123" s="147"/>
    </row>
    <row r="124" spans="1:17" ht="24.75" customHeight="1">
      <c r="A124" s="157" t="s">
        <v>437</v>
      </c>
      <c r="B124" s="148" t="s">
        <v>287</v>
      </c>
      <c r="C124" s="149"/>
      <c r="D124" s="149"/>
      <c r="E124" s="149"/>
      <c r="F124" s="149">
        <v>0</v>
      </c>
      <c r="G124" s="149"/>
      <c r="H124" s="149"/>
      <c r="I124" s="149"/>
      <c r="J124" s="149"/>
      <c r="K124" s="151"/>
      <c r="L124" s="151"/>
      <c r="M124" s="151"/>
      <c r="N124" s="151">
        <f t="shared" si="38"/>
        <v>0</v>
      </c>
      <c r="O124" s="152">
        <f t="shared" si="39"/>
        <v>0</v>
      </c>
      <c r="P124" s="147"/>
      <c r="Q124" s="147"/>
    </row>
    <row r="125" spans="1:17" ht="12.75" customHeight="1">
      <c r="A125" s="157" t="s">
        <v>439</v>
      </c>
      <c r="B125" s="148" t="s">
        <v>288</v>
      </c>
      <c r="C125" s="149"/>
      <c r="D125" s="149"/>
      <c r="E125" s="149"/>
      <c r="F125" s="149">
        <v>2000000</v>
      </c>
      <c r="G125" s="149"/>
      <c r="H125" s="149"/>
      <c r="I125" s="149"/>
      <c r="J125" s="149"/>
      <c r="K125" s="151"/>
      <c r="L125" s="151"/>
      <c r="M125" s="151"/>
      <c r="N125" s="151">
        <f t="shared" si="38"/>
        <v>2000000</v>
      </c>
      <c r="O125" s="152">
        <f t="shared" si="39"/>
        <v>2000000</v>
      </c>
      <c r="P125" s="147"/>
      <c r="Q125" s="147"/>
    </row>
    <row r="126" spans="1:17" ht="24.75" customHeight="1">
      <c r="A126" s="157" t="s">
        <v>440</v>
      </c>
      <c r="B126" s="148" t="s">
        <v>289</v>
      </c>
      <c r="C126" s="149"/>
      <c r="D126" s="149"/>
      <c r="E126" s="149"/>
      <c r="F126" s="149">
        <v>10000000</v>
      </c>
      <c r="G126" s="149"/>
      <c r="H126" s="149"/>
      <c r="I126" s="149"/>
      <c r="J126" s="149"/>
      <c r="K126" s="151"/>
      <c r="L126" s="151"/>
      <c r="M126" s="151"/>
      <c r="N126" s="151">
        <f t="shared" si="38"/>
        <v>10000000</v>
      </c>
      <c r="O126" s="152">
        <f t="shared" si="39"/>
        <v>10000000</v>
      </c>
      <c r="P126" s="147"/>
      <c r="Q126" s="147"/>
    </row>
    <row r="127" spans="1:17" ht="23.25" customHeight="1">
      <c r="A127" s="157" t="s">
        <v>441</v>
      </c>
      <c r="B127" s="148" t="s">
        <v>290</v>
      </c>
      <c r="C127" s="149"/>
      <c r="D127" s="149"/>
      <c r="E127" s="149"/>
      <c r="F127" s="149">
        <v>0</v>
      </c>
      <c r="G127" s="149"/>
      <c r="H127" s="149"/>
      <c r="I127" s="149"/>
      <c r="J127" s="149"/>
      <c r="K127" s="151"/>
      <c r="L127" s="151"/>
      <c r="M127" s="151"/>
      <c r="N127" s="151">
        <f t="shared" si="38"/>
        <v>0</v>
      </c>
      <c r="O127" s="152">
        <f t="shared" si="39"/>
        <v>0</v>
      </c>
      <c r="P127" s="147"/>
      <c r="Q127" s="147"/>
    </row>
    <row r="128" spans="1:17" ht="12.75" customHeight="1">
      <c r="A128" s="153">
        <v>10</v>
      </c>
      <c r="B128" s="148" t="s">
        <v>466</v>
      </c>
      <c r="C128" s="149"/>
      <c r="D128" s="149"/>
      <c r="E128" s="149"/>
      <c r="F128" s="149">
        <v>0</v>
      </c>
      <c r="G128" s="149"/>
      <c r="H128" s="149"/>
      <c r="I128" s="149"/>
      <c r="J128" s="149"/>
      <c r="K128" s="151"/>
      <c r="L128" s="151"/>
      <c r="M128" s="151"/>
      <c r="N128" s="151">
        <f t="shared" si="38"/>
        <v>0</v>
      </c>
      <c r="O128" s="152">
        <f t="shared" si="39"/>
        <v>0</v>
      </c>
      <c r="P128" s="147"/>
      <c r="Q128" s="147"/>
    </row>
    <row r="129" spans="1:17" ht="27" customHeight="1">
      <c r="A129" s="172" t="s">
        <v>291</v>
      </c>
      <c r="B129" s="173" t="s">
        <v>292</v>
      </c>
      <c r="C129" s="174">
        <f>SUM(C130:C135)</f>
        <v>0</v>
      </c>
      <c r="D129" s="174">
        <f aca="true" t="shared" si="40" ref="D129:M129">SUM(D130:D135)</f>
        <v>0</v>
      </c>
      <c r="E129" s="174">
        <f t="shared" si="40"/>
        <v>0</v>
      </c>
      <c r="F129" s="174">
        <f t="shared" si="40"/>
        <v>33055798</v>
      </c>
      <c r="G129" s="174">
        <f t="shared" si="40"/>
        <v>20000000</v>
      </c>
      <c r="H129" s="174">
        <f t="shared" si="40"/>
        <v>0</v>
      </c>
      <c r="I129" s="174">
        <f t="shared" si="40"/>
        <v>0</v>
      </c>
      <c r="J129" s="174">
        <f t="shared" si="40"/>
        <v>0</v>
      </c>
      <c r="K129" s="174">
        <f t="shared" si="40"/>
        <v>0</v>
      </c>
      <c r="L129" s="174">
        <f t="shared" si="40"/>
        <v>0</v>
      </c>
      <c r="M129" s="174">
        <f t="shared" si="40"/>
        <v>0</v>
      </c>
      <c r="N129" s="174">
        <f>SUM(N130:N135)</f>
        <v>33055798</v>
      </c>
      <c r="O129" s="175">
        <f>SUM(O130:O135)</f>
        <v>53055798</v>
      </c>
      <c r="P129" s="176"/>
      <c r="Q129" s="176"/>
    </row>
    <row r="130" spans="1:17" ht="12.75" customHeight="1">
      <c r="A130" s="157" t="s">
        <v>433</v>
      </c>
      <c r="B130" s="148" t="s">
        <v>283</v>
      </c>
      <c r="C130" s="149"/>
      <c r="D130" s="149"/>
      <c r="E130" s="149"/>
      <c r="F130" s="149">
        <v>6055798</v>
      </c>
      <c r="G130" s="149"/>
      <c r="H130" s="149"/>
      <c r="I130" s="149"/>
      <c r="J130" s="149"/>
      <c r="K130" s="151"/>
      <c r="L130" s="151"/>
      <c r="M130" s="151"/>
      <c r="N130" s="151">
        <f t="shared" si="38"/>
        <v>6055798</v>
      </c>
      <c r="O130" s="152">
        <f t="shared" si="39"/>
        <v>6055798</v>
      </c>
      <c r="P130" s="147"/>
      <c r="Q130" s="147"/>
    </row>
    <row r="131" spans="1:17" ht="27.75" customHeight="1">
      <c r="A131" s="157" t="s">
        <v>434</v>
      </c>
      <c r="B131" s="148" t="s">
        <v>293</v>
      </c>
      <c r="C131" s="149"/>
      <c r="D131" s="149"/>
      <c r="E131" s="149"/>
      <c r="F131" s="149">
        <v>10000000</v>
      </c>
      <c r="G131" s="149">
        <v>20000000</v>
      </c>
      <c r="H131" s="149"/>
      <c r="I131" s="149"/>
      <c r="J131" s="149"/>
      <c r="K131" s="151"/>
      <c r="L131" s="151"/>
      <c r="M131" s="151"/>
      <c r="N131" s="151">
        <f t="shared" si="38"/>
        <v>10000000</v>
      </c>
      <c r="O131" s="152">
        <f t="shared" si="39"/>
        <v>30000000</v>
      </c>
      <c r="P131" s="147"/>
      <c r="Q131" s="147"/>
    </row>
    <row r="132" spans="1:17" ht="21.75" customHeight="1">
      <c r="A132" s="157" t="s">
        <v>435</v>
      </c>
      <c r="B132" s="148" t="s">
        <v>294</v>
      </c>
      <c r="C132" s="149"/>
      <c r="D132" s="149"/>
      <c r="E132" s="149"/>
      <c r="F132" s="149">
        <v>10000000</v>
      </c>
      <c r="G132" s="149"/>
      <c r="H132" s="149"/>
      <c r="I132" s="149"/>
      <c r="J132" s="149"/>
      <c r="K132" s="151"/>
      <c r="L132" s="151"/>
      <c r="M132" s="151"/>
      <c r="N132" s="151">
        <f t="shared" si="38"/>
        <v>10000000</v>
      </c>
      <c r="O132" s="152">
        <f t="shared" si="39"/>
        <v>10000000</v>
      </c>
      <c r="P132" s="147"/>
      <c r="Q132" s="147"/>
    </row>
    <row r="133" spans="1:17" ht="12.75" customHeight="1">
      <c r="A133" s="157" t="s">
        <v>436</v>
      </c>
      <c r="B133" s="148" t="s">
        <v>295</v>
      </c>
      <c r="C133" s="149"/>
      <c r="D133" s="149"/>
      <c r="E133" s="149"/>
      <c r="F133" s="149">
        <v>2000000</v>
      </c>
      <c r="G133" s="149"/>
      <c r="H133" s="149"/>
      <c r="I133" s="149"/>
      <c r="J133" s="149"/>
      <c r="K133" s="151"/>
      <c r="L133" s="151"/>
      <c r="M133" s="151"/>
      <c r="N133" s="151">
        <f t="shared" si="38"/>
        <v>2000000</v>
      </c>
      <c r="O133" s="152">
        <f t="shared" si="39"/>
        <v>2000000</v>
      </c>
      <c r="P133" s="147"/>
      <c r="Q133" s="147"/>
    </row>
    <row r="134" spans="1:17" ht="24.75" customHeight="1">
      <c r="A134" s="157" t="s">
        <v>437</v>
      </c>
      <c r="B134" s="148" t="s">
        <v>296</v>
      </c>
      <c r="C134" s="149"/>
      <c r="D134" s="149"/>
      <c r="E134" s="149"/>
      <c r="F134" s="149">
        <v>5000000</v>
      </c>
      <c r="G134" s="149"/>
      <c r="H134" s="149"/>
      <c r="I134" s="149"/>
      <c r="J134" s="149"/>
      <c r="K134" s="151"/>
      <c r="L134" s="151"/>
      <c r="M134" s="151"/>
      <c r="N134" s="151">
        <f t="shared" si="38"/>
        <v>5000000</v>
      </c>
      <c r="O134" s="152">
        <f t="shared" si="39"/>
        <v>5000000</v>
      </c>
      <c r="P134" s="147"/>
      <c r="Q134" s="147"/>
    </row>
    <row r="135" spans="1:17" ht="12.75" customHeight="1">
      <c r="A135" s="153">
        <v>6</v>
      </c>
      <c r="B135" s="148"/>
      <c r="C135" s="149"/>
      <c r="D135" s="149"/>
      <c r="E135" s="149"/>
      <c r="F135" s="149"/>
      <c r="G135" s="149"/>
      <c r="H135" s="149"/>
      <c r="I135" s="149"/>
      <c r="J135" s="149"/>
      <c r="K135" s="151"/>
      <c r="L135" s="151"/>
      <c r="M135" s="151"/>
      <c r="N135" s="151">
        <f t="shared" si="38"/>
        <v>0</v>
      </c>
      <c r="O135" s="152">
        <f t="shared" si="39"/>
        <v>0</v>
      </c>
      <c r="P135" s="147"/>
      <c r="Q135" s="147"/>
    </row>
    <row r="136" spans="1:17" ht="17.25" customHeight="1">
      <c r="A136" s="172" t="s">
        <v>297</v>
      </c>
      <c r="B136" s="173" t="s">
        <v>298</v>
      </c>
      <c r="C136" s="174">
        <f>SUM(C137:C140)</f>
        <v>0</v>
      </c>
      <c r="D136" s="174">
        <f aca="true" t="shared" si="41" ref="D136:M136">SUM(D137:D140)</f>
        <v>0</v>
      </c>
      <c r="E136" s="174">
        <f t="shared" si="41"/>
        <v>0</v>
      </c>
      <c r="F136" s="174">
        <f t="shared" si="41"/>
        <v>6055798</v>
      </c>
      <c r="G136" s="174">
        <f t="shared" si="41"/>
        <v>0</v>
      </c>
      <c r="H136" s="174">
        <f t="shared" si="41"/>
        <v>0</v>
      </c>
      <c r="I136" s="174">
        <f t="shared" si="41"/>
        <v>0</v>
      </c>
      <c r="J136" s="174">
        <f t="shared" si="41"/>
        <v>0</v>
      </c>
      <c r="K136" s="174">
        <f t="shared" si="41"/>
        <v>0</v>
      </c>
      <c r="L136" s="174">
        <f t="shared" si="41"/>
        <v>0</v>
      </c>
      <c r="M136" s="174">
        <f t="shared" si="41"/>
        <v>0</v>
      </c>
      <c r="N136" s="174">
        <f>SUM(N137:N140)</f>
        <v>6055798</v>
      </c>
      <c r="O136" s="175">
        <f>SUM(O137:O140)</f>
        <v>6055798</v>
      </c>
      <c r="P136" s="176"/>
      <c r="Q136" s="176"/>
    </row>
    <row r="137" spans="1:17" ht="12.75" customHeight="1">
      <c r="A137" s="157" t="s">
        <v>433</v>
      </c>
      <c r="B137" s="148" t="s">
        <v>283</v>
      </c>
      <c r="C137" s="149"/>
      <c r="D137" s="149"/>
      <c r="E137" s="149"/>
      <c r="F137" s="149">
        <v>6055798</v>
      </c>
      <c r="G137" s="149"/>
      <c r="H137" s="149"/>
      <c r="I137" s="149"/>
      <c r="J137" s="149"/>
      <c r="K137" s="151"/>
      <c r="L137" s="151"/>
      <c r="M137" s="151"/>
      <c r="N137" s="151">
        <f t="shared" si="38"/>
        <v>6055798</v>
      </c>
      <c r="O137" s="152">
        <f t="shared" si="39"/>
        <v>6055798</v>
      </c>
      <c r="P137" s="147"/>
      <c r="Q137" s="147"/>
    </row>
    <row r="138" spans="1:17" ht="27.75" customHeight="1">
      <c r="A138" s="157" t="s">
        <v>434</v>
      </c>
      <c r="B138" s="148" t="s">
        <v>299</v>
      </c>
      <c r="C138" s="149"/>
      <c r="D138" s="149"/>
      <c r="E138" s="149"/>
      <c r="F138" s="149"/>
      <c r="G138" s="149"/>
      <c r="H138" s="149"/>
      <c r="I138" s="149"/>
      <c r="J138" s="149"/>
      <c r="K138" s="151"/>
      <c r="L138" s="151"/>
      <c r="M138" s="151"/>
      <c r="N138" s="151">
        <f t="shared" si="38"/>
        <v>0</v>
      </c>
      <c r="O138" s="152">
        <f t="shared" si="39"/>
        <v>0</v>
      </c>
      <c r="P138" s="147"/>
      <c r="Q138" s="147"/>
    </row>
    <row r="139" spans="1:17" ht="24.75" customHeight="1">
      <c r="A139" s="157" t="s">
        <v>435</v>
      </c>
      <c r="B139" s="148" t="s">
        <v>300</v>
      </c>
      <c r="C139" s="149"/>
      <c r="D139" s="149"/>
      <c r="E139" s="149"/>
      <c r="F139" s="149"/>
      <c r="G139" s="149"/>
      <c r="H139" s="149"/>
      <c r="I139" s="149"/>
      <c r="J139" s="149"/>
      <c r="K139" s="151"/>
      <c r="L139" s="151"/>
      <c r="M139" s="151"/>
      <c r="N139" s="151">
        <f t="shared" si="38"/>
        <v>0</v>
      </c>
      <c r="O139" s="152">
        <f t="shared" si="39"/>
        <v>0</v>
      </c>
      <c r="P139" s="147"/>
      <c r="Q139" s="147"/>
    </row>
    <row r="140" spans="1:17" ht="15">
      <c r="A140" s="153"/>
      <c r="B140" s="148"/>
      <c r="C140" s="149"/>
      <c r="D140" s="149"/>
      <c r="E140" s="149"/>
      <c r="F140" s="149"/>
      <c r="G140" s="149"/>
      <c r="H140" s="149"/>
      <c r="I140" s="149"/>
      <c r="J140" s="149"/>
      <c r="K140" s="151"/>
      <c r="L140" s="151"/>
      <c r="M140" s="151"/>
      <c r="N140" s="151">
        <f t="shared" si="38"/>
        <v>0</v>
      </c>
      <c r="O140" s="152">
        <f t="shared" si="39"/>
        <v>0</v>
      </c>
      <c r="P140" s="147"/>
      <c r="Q140" s="147"/>
    </row>
    <row r="141" spans="1:17" ht="19.5" customHeight="1">
      <c r="A141" s="172" t="s">
        <v>301</v>
      </c>
      <c r="B141" s="173" t="s">
        <v>302</v>
      </c>
      <c r="C141" s="174">
        <f>SUM(C142:C146)</f>
        <v>0</v>
      </c>
      <c r="D141" s="174">
        <f aca="true" t="shared" si="42" ref="D141:M141">SUM(D142:D146)</f>
        <v>0</v>
      </c>
      <c r="E141" s="174">
        <f t="shared" si="42"/>
        <v>0</v>
      </c>
      <c r="F141" s="174">
        <f t="shared" si="42"/>
        <v>44797250</v>
      </c>
      <c r="G141" s="174">
        <f t="shared" si="42"/>
        <v>15124337.98</v>
      </c>
      <c r="H141" s="174">
        <f t="shared" si="42"/>
        <v>0</v>
      </c>
      <c r="I141" s="174">
        <f t="shared" si="42"/>
        <v>0</v>
      </c>
      <c r="J141" s="174">
        <f t="shared" si="42"/>
        <v>0</v>
      </c>
      <c r="K141" s="174">
        <f t="shared" si="42"/>
        <v>0</v>
      </c>
      <c r="L141" s="174">
        <f t="shared" si="42"/>
        <v>0</v>
      </c>
      <c r="M141" s="174">
        <f t="shared" si="42"/>
        <v>0</v>
      </c>
      <c r="N141" s="174">
        <f>SUM(N142:N146)</f>
        <v>44797250</v>
      </c>
      <c r="O141" s="175">
        <f>SUM(O142:O146)</f>
        <v>59921587.980000004</v>
      </c>
      <c r="P141" s="183">
        <f>+'[1]ING-11'!K76-'[1]GAT-11'!F152</f>
        <v>0</v>
      </c>
      <c r="Q141" s="184" t="s">
        <v>259</v>
      </c>
    </row>
    <row r="142" spans="1:17" ht="49.5" customHeight="1">
      <c r="A142" s="153">
        <v>1</v>
      </c>
      <c r="B142" s="148" t="s">
        <v>303</v>
      </c>
      <c r="C142" s="149"/>
      <c r="D142" s="149"/>
      <c r="E142" s="149"/>
      <c r="F142" s="149">
        <v>22000000</v>
      </c>
      <c r="G142" s="149">
        <v>10124337.98</v>
      </c>
      <c r="H142" s="149"/>
      <c r="I142" s="149"/>
      <c r="J142" s="149"/>
      <c r="K142" s="151"/>
      <c r="L142" s="151"/>
      <c r="M142" s="151"/>
      <c r="N142" s="151">
        <f t="shared" si="38"/>
        <v>22000000</v>
      </c>
      <c r="O142" s="152">
        <f t="shared" si="39"/>
        <v>32124337.98</v>
      </c>
      <c r="P142" s="147"/>
      <c r="Q142" s="147"/>
    </row>
    <row r="143" spans="1:17" ht="27" customHeight="1">
      <c r="A143" s="153">
        <v>2</v>
      </c>
      <c r="B143" s="148" t="s">
        <v>304</v>
      </c>
      <c r="C143" s="149"/>
      <c r="D143" s="149"/>
      <c r="E143" s="149"/>
      <c r="F143" s="149">
        <v>5000000</v>
      </c>
      <c r="G143" s="149"/>
      <c r="H143" s="149"/>
      <c r="I143" s="149"/>
      <c r="J143" s="149"/>
      <c r="K143" s="151"/>
      <c r="L143" s="151"/>
      <c r="M143" s="151"/>
      <c r="N143" s="151">
        <f t="shared" si="38"/>
        <v>5000000</v>
      </c>
      <c r="O143" s="152">
        <f t="shared" si="39"/>
        <v>5000000</v>
      </c>
      <c r="P143" s="147"/>
      <c r="Q143" s="147"/>
    </row>
    <row r="144" spans="1:17" ht="12.75" customHeight="1">
      <c r="A144" s="153">
        <v>3</v>
      </c>
      <c r="B144" s="148" t="s">
        <v>305</v>
      </c>
      <c r="C144" s="149"/>
      <c r="D144" s="149"/>
      <c r="E144" s="149"/>
      <c r="F144" s="149">
        <v>5000000</v>
      </c>
      <c r="G144" s="149"/>
      <c r="H144" s="149"/>
      <c r="I144" s="149"/>
      <c r="J144" s="149"/>
      <c r="K144" s="151"/>
      <c r="L144" s="151"/>
      <c r="M144" s="151"/>
      <c r="N144" s="151">
        <f t="shared" si="38"/>
        <v>5000000</v>
      </c>
      <c r="O144" s="152">
        <f t="shared" si="39"/>
        <v>5000000</v>
      </c>
      <c r="P144" s="147"/>
      <c r="Q144" s="147"/>
    </row>
    <row r="145" spans="1:17" ht="25.5" customHeight="1">
      <c r="A145" s="153">
        <v>4</v>
      </c>
      <c r="B145" s="148" t="s">
        <v>306</v>
      </c>
      <c r="C145" s="149"/>
      <c r="D145" s="149"/>
      <c r="E145" s="149"/>
      <c r="F145" s="149">
        <v>5000000</v>
      </c>
      <c r="G145" s="149">
        <v>5000000</v>
      </c>
      <c r="H145" s="149"/>
      <c r="I145" s="149"/>
      <c r="J145" s="149"/>
      <c r="K145" s="151"/>
      <c r="L145" s="151"/>
      <c r="M145" s="151"/>
      <c r="N145" s="151">
        <f t="shared" si="38"/>
        <v>5000000</v>
      </c>
      <c r="O145" s="152">
        <f t="shared" si="39"/>
        <v>10000000</v>
      </c>
      <c r="P145" s="147"/>
      <c r="Q145" s="147"/>
    </row>
    <row r="146" spans="1:17" ht="28.5" customHeight="1">
      <c r="A146" s="153">
        <v>5</v>
      </c>
      <c r="B146" s="148" t="s">
        <v>307</v>
      </c>
      <c r="C146" s="149"/>
      <c r="D146" s="149"/>
      <c r="E146" s="149"/>
      <c r="F146" s="149">
        <v>7797250</v>
      </c>
      <c r="G146" s="149"/>
      <c r="H146" s="149"/>
      <c r="I146" s="149"/>
      <c r="J146" s="149"/>
      <c r="K146" s="151"/>
      <c r="L146" s="151"/>
      <c r="M146" s="151"/>
      <c r="N146" s="151">
        <f t="shared" si="38"/>
        <v>7797250</v>
      </c>
      <c r="O146" s="152">
        <f t="shared" si="39"/>
        <v>7797250</v>
      </c>
      <c r="P146" s="147"/>
      <c r="Q146" s="147"/>
    </row>
    <row r="147" spans="1:17" ht="17.25" customHeight="1">
      <c r="A147" s="172" t="s">
        <v>308</v>
      </c>
      <c r="B147" s="173" t="s">
        <v>309</v>
      </c>
      <c r="C147" s="174">
        <f>SUM(C148:C151)</f>
        <v>0</v>
      </c>
      <c r="D147" s="174">
        <f aca="true" t="shared" si="43" ref="D147:M147">SUM(D148:D151)</f>
        <v>0</v>
      </c>
      <c r="E147" s="174">
        <f t="shared" si="43"/>
        <v>0</v>
      </c>
      <c r="F147" s="174">
        <f t="shared" si="43"/>
        <v>33597937</v>
      </c>
      <c r="G147" s="174">
        <f t="shared" si="43"/>
        <v>20000000</v>
      </c>
      <c r="H147" s="174">
        <f t="shared" si="43"/>
        <v>0</v>
      </c>
      <c r="I147" s="174">
        <f t="shared" si="43"/>
        <v>0</v>
      </c>
      <c r="J147" s="174">
        <f t="shared" si="43"/>
        <v>15000000</v>
      </c>
      <c r="K147" s="174">
        <f t="shared" si="43"/>
        <v>0</v>
      </c>
      <c r="L147" s="174">
        <f t="shared" si="43"/>
        <v>0</v>
      </c>
      <c r="M147" s="174">
        <f t="shared" si="43"/>
        <v>0</v>
      </c>
      <c r="N147" s="174">
        <f>SUM(N148:N151)</f>
        <v>48597937</v>
      </c>
      <c r="O147" s="175">
        <f>SUM(O148:O151)</f>
        <v>68597937</v>
      </c>
      <c r="P147" s="183">
        <f>+'[1]ING-11'!K77-'[1]GAT-11'!F159</f>
        <v>0</v>
      </c>
      <c r="Q147" s="184" t="s">
        <v>259</v>
      </c>
    </row>
    <row r="148" spans="1:17" ht="24" customHeight="1">
      <c r="A148" s="153">
        <v>1</v>
      </c>
      <c r="B148" s="148" t="s">
        <v>310</v>
      </c>
      <c r="C148" s="149"/>
      <c r="D148" s="149"/>
      <c r="E148" s="149"/>
      <c r="F148" s="149">
        <v>10000000</v>
      </c>
      <c r="G148" s="149"/>
      <c r="H148" s="149"/>
      <c r="I148" s="149"/>
      <c r="J148" s="149"/>
      <c r="K148" s="151"/>
      <c r="L148" s="151"/>
      <c r="M148" s="151"/>
      <c r="N148" s="151">
        <f t="shared" si="38"/>
        <v>10000000</v>
      </c>
      <c r="O148" s="152">
        <f t="shared" si="39"/>
        <v>10000000</v>
      </c>
      <c r="P148" s="147"/>
      <c r="Q148" s="147"/>
    </row>
    <row r="149" spans="1:17" ht="15.75" customHeight="1">
      <c r="A149" s="153">
        <v>2</v>
      </c>
      <c r="B149" s="148" t="s">
        <v>311</v>
      </c>
      <c r="C149" s="149"/>
      <c r="D149" s="149"/>
      <c r="E149" s="149"/>
      <c r="F149" s="149">
        <v>15000000</v>
      </c>
      <c r="G149" s="149">
        <v>20000000</v>
      </c>
      <c r="H149" s="149"/>
      <c r="I149" s="149"/>
      <c r="J149" s="149">
        <v>7000000</v>
      </c>
      <c r="K149" s="151"/>
      <c r="L149" s="151"/>
      <c r="M149" s="151"/>
      <c r="N149" s="151">
        <f t="shared" si="38"/>
        <v>22000000</v>
      </c>
      <c r="O149" s="152">
        <f t="shared" si="39"/>
        <v>42000000</v>
      </c>
      <c r="P149" s="147"/>
      <c r="Q149" s="147"/>
    </row>
    <row r="150" spans="1:17" ht="21.75" customHeight="1">
      <c r="A150" s="153">
        <v>3</v>
      </c>
      <c r="B150" s="148" t="s">
        <v>312</v>
      </c>
      <c r="C150" s="149"/>
      <c r="D150" s="149"/>
      <c r="E150" s="149"/>
      <c r="F150" s="149"/>
      <c r="G150" s="149"/>
      <c r="H150" s="149"/>
      <c r="I150" s="149"/>
      <c r="J150" s="149"/>
      <c r="K150" s="151"/>
      <c r="L150" s="151"/>
      <c r="M150" s="151"/>
      <c r="N150" s="151">
        <f t="shared" si="38"/>
        <v>0</v>
      </c>
      <c r="O150" s="152">
        <f t="shared" si="39"/>
        <v>0</v>
      </c>
      <c r="P150" s="147"/>
      <c r="Q150" s="147"/>
    </row>
    <row r="151" spans="1:17" ht="34.5" customHeight="1">
      <c r="A151" s="153">
        <v>4</v>
      </c>
      <c r="B151" s="158" t="s">
        <v>313</v>
      </c>
      <c r="C151" s="149"/>
      <c r="D151" s="149"/>
      <c r="E151" s="149"/>
      <c r="F151" s="149">
        <v>8597937</v>
      </c>
      <c r="G151" s="149"/>
      <c r="H151" s="149"/>
      <c r="I151" s="149"/>
      <c r="J151" s="149">
        <v>8000000</v>
      </c>
      <c r="K151" s="151"/>
      <c r="L151" s="151"/>
      <c r="M151" s="151"/>
      <c r="N151" s="151">
        <f t="shared" si="38"/>
        <v>16597937</v>
      </c>
      <c r="O151" s="152">
        <f t="shared" si="39"/>
        <v>16597937</v>
      </c>
      <c r="P151" s="147"/>
      <c r="Q151" s="147"/>
    </row>
    <row r="152" spans="1:17" ht="30" customHeight="1">
      <c r="A152" s="172" t="s">
        <v>314</v>
      </c>
      <c r="B152" s="173" t="s">
        <v>315</v>
      </c>
      <c r="C152" s="174">
        <f>+C153+C157+C163+C172+C179+C184+C189+C196+C205+C211+C216+C227</f>
        <v>0</v>
      </c>
      <c r="D152" s="174">
        <f aca="true" t="shared" si="44" ref="D152:M152">+D153+D157+D163+D172+D179+D184+D189+D196+D205+D211+D216+D227</f>
        <v>0</v>
      </c>
      <c r="E152" s="174">
        <f t="shared" si="44"/>
        <v>0</v>
      </c>
      <c r="F152" s="174">
        <f t="shared" si="44"/>
        <v>621193104</v>
      </c>
      <c r="G152" s="174">
        <f t="shared" si="44"/>
        <v>139000000</v>
      </c>
      <c r="H152" s="174">
        <f t="shared" si="44"/>
        <v>0</v>
      </c>
      <c r="I152" s="174">
        <f t="shared" si="44"/>
        <v>0</v>
      </c>
      <c r="J152" s="174">
        <f t="shared" si="44"/>
        <v>2000000</v>
      </c>
      <c r="K152" s="174">
        <f t="shared" si="44"/>
        <v>0</v>
      </c>
      <c r="L152" s="174">
        <f t="shared" si="44"/>
        <v>0</v>
      </c>
      <c r="M152" s="174">
        <f t="shared" si="44"/>
        <v>40000000</v>
      </c>
      <c r="N152" s="174">
        <f>+N153+N157+N163+N172+N179+N184+N189+N196+N205+N211+N216+N227</f>
        <v>914208686</v>
      </c>
      <c r="O152" s="175">
        <f>+O153+O157+O163+O172+O179+O184+O189+O196+O205+O211+O216+O227</f>
        <v>802193104</v>
      </c>
      <c r="P152" s="183">
        <f>+'[1]ING-11'!K78-'[1]GAT-11'!F166</f>
        <v>-98734400</v>
      </c>
      <c r="Q152" s="184" t="s">
        <v>259</v>
      </c>
    </row>
    <row r="153" spans="1:17" ht="28.5" customHeight="1">
      <c r="A153" s="172" t="s">
        <v>316</v>
      </c>
      <c r="B153" s="173" t="s">
        <v>483</v>
      </c>
      <c r="C153" s="174">
        <f>SUM(C154:C156)</f>
        <v>0</v>
      </c>
      <c r="D153" s="174">
        <f aca="true" t="shared" si="45" ref="D153:M153">SUM(D154:D156)</f>
        <v>0</v>
      </c>
      <c r="E153" s="174">
        <f t="shared" si="45"/>
        <v>0</v>
      </c>
      <c r="F153" s="174">
        <f t="shared" si="45"/>
        <v>87397848</v>
      </c>
      <c r="G153" s="174">
        <f t="shared" si="45"/>
        <v>25000000</v>
      </c>
      <c r="H153" s="174">
        <f t="shared" si="45"/>
        <v>0</v>
      </c>
      <c r="I153" s="174">
        <f t="shared" si="45"/>
        <v>0</v>
      </c>
      <c r="J153" s="174">
        <f t="shared" si="45"/>
        <v>0</v>
      </c>
      <c r="K153" s="174">
        <f t="shared" si="45"/>
        <v>0</v>
      </c>
      <c r="L153" s="174">
        <f t="shared" si="45"/>
        <v>0</v>
      </c>
      <c r="M153" s="174">
        <f t="shared" si="45"/>
        <v>0</v>
      </c>
      <c r="N153" s="174">
        <f>SUM(N154:N156)</f>
        <v>87397848</v>
      </c>
      <c r="O153" s="175">
        <f>SUM(O154:O156)</f>
        <v>112397848</v>
      </c>
      <c r="P153" s="176"/>
      <c r="Q153" s="176"/>
    </row>
    <row r="154" spans="1:17" ht="26.25" customHeight="1">
      <c r="A154" s="157" t="s">
        <v>433</v>
      </c>
      <c r="B154" s="148" t="s">
        <v>467</v>
      </c>
      <c r="C154" s="149"/>
      <c r="D154" s="149"/>
      <c r="E154" s="149"/>
      <c r="F154" s="149">
        <v>17397848</v>
      </c>
      <c r="G154" s="149">
        <v>25000000</v>
      </c>
      <c r="H154" s="149"/>
      <c r="I154" s="149"/>
      <c r="J154" s="149"/>
      <c r="K154" s="151"/>
      <c r="L154" s="151"/>
      <c r="M154" s="151"/>
      <c r="N154" s="151">
        <f>F154+I154+J154+M154</f>
        <v>17397848</v>
      </c>
      <c r="O154" s="152">
        <f aca="true" t="shared" si="46" ref="O154:O217">+C154+D154+F154+G154+H154+I154+J154+K154+L154+M154</f>
        <v>42397848</v>
      </c>
      <c r="P154" s="147"/>
      <c r="Q154" s="147"/>
    </row>
    <row r="155" spans="1:17" ht="26.25" customHeight="1">
      <c r="A155" s="157" t="s">
        <v>434</v>
      </c>
      <c r="B155" s="148" t="s">
        <v>317</v>
      </c>
      <c r="C155" s="149"/>
      <c r="D155" s="149"/>
      <c r="E155" s="149"/>
      <c r="F155" s="149">
        <v>70000000</v>
      </c>
      <c r="G155" s="149"/>
      <c r="H155" s="149"/>
      <c r="I155" s="149"/>
      <c r="J155" s="149"/>
      <c r="K155" s="151"/>
      <c r="L155" s="151"/>
      <c r="M155" s="151"/>
      <c r="N155" s="151">
        <f>F155+I155+J155+M155</f>
        <v>70000000</v>
      </c>
      <c r="O155" s="152">
        <f t="shared" si="46"/>
        <v>70000000</v>
      </c>
      <c r="P155" s="147"/>
      <c r="Q155" s="147"/>
    </row>
    <row r="156" spans="1:17" ht="12.75" customHeight="1">
      <c r="A156" s="153"/>
      <c r="B156" s="148"/>
      <c r="C156" s="149"/>
      <c r="D156" s="149"/>
      <c r="E156" s="149"/>
      <c r="F156" s="149"/>
      <c r="G156" s="149"/>
      <c r="H156" s="149"/>
      <c r="I156" s="149"/>
      <c r="J156" s="149"/>
      <c r="K156" s="151"/>
      <c r="L156" s="151"/>
      <c r="M156" s="151"/>
      <c r="N156" s="151">
        <f>F156+I156+J156+M156</f>
        <v>0</v>
      </c>
      <c r="O156" s="152">
        <f t="shared" si="46"/>
        <v>0</v>
      </c>
      <c r="P156" s="147"/>
      <c r="Q156" s="147"/>
    </row>
    <row r="157" spans="1:17" ht="21.75" customHeight="1">
      <c r="A157" s="172" t="s">
        <v>318</v>
      </c>
      <c r="B157" s="173" t="s">
        <v>319</v>
      </c>
      <c r="C157" s="174">
        <f>SUM(C158:C162)</f>
        <v>0</v>
      </c>
      <c r="D157" s="174">
        <f aca="true" t="shared" si="47" ref="D157:M157">SUM(D158:D162)</f>
        <v>0</v>
      </c>
      <c r="E157" s="174">
        <f t="shared" si="47"/>
        <v>0</v>
      </c>
      <c r="F157" s="174">
        <f t="shared" si="47"/>
        <v>37000000</v>
      </c>
      <c r="G157" s="174">
        <f t="shared" si="47"/>
        <v>4000000</v>
      </c>
      <c r="H157" s="174">
        <f t="shared" si="47"/>
        <v>0</v>
      </c>
      <c r="I157" s="174">
        <f t="shared" si="47"/>
        <v>0</v>
      </c>
      <c r="J157" s="174">
        <f t="shared" si="47"/>
        <v>0</v>
      </c>
      <c r="K157" s="174">
        <f t="shared" si="47"/>
        <v>0</v>
      </c>
      <c r="L157" s="174">
        <f t="shared" si="47"/>
        <v>0</v>
      </c>
      <c r="M157" s="174">
        <f t="shared" si="47"/>
        <v>0</v>
      </c>
      <c r="N157" s="174">
        <f>SUM(N158:N162)</f>
        <v>37000000</v>
      </c>
      <c r="O157" s="175">
        <f>SUM(O158:O162)</f>
        <v>41000000</v>
      </c>
      <c r="P157" s="176"/>
      <c r="Q157" s="176"/>
    </row>
    <row r="158" spans="1:17" ht="27.75" customHeight="1">
      <c r="A158" s="157" t="s">
        <v>433</v>
      </c>
      <c r="B158" s="148" t="s">
        <v>320</v>
      </c>
      <c r="C158" s="149"/>
      <c r="D158" s="149"/>
      <c r="E158" s="149"/>
      <c r="F158" s="149">
        <v>5000000</v>
      </c>
      <c r="G158" s="149">
        <v>4000000</v>
      </c>
      <c r="H158" s="149"/>
      <c r="I158" s="149"/>
      <c r="J158" s="149"/>
      <c r="K158" s="151"/>
      <c r="L158" s="151"/>
      <c r="M158" s="151"/>
      <c r="N158" s="151">
        <f>F158+I158+J158+M158</f>
        <v>5000000</v>
      </c>
      <c r="O158" s="152">
        <f t="shared" si="46"/>
        <v>9000000</v>
      </c>
      <c r="P158" s="147"/>
      <c r="Q158" s="147"/>
    </row>
    <row r="159" spans="1:17" ht="24" customHeight="1">
      <c r="A159" s="157" t="s">
        <v>434</v>
      </c>
      <c r="B159" s="148" t="s">
        <v>321</v>
      </c>
      <c r="C159" s="149"/>
      <c r="D159" s="149"/>
      <c r="E159" s="149"/>
      <c r="F159" s="149">
        <v>10000000</v>
      </c>
      <c r="G159" s="149"/>
      <c r="H159" s="149"/>
      <c r="I159" s="149"/>
      <c r="J159" s="149"/>
      <c r="K159" s="151"/>
      <c r="L159" s="151"/>
      <c r="M159" s="151"/>
      <c r="N159" s="151">
        <f>F159+I159+J159+M159</f>
        <v>10000000</v>
      </c>
      <c r="O159" s="152">
        <f t="shared" si="46"/>
        <v>10000000</v>
      </c>
      <c r="P159" s="147"/>
      <c r="Q159" s="147"/>
    </row>
    <row r="160" spans="1:17" ht="24" customHeight="1">
      <c r="A160" s="157" t="s">
        <v>435</v>
      </c>
      <c r="B160" s="148" t="s">
        <v>468</v>
      </c>
      <c r="C160" s="149"/>
      <c r="D160" s="149"/>
      <c r="E160" s="149"/>
      <c r="F160" s="149">
        <v>10000000</v>
      </c>
      <c r="G160" s="149"/>
      <c r="H160" s="149"/>
      <c r="I160" s="149"/>
      <c r="J160" s="149"/>
      <c r="K160" s="151"/>
      <c r="L160" s="151"/>
      <c r="M160" s="151"/>
      <c r="N160" s="151">
        <f>F160+I160+J160+M160</f>
        <v>10000000</v>
      </c>
      <c r="O160" s="152">
        <f t="shared" si="46"/>
        <v>10000000</v>
      </c>
      <c r="P160" s="147"/>
      <c r="Q160" s="147"/>
    </row>
    <row r="161" spans="1:17" ht="24.75" customHeight="1">
      <c r="A161" s="157" t="s">
        <v>436</v>
      </c>
      <c r="B161" s="148" t="s">
        <v>322</v>
      </c>
      <c r="C161" s="149"/>
      <c r="D161" s="149"/>
      <c r="E161" s="149"/>
      <c r="F161" s="149">
        <v>10000000</v>
      </c>
      <c r="G161" s="149"/>
      <c r="H161" s="149"/>
      <c r="I161" s="149"/>
      <c r="J161" s="149"/>
      <c r="K161" s="151"/>
      <c r="L161" s="151"/>
      <c r="M161" s="151"/>
      <c r="N161" s="151">
        <f>F161+I161+J161+M161</f>
        <v>10000000</v>
      </c>
      <c r="O161" s="152">
        <f t="shared" si="46"/>
        <v>10000000</v>
      </c>
      <c r="P161" s="147"/>
      <c r="Q161" s="147"/>
    </row>
    <row r="162" spans="1:17" ht="24.75" customHeight="1">
      <c r="A162" s="157" t="s">
        <v>437</v>
      </c>
      <c r="B162" s="148" t="s">
        <v>323</v>
      </c>
      <c r="C162" s="149"/>
      <c r="D162" s="149"/>
      <c r="E162" s="149"/>
      <c r="F162" s="149">
        <v>2000000</v>
      </c>
      <c r="G162" s="149"/>
      <c r="H162" s="149"/>
      <c r="I162" s="149"/>
      <c r="J162" s="149"/>
      <c r="K162" s="151"/>
      <c r="L162" s="151"/>
      <c r="M162" s="151"/>
      <c r="N162" s="151">
        <f>F162+I162+J162+M162</f>
        <v>2000000</v>
      </c>
      <c r="O162" s="152">
        <f t="shared" si="46"/>
        <v>2000000</v>
      </c>
      <c r="P162" s="147"/>
      <c r="Q162" s="147"/>
    </row>
    <row r="163" spans="1:17" ht="18.75" customHeight="1">
      <c r="A163" s="172" t="s">
        <v>324</v>
      </c>
      <c r="B163" s="173" t="s">
        <v>325</v>
      </c>
      <c r="C163" s="174">
        <f>SUM(C164:C171)</f>
        <v>0</v>
      </c>
      <c r="D163" s="174">
        <f aca="true" t="shared" si="48" ref="D163:M163">SUM(D164:D171)</f>
        <v>0</v>
      </c>
      <c r="E163" s="174">
        <f t="shared" si="48"/>
        <v>0</v>
      </c>
      <c r="F163" s="174">
        <f t="shared" si="48"/>
        <v>63000000</v>
      </c>
      <c r="G163" s="174">
        <f t="shared" si="48"/>
        <v>0</v>
      </c>
      <c r="H163" s="174">
        <f t="shared" si="48"/>
        <v>0</v>
      </c>
      <c r="I163" s="174">
        <f t="shared" si="48"/>
        <v>0</v>
      </c>
      <c r="J163" s="174">
        <f t="shared" si="48"/>
        <v>0</v>
      </c>
      <c r="K163" s="174">
        <f t="shared" si="48"/>
        <v>0</v>
      </c>
      <c r="L163" s="174">
        <f t="shared" si="48"/>
        <v>0</v>
      </c>
      <c r="M163" s="174">
        <f t="shared" si="48"/>
        <v>0</v>
      </c>
      <c r="N163" s="174">
        <f>SUM(N164:N171)</f>
        <v>63000000</v>
      </c>
      <c r="O163" s="175">
        <f>SUM(O164:O171)</f>
        <v>63000000</v>
      </c>
      <c r="P163" s="176"/>
      <c r="Q163" s="176"/>
    </row>
    <row r="164" spans="1:17" ht="27.75" customHeight="1">
      <c r="A164" s="157" t="s">
        <v>433</v>
      </c>
      <c r="B164" s="148" t="s">
        <v>326</v>
      </c>
      <c r="C164" s="149"/>
      <c r="D164" s="149"/>
      <c r="E164" s="149"/>
      <c r="F164" s="149">
        <v>1000000</v>
      </c>
      <c r="G164" s="149"/>
      <c r="H164" s="149"/>
      <c r="I164" s="149"/>
      <c r="J164" s="149"/>
      <c r="K164" s="151"/>
      <c r="L164" s="151"/>
      <c r="M164" s="151"/>
      <c r="N164" s="151">
        <f aca="true" t="shared" si="49" ref="N164:N171">F164+I164+J164+M164</f>
        <v>1000000</v>
      </c>
      <c r="O164" s="152">
        <f t="shared" si="46"/>
        <v>1000000</v>
      </c>
      <c r="P164" s="147"/>
      <c r="Q164" s="147"/>
    </row>
    <row r="165" spans="1:17" ht="39" customHeight="1">
      <c r="A165" s="157" t="s">
        <v>434</v>
      </c>
      <c r="B165" s="148" t="s">
        <v>327</v>
      </c>
      <c r="C165" s="149"/>
      <c r="D165" s="149"/>
      <c r="E165" s="149"/>
      <c r="F165" s="149">
        <v>2000000</v>
      </c>
      <c r="G165" s="149"/>
      <c r="H165" s="149"/>
      <c r="I165" s="149"/>
      <c r="J165" s="149"/>
      <c r="K165" s="151"/>
      <c r="L165" s="151"/>
      <c r="M165" s="151"/>
      <c r="N165" s="151">
        <f t="shared" si="49"/>
        <v>2000000</v>
      </c>
      <c r="O165" s="152">
        <f t="shared" si="46"/>
        <v>2000000</v>
      </c>
      <c r="P165" s="147"/>
      <c r="Q165" s="147"/>
    </row>
    <row r="166" spans="1:17" ht="27" customHeight="1">
      <c r="A166" s="157" t="s">
        <v>435</v>
      </c>
      <c r="B166" s="148" t="s">
        <v>328</v>
      </c>
      <c r="C166" s="149"/>
      <c r="D166" s="149"/>
      <c r="E166" s="149"/>
      <c r="F166" s="149">
        <v>0</v>
      </c>
      <c r="G166" s="149"/>
      <c r="H166" s="149"/>
      <c r="I166" s="149"/>
      <c r="J166" s="149"/>
      <c r="K166" s="151"/>
      <c r="L166" s="151"/>
      <c r="M166" s="151"/>
      <c r="N166" s="151">
        <f t="shared" si="49"/>
        <v>0</v>
      </c>
      <c r="O166" s="152">
        <f t="shared" si="46"/>
        <v>0</v>
      </c>
      <c r="P166" s="147"/>
      <c r="Q166" s="147"/>
    </row>
    <row r="167" spans="1:17" ht="29.25" customHeight="1">
      <c r="A167" s="157" t="s">
        <v>436</v>
      </c>
      <c r="B167" s="148" t="s">
        <v>329</v>
      </c>
      <c r="C167" s="149"/>
      <c r="D167" s="149"/>
      <c r="E167" s="149"/>
      <c r="F167" s="149">
        <v>45000000</v>
      </c>
      <c r="G167" s="149"/>
      <c r="H167" s="149"/>
      <c r="I167" s="149"/>
      <c r="J167" s="149"/>
      <c r="K167" s="151"/>
      <c r="L167" s="151"/>
      <c r="M167" s="151"/>
      <c r="N167" s="151">
        <f t="shared" si="49"/>
        <v>45000000</v>
      </c>
      <c r="O167" s="152">
        <f t="shared" si="46"/>
        <v>45000000</v>
      </c>
      <c r="P167" s="147"/>
      <c r="Q167" s="147"/>
    </row>
    <row r="168" spans="1:17" ht="29.25" customHeight="1">
      <c r="A168" s="157" t="s">
        <v>437</v>
      </c>
      <c r="B168" s="148" t="s">
        <v>330</v>
      </c>
      <c r="C168" s="149"/>
      <c r="D168" s="149"/>
      <c r="E168" s="149"/>
      <c r="F168" s="149">
        <v>2000000</v>
      </c>
      <c r="G168" s="149"/>
      <c r="H168" s="149"/>
      <c r="I168" s="149"/>
      <c r="J168" s="149"/>
      <c r="K168" s="151"/>
      <c r="L168" s="151"/>
      <c r="M168" s="151"/>
      <c r="N168" s="151">
        <f t="shared" si="49"/>
        <v>2000000</v>
      </c>
      <c r="O168" s="152">
        <f t="shared" si="46"/>
        <v>2000000</v>
      </c>
      <c r="P168" s="147"/>
      <c r="Q168" s="147"/>
    </row>
    <row r="169" spans="1:17" ht="38.25" customHeight="1">
      <c r="A169" s="157" t="s">
        <v>438</v>
      </c>
      <c r="B169" s="148" t="s">
        <v>331</v>
      </c>
      <c r="C169" s="149"/>
      <c r="D169" s="149"/>
      <c r="E169" s="149"/>
      <c r="F169" s="149">
        <v>2000000</v>
      </c>
      <c r="G169" s="149"/>
      <c r="H169" s="149"/>
      <c r="I169" s="149"/>
      <c r="J169" s="149"/>
      <c r="K169" s="151"/>
      <c r="L169" s="151"/>
      <c r="M169" s="151"/>
      <c r="N169" s="151">
        <f t="shared" si="49"/>
        <v>2000000</v>
      </c>
      <c r="O169" s="152">
        <f t="shared" si="46"/>
        <v>2000000</v>
      </c>
      <c r="P169" s="147"/>
      <c r="Q169" s="147"/>
    </row>
    <row r="170" spans="1:17" ht="33.75" customHeight="1">
      <c r="A170" s="157" t="s">
        <v>439</v>
      </c>
      <c r="B170" s="148" t="s">
        <v>513</v>
      </c>
      <c r="C170" s="149"/>
      <c r="D170" s="149"/>
      <c r="E170" s="149"/>
      <c r="F170" s="149">
        <v>10000000</v>
      </c>
      <c r="G170" s="149"/>
      <c r="H170" s="149"/>
      <c r="I170" s="149"/>
      <c r="J170" s="149"/>
      <c r="K170" s="151"/>
      <c r="L170" s="151"/>
      <c r="M170" s="151"/>
      <c r="N170" s="151">
        <f t="shared" si="49"/>
        <v>10000000</v>
      </c>
      <c r="O170" s="152">
        <f t="shared" si="46"/>
        <v>10000000</v>
      </c>
      <c r="P170" s="147"/>
      <c r="Q170" s="147"/>
    </row>
    <row r="171" spans="1:17" ht="28.5" customHeight="1">
      <c r="A171" s="153">
        <v>8</v>
      </c>
      <c r="B171" s="148" t="s">
        <v>332</v>
      </c>
      <c r="C171" s="149"/>
      <c r="D171" s="149"/>
      <c r="E171" s="149"/>
      <c r="F171" s="149">
        <v>1000000</v>
      </c>
      <c r="G171" s="149"/>
      <c r="H171" s="149"/>
      <c r="I171" s="149"/>
      <c r="J171" s="149"/>
      <c r="K171" s="151"/>
      <c r="L171" s="151"/>
      <c r="M171" s="151"/>
      <c r="N171" s="151">
        <f t="shared" si="49"/>
        <v>1000000</v>
      </c>
      <c r="O171" s="152">
        <f t="shared" si="46"/>
        <v>1000000</v>
      </c>
      <c r="P171" s="147"/>
      <c r="Q171" s="147"/>
    </row>
    <row r="172" spans="1:17" ht="22.5" customHeight="1">
      <c r="A172" s="172" t="s">
        <v>333</v>
      </c>
      <c r="B172" s="173" t="s">
        <v>334</v>
      </c>
      <c r="C172" s="174">
        <f>SUM(C173:C178)</f>
        <v>0</v>
      </c>
      <c r="D172" s="174">
        <f aca="true" t="shared" si="50" ref="D172:M172">SUM(D173:D178)</f>
        <v>0</v>
      </c>
      <c r="E172" s="174">
        <f t="shared" si="50"/>
        <v>0</v>
      </c>
      <c r="F172" s="174">
        <f t="shared" si="50"/>
        <v>135000000</v>
      </c>
      <c r="G172" s="174">
        <f t="shared" si="50"/>
        <v>50000000</v>
      </c>
      <c r="H172" s="174">
        <f t="shared" si="50"/>
        <v>0</v>
      </c>
      <c r="I172" s="174">
        <f t="shared" si="50"/>
        <v>0</v>
      </c>
      <c r="J172" s="174">
        <f t="shared" si="50"/>
        <v>0</v>
      </c>
      <c r="K172" s="174">
        <f t="shared" si="50"/>
        <v>0</v>
      </c>
      <c r="L172" s="174">
        <f t="shared" si="50"/>
        <v>0</v>
      </c>
      <c r="M172" s="174">
        <f t="shared" si="50"/>
        <v>0</v>
      </c>
      <c r="N172" s="174">
        <f>SUM(N173:N178)</f>
        <v>135000000</v>
      </c>
      <c r="O172" s="175">
        <f>SUM(O173:O178)</f>
        <v>185000000</v>
      </c>
      <c r="P172" s="176"/>
      <c r="Q172" s="176"/>
    </row>
    <row r="173" spans="1:17" ht="16.5" customHeight="1">
      <c r="A173" s="157" t="s">
        <v>433</v>
      </c>
      <c r="B173" s="148" t="s">
        <v>335</v>
      </c>
      <c r="C173" s="149"/>
      <c r="D173" s="149"/>
      <c r="E173" s="149"/>
      <c r="F173" s="149">
        <v>50000000</v>
      </c>
      <c r="G173" s="149">
        <v>50000000</v>
      </c>
      <c r="H173" s="149"/>
      <c r="I173" s="149"/>
      <c r="J173" s="149"/>
      <c r="K173" s="151"/>
      <c r="L173" s="151"/>
      <c r="M173" s="151"/>
      <c r="N173" s="151">
        <f aca="true" t="shared" si="51" ref="N173:N178">F173+I173+J173+M173</f>
        <v>50000000</v>
      </c>
      <c r="O173" s="152">
        <f t="shared" si="46"/>
        <v>100000000</v>
      </c>
      <c r="P173" s="147"/>
      <c r="Q173" s="147"/>
    </row>
    <row r="174" spans="1:17" ht="26.25" customHeight="1">
      <c r="A174" s="157" t="s">
        <v>434</v>
      </c>
      <c r="B174" s="148" t="s">
        <v>336</v>
      </c>
      <c r="C174" s="149"/>
      <c r="D174" s="149"/>
      <c r="E174" s="149"/>
      <c r="F174" s="149">
        <v>50000000</v>
      </c>
      <c r="G174" s="149"/>
      <c r="H174" s="149"/>
      <c r="I174" s="149"/>
      <c r="J174" s="149"/>
      <c r="K174" s="151"/>
      <c r="L174" s="151"/>
      <c r="M174" s="151"/>
      <c r="N174" s="151">
        <f t="shared" si="51"/>
        <v>50000000</v>
      </c>
      <c r="O174" s="152">
        <f t="shared" si="46"/>
        <v>50000000</v>
      </c>
      <c r="P174" s="147"/>
      <c r="Q174" s="147"/>
    </row>
    <row r="175" spans="1:17" ht="24.75" customHeight="1">
      <c r="A175" s="157" t="s">
        <v>435</v>
      </c>
      <c r="B175" s="148" t="s">
        <v>337</v>
      </c>
      <c r="C175" s="149"/>
      <c r="D175" s="149"/>
      <c r="E175" s="149"/>
      <c r="F175" s="149">
        <v>10000000</v>
      </c>
      <c r="G175" s="149"/>
      <c r="H175" s="149"/>
      <c r="I175" s="149"/>
      <c r="J175" s="149"/>
      <c r="K175" s="151"/>
      <c r="L175" s="151"/>
      <c r="M175" s="151"/>
      <c r="N175" s="151">
        <f t="shared" si="51"/>
        <v>10000000</v>
      </c>
      <c r="O175" s="152">
        <f t="shared" si="46"/>
        <v>10000000</v>
      </c>
      <c r="P175" s="147"/>
      <c r="Q175" s="147"/>
    </row>
    <row r="176" spans="1:17" ht="25.5" customHeight="1">
      <c r="A176" s="157" t="s">
        <v>436</v>
      </c>
      <c r="B176" s="148" t="s">
        <v>338</v>
      </c>
      <c r="C176" s="149"/>
      <c r="D176" s="149"/>
      <c r="E176" s="149"/>
      <c r="F176" s="149">
        <v>20000000</v>
      </c>
      <c r="G176" s="149"/>
      <c r="H176" s="149"/>
      <c r="I176" s="149"/>
      <c r="J176" s="149"/>
      <c r="K176" s="151"/>
      <c r="L176" s="151"/>
      <c r="M176" s="151"/>
      <c r="N176" s="151">
        <f t="shared" si="51"/>
        <v>20000000</v>
      </c>
      <c r="O176" s="152">
        <f t="shared" si="46"/>
        <v>20000000</v>
      </c>
      <c r="P176" s="147"/>
      <c r="Q176" s="147"/>
    </row>
    <row r="177" spans="1:17" ht="14.25" customHeight="1">
      <c r="A177" s="157" t="s">
        <v>437</v>
      </c>
      <c r="B177" s="148" t="s">
        <v>339</v>
      </c>
      <c r="C177" s="149"/>
      <c r="D177" s="149"/>
      <c r="E177" s="149"/>
      <c r="F177" s="149">
        <v>5000000</v>
      </c>
      <c r="G177" s="149"/>
      <c r="H177" s="149"/>
      <c r="I177" s="149"/>
      <c r="J177" s="149"/>
      <c r="K177" s="151"/>
      <c r="L177" s="151"/>
      <c r="M177" s="151"/>
      <c r="N177" s="151">
        <f t="shared" si="51"/>
        <v>5000000</v>
      </c>
      <c r="O177" s="152">
        <f t="shared" si="46"/>
        <v>5000000</v>
      </c>
      <c r="P177" s="147"/>
      <c r="Q177" s="147"/>
    </row>
    <row r="178" spans="1:17" ht="16.5" customHeight="1">
      <c r="A178" s="153">
        <v>8</v>
      </c>
      <c r="B178" s="148" t="s">
        <v>340</v>
      </c>
      <c r="C178" s="149"/>
      <c r="D178" s="149"/>
      <c r="E178" s="149"/>
      <c r="F178" s="149">
        <v>0</v>
      </c>
      <c r="G178" s="149"/>
      <c r="H178" s="149"/>
      <c r="I178" s="149"/>
      <c r="J178" s="149"/>
      <c r="K178" s="151"/>
      <c r="L178" s="151"/>
      <c r="M178" s="151"/>
      <c r="N178" s="151">
        <f t="shared" si="51"/>
        <v>0</v>
      </c>
      <c r="O178" s="152">
        <f t="shared" si="46"/>
        <v>0</v>
      </c>
      <c r="P178" s="147"/>
      <c r="Q178" s="147"/>
    </row>
    <row r="179" spans="1:17" ht="19.5" customHeight="1">
      <c r="A179" s="172" t="s">
        <v>341</v>
      </c>
      <c r="B179" s="173" t="s">
        <v>342</v>
      </c>
      <c r="C179" s="174">
        <f>SUM(C180:C183)</f>
        <v>0</v>
      </c>
      <c r="D179" s="174">
        <f aca="true" t="shared" si="52" ref="D179:M179">SUM(D180:D183)</f>
        <v>0</v>
      </c>
      <c r="E179" s="174">
        <f t="shared" si="52"/>
        <v>0</v>
      </c>
      <c r="F179" s="174">
        <f t="shared" si="52"/>
        <v>13000000</v>
      </c>
      <c r="G179" s="174">
        <f t="shared" si="52"/>
        <v>0</v>
      </c>
      <c r="H179" s="174">
        <f t="shared" si="52"/>
        <v>0</v>
      </c>
      <c r="I179" s="174">
        <f t="shared" si="52"/>
        <v>0</v>
      </c>
      <c r="J179" s="174">
        <f t="shared" si="52"/>
        <v>0</v>
      </c>
      <c r="K179" s="174">
        <f t="shared" si="52"/>
        <v>0</v>
      </c>
      <c r="L179" s="174">
        <f t="shared" si="52"/>
        <v>0</v>
      </c>
      <c r="M179" s="174">
        <f t="shared" si="52"/>
        <v>0</v>
      </c>
      <c r="N179" s="174">
        <f>SUM(N180:N183)</f>
        <v>13000000</v>
      </c>
      <c r="O179" s="175">
        <f>SUM(O180:O183)</f>
        <v>13000000</v>
      </c>
      <c r="P179" s="176"/>
      <c r="Q179" s="176"/>
    </row>
    <row r="180" spans="1:17" ht="25.5" customHeight="1">
      <c r="A180" s="157" t="s">
        <v>433</v>
      </c>
      <c r="B180" s="148" t="s">
        <v>343</v>
      </c>
      <c r="C180" s="149"/>
      <c r="D180" s="149"/>
      <c r="E180" s="149"/>
      <c r="F180" s="149">
        <v>2000000</v>
      </c>
      <c r="G180" s="149"/>
      <c r="H180" s="149"/>
      <c r="I180" s="149"/>
      <c r="J180" s="149"/>
      <c r="K180" s="151"/>
      <c r="L180" s="151"/>
      <c r="M180" s="151"/>
      <c r="N180" s="151">
        <f>F180+I180+J180+M180</f>
        <v>2000000</v>
      </c>
      <c r="O180" s="152">
        <f t="shared" si="46"/>
        <v>2000000</v>
      </c>
      <c r="P180" s="147"/>
      <c r="Q180" s="147"/>
    </row>
    <row r="181" spans="1:17" ht="24.75" customHeight="1">
      <c r="A181" s="157" t="s">
        <v>434</v>
      </c>
      <c r="B181" s="148" t="s">
        <v>344</v>
      </c>
      <c r="C181" s="149"/>
      <c r="D181" s="149"/>
      <c r="E181" s="149"/>
      <c r="F181" s="149">
        <v>1000000</v>
      </c>
      <c r="G181" s="149"/>
      <c r="H181" s="149"/>
      <c r="I181" s="149"/>
      <c r="J181" s="149"/>
      <c r="K181" s="151"/>
      <c r="L181" s="151"/>
      <c r="M181" s="151"/>
      <c r="N181" s="151">
        <f>F181+I181+J181+M181</f>
        <v>1000000</v>
      </c>
      <c r="O181" s="152">
        <f t="shared" si="46"/>
        <v>1000000</v>
      </c>
      <c r="P181" s="147"/>
      <c r="Q181" s="147"/>
    </row>
    <row r="182" spans="1:17" ht="15" customHeight="1">
      <c r="A182" s="157" t="s">
        <v>435</v>
      </c>
      <c r="B182" s="148" t="s">
        <v>345</v>
      </c>
      <c r="C182" s="149"/>
      <c r="D182" s="149"/>
      <c r="E182" s="149"/>
      <c r="F182" s="149">
        <v>5000000</v>
      </c>
      <c r="G182" s="149"/>
      <c r="H182" s="149"/>
      <c r="I182" s="149"/>
      <c r="J182" s="149"/>
      <c r="K182" s="151"/>
      <c r="L182" s="151"/>
      <c r="M182" s="151"/>
      <c r="N182" s="151">
        <f>F182+I182+J182+M182</f>
        <v>5000000</v>
      </c>
      <c r="O182" s="152">
        <f t="shared" si="46"/>
        <v>5000000</v>
      </c>
      <c r="P182" s="147"/>
      <c r="Q182" s="147"/>
    </row>
    <row r="183" spans="1:17" ht="36" customHeight="1">
      <c r="A183" s="157" t="s">
        <v>436</v>
      </c>
      <c r="B183" s="148" t="s">
        <v>346</v>
      </c>
      <c r="C183" s="149"/>
      <c r="D183" s="149"/>
      <c r="E183" s="149"/>
      <c r="F183" s="149">
        <v>5000000</v>
      </c>
      <c r="G183" s="149"/>
      <c r="H183" s="149"/>
      <c r="I183" s="149"/>
      <c r="J183" s="149"/>
      <c r="K183" s="151"/>
      <c r="L183" s="151"/>
      <c r="M183" s="151"/>
      <c r="N183" s="151">
        <f>F183+I183+J183+M183</f>
        <v>5000000</v>
      </c>
      <c r="O183" s="152">
        <f t="shared" si="46"/>
        <v>5000000</v>
      </c>
      <c r="P183" s="147"/>
      <c r="Q183" s="147"/>
    </row>
    <row r="184" spans="1:17" ht="30" customHeight="1">
      <c r="A184" s="172" t="s">
        <v>347</v>
      </c>
      <c r="B184" s="173" t="s">
        <v>348</v>
      </c>
      <c r="C184" s="174">
        <f aca="true" t="shared" si="53" ref="C184:O184">SUM(C185:C188)</f>
        <v>0</v>
      </c>
      <c r="D184" s="174">
        <f t="shared" si="53"/>
        <v>0</v>
      </c>
      <c r="E184" s="174">
        <f t="shared" si="53"/>
        <v>0</v>
      </c>
      <c r="F184" s="174">
        <f t="shared" si="53"/>
        <v>9000000</v>
      </c>
      <c r="G184" s="174">
        <f t="shared" si="53"/>
        <v>0</v>
      </c>
      <c r="H184" s="174">
        <f t="shared" si="53"/>
        <v>0</v>
      </c>
      <c r="I184" s="174">
        <f t="shared" si="53"/>
        <v>0</v>
      </c>
      <c r="J184" s="174">
        <f t="shared" si="53"/>
        <v>2000000</v>
      </c>
      <c r="K184" s="174">
        <f t="shared" si="53"/>
        <v>0</v>
      </c>
      <c r="L184" s="174">
        <f t="shared" si="53"/>
        <v>0</v>
      </c>
      <c r="M184" s="174">
        <f t="shared" si="53"/>
        <v>0</v>
      </c>
      <c r="N184" s="174">
        <f t="shared" si="53"/>
        <v>11000000</v>
      </c>
      <c r="O184" s="175">
        <f t="shared" si="53"/>
        <v>11000000</v>
      </c>
      <c r="P184" s="176"/>
      <c r="Q184" s="176"/>
    </row>
    <row r="185" spans="1:17" ht="37.5" customHeight="1">
      <c r="A185" s="157" t="s">
        <v>433</v>
      </c>
      <c r="B185" s="148" t="s">
        <v>349</v>
      </c>
      <c r="C185" s="149"/>
      <c r="D185" s="149"/>
      <c r="E185" s="149"/>
      <c r="F185" s="149">
        <v>2000000</v>
      </c>
      <c r="G185" s="149"/>
      <c r="H185" s="149"/>
      <c r="I185" s="149"/>
      <c r="J185" s="149"/>
      <c r="K185" s="151"/>
      <c r="L185" s="151"/>
      <c r="M185" s="151"/>
      <c r="N185" s="151">
        <f>F185+I185+J185+M185</f>
        <v>2000000</v>
      </c>
      <c r="O185" s="152">
        <f t="shared" si="46"/>
        <v>2000000</v>
      </c>
      <c r="P185" s="147"/>
      <c r="Q185" s="147"/>
    </row>
    <row r="186" spans="1:17" ht="16.5" customHeight="1">
      <c r="A186" s="157" t="s">
        <v>434</v>
      </c>
      <c r="B186" s="148" t="s">
        <v>350</v>
      </c>
      <c r="C186" s="149"/>
      <c r="D186" s="149"/>
      <c r="E186" s="149"/>
      <c r="F186" s="149">
        <v>5000000</v>
      </c>
      <c r="G186" s="149"/>
      <c r="H186" s="149"/>
      <c r="I186" s="149"/>
      <c r="J186" s="149"/>
      <c r="K186" s="151"/>
      <c r="L186" s="151"/>
      <c r="M186" s="151"/>
      <c r="N186" s="151">
        <f>F186+I186+J186+M186</f>
        <v>5000000</v>
      </c>
      <c r="O186" s="152">
        <f t="shared" si="46"/>
        <v>5000000</v>
      </c>
      <c r="P186" s="147"/>
      <c r="Q186" s="147"/>
    </row>
    <row r="187" spans="1:17" ht="23.25" customHeight="1">
      <c r="A187" s="157" t="s">
        <v>435</v>
      </c>
      <c r="B187" s="148" t="s">
        <v>351</v>
      </c>
      <c r="C187" s="149"/>
      <c r="D187" s="149"/>
      <c r="E187" s="149"/>
      <c r="F187" s="149">
        <v>0</v>
      </c>
      <c r="G187" s="149"/>
      <c r="H187" s="149"/>
      <c r="I187" s="149"/>
      <c r="J187" s="149"/>
      <c r="K187" s="151"/>
      <c r="L187" s="151"/>
      <c r="M187" s="151"/>
      <c r="N187" s="151">
        <f>F187+I187+J187+M187</f>
        <v>0</v>
      </c>
      <c r="O187" s="152">
        <f t="shared" si="46"/>
        <v>0</v>
      </c>
      <c r="P187" s="147"/>
      <c r="Q187" s="147"/>
    </row>
    <row r="188" spans="1:17" ht="18" customHeight="1">
      <c r="A188" s="157" t="s">
        <v>436</v>
      </c>
      <c r="B188" s="148" t="s">
        <v>465</v>
      </c>
      <c r="C188" s="149"/>
      <c r="D188" s="149"/>
      <c r="E188" s="149"/>
      <c r="F188" s="149">
        <v>2000000</v>
      </c>
      <c r="G188" s="149"/>
      <c r="H188" s="149"/>
      <c r="I188" s="149"/>
      <c r="J188" s="149">
        <v>2000000</v>
      </c>
      <c r="K188" s="151"/>
      <c r="L188" s="151"/>
      <c r="M188" s="151"/>
      <c r="N188" s="151">
        <f>F188+I188+J188+M188</f>
        <v>4000000</v>
      </c>
      <c r="O188" s="152">
        <f t="shared" si="46"/>
        <v>4000000</v>
      </c>
      <c r="P188" s="147"/>
      <c r="Q188" s="147"/>
    </row>
    <row r="189" spans="1:17" ht="27.75" customHeight="1">
      <c r="A189" s="172" t="s">
        <v>352</v>
      </c>
      <c r="B189" s="173" t="s">
        <v>353</v>
      </c>
      <c r="C189" s="174">
        <f>SUM(C190:C195)</f>
        <v>0</v>
      </c>
      <c r="D189" s="174">
        <f aca="true" t="shared" si="54" ref="D189:M189">SUM(D190:D195)</f>
        <v>0</v>
      </c>
      <c r="E189" s="174">
        <f t="shared" si="54"/>
        <v>0</v>
      </c>
      <c r="F189" s="174">
        <f t="shared" si="54"/>
        <v>0</v>
      </c>
      <c r="G189" s="174">
        <f t="shared" si="54"/>
        <v>5000000</v>
      </c>
      <c r="H189" s="174">
        <f t="shared" si="54"/>
        <v>0</v>
      </c>
      <c r="I189" s="174">
        <f t="shared" si="54"/>
        <v>0</v>
      </c>
      <c r="J189" s="174">
        <f t="shared" si="54"/>
        <v>0</v>
      </c>
      <c r="K189" s="174">
        <f t="shared" si="54"/>
        <v>0</v>
      </c>
      <c r="L189" s="174">
        <f t="shared" si="54"/>
        <v>0</v>
      </c>
      <c r="M189" s="174">
        <f t="shared" si="54"/>
        <v>0</v>
      </c>
      <c r="N189" s="174">
        <f>SUM(N190:N195)</f>
        <v>0</v>
      </c>
      <c r="O189" s="175">
        <f>SUM(O190:O195)</f>
        <v>5000000</v>
      </c>
      <c r="P189" s="176"/>
      <c r="Q189" s="176"/>
    </row>
    <row r="190" spans="1:17" ht="33.75" customHeight="1">
      <c r="A190" s="157" t="s">
        <v>433</v>
      </c>
      <c r="B190" s="148" t="s">
        <v>354</v>
      </c>
      <c r="C190" s="149"/>
      <c r="D190" s="149"/>
      <c r="E190" s="149"/>
      <c r="F190" s="149"/>
      <c r="G190" s="149">
        <v>5000000</v>
      </c>
      <c r="H190" s="149"/>
      <c r="I190" s="149"/>
      <c r="J190" s="149"/>
      <c r="K190" s="151"/>
      <c r="L190" s="151"/>
      <c r="M190" s="151"/>
      <c r="N190" s="151">
        <f aca="true" t="shared" si="55" ref="N190:N195">F190+I190+J190+M190</f>
        <v>0</v>
      </c>
      <c r="O190" s="152">
        <f t="shared" si="46"/>
        <v>5000000</v>
      </c>
      <c r="P190" s="147"/>
      <c r="Q190" s="147"/>
    </row>
    <row r="191" spans="1:17" ht="26.25" customHeight="1">
      <c r="A191" s="157" t="s">
        <v>434</v>
      </c>
      <c r="B191" s="148" t="s">
        <v>355</v>
      </c>
      <c r="C191" s="149"/>
      <c r="D191" s="149"/>
      <c r="E191" s="149"/>
      <c r="F191" s="149"/>
      <c r="G191" s="149"/>
      <c r="H191" s="149"/>
      <c r="I191" s="149"/>
      <c r="J191" s="149"/>
      <c r="K191" s="151"/>
      <c r="L191" s="151"/>
      <c r="M191" s="151"/>
      <c r="N191" s="151">
        <f t="shared" si="55"/>
        <v>0</v>
      </c>
      <c r="O191" s="152">
        <f t="shared" si="46"/>
        <v>0</v>
      </c>
      <c r="P191" s="147"/>
      <c r="Q191" s="147"/>
    </row>
    <row r="192" spans="1:17" ht="24.75" customHeight="1">
      <c r="A192" s="157" t="s">
        <v>435</v>
      </c>
      <c r="B192" s="148" t="s">
        <v>356</v>
      </c>
      <c r="C192" s="149"/>
      <c r="D192" s="149"/>
      <c r="E192" s="149"/>
      <c r="F192" s="149"/>
      <c r="G192" s="149"/>
      <c r="H192" s="149"/>
      <c r="I192" s="149"/>
      <c r="J192" s="149"/>
      <c r="K192" s="151"/>
      <c r="L192" s="151"/>
      <c r="M192" s="151"/>
      <c r="N192" s="151">
        <f t="shared" si="55"/>
        <v>0</v>
      </c>
      <c r="O192" s="152">
        <f t="shared" si="46"/>
        <v>0</v>
      </c>
      <c r="P192" s="147"/>
      <c r="Q192" s="147"/>
    </row>
    <row r="193" spans="1:17" ht="16.5" customHeight="1">
      <c r="A193" s="157" t="s">
        <v>436</v>
      </c>
      <c r="B193" s="148" t="s">
        <v>357</v>
      </c>
      <c r="C193" s="149"/>
      <c r="D193" s="149"/>
      <c r="E193" s="149"/>
      <c r="F193" s="149"/>
      <c r="G193" s="149"/>
      <c r="H193" s="149"/>
      <c r="I193" s="149"/>
      <c r="J193" s="149"/>
      <c r="K193" s="151"/>
      <c r="L193" s="151"/>
      <c r="M193" s="151"/>
      <c r="N193" s="151">
        <f t="shared" si="55"/>
        <v>0</v>
      </c>
      <c r="O193" s="152">
        <f t="shared" si="46"/>
        <v>0</v>
      </c>
      <c r="P193" s="147"/>
      <c r="Q193" s="147"/>
    </row>
    <row r="194" spans="1:17" ht="24.75" customHeight="1">
      <c r="A194" s="157" t="s">
        <v>437</v>
      </c>
      <c r="B194" s="148" t="s">
        <v>358</v>
      </c>
      <c r="C194" s="149"/>
      <c r="D194" s="149"/>
      <c r="E194" s="149"/>
      <c r="F194" s="149"/>
      <c r="G194" s="149"/>
      <c r="H194" s="149"/>
      <c r="I194" s="149"/>
      <c r="J194" s="149"/>
      <c r="K194" s="151"/>
      <c r="L194" s="151"/>
      <c r="M194" s="151"/>
      <c r="N194" s="151">
        <f t="shared" si="55"/>
        <v>0</v>
      </c>
      <c r="O194" s="152">
        <f t="shared" si="46"/>
        <v>0</v>
      </c>
      <c r="P194" s="147"/>
      <c r="Q194" s="147"/>
    </row>
    <row r="195" spans="1:17" ht="12.75" customHeight="1">
      <c r="A195" s="153">
        <v>6</v>
      </c>
      <c r="B195" s="148"/>
      <c r="C195" s="149"/>
      <c r="D195" s="149"/>
      <c r="E195" s="149"/>
      <c r="F195" s="149"/>
      <c r="G195" s="149"/>
      <c r="H195" s="149"/>
      <c r="I195" s="149"/>
      <c r="J195" s="149"/>
      <c r="K195" s="151"/>
      <c r="L195" s="151"/>
      <c r="M195" s="151"/>
      <c r="N195" s="151">
        <f t="shared" si="55"/>
        <v>0</v>
      </c>
      <c r="O195" s="152">
        <f t="shared" si="46"/>
        <v>0</v>
      </c>
      <c r="P195" s="147"/>
      <c r="Q195" s="147"/>
    </row>
    <row r="196" spans="1:17" ht="39" customHeight="1">
      <c r="A196" s="172" t="s">
        <v>359</v>
      </c>
      <c r="B196" s="173" t="s">
        <v>360</v>
      </c>
      <c r="C196" s="174">
        <f>SUM(C197:C204)</f>
        <v>0</v>
      </c>
      <c r="D196" s="174">
        <f aca="true" t="shared" si="56" ref="D196:M196">SUM(D197:D204)</f>
        <v>0</v>
      </c>
      <c r="E196" s="174">
        <f t="shared" si="56"/>
        <v>0</v>
      </c>
      <c r="F196" s="174">
        <f t="shared" si="56"/>
        <v>14000000</v>
      </c>
      <c r="G196" s="174">
        <f t="shared" si="56"/>
        <v>0</v>
      </c>
      <c r="H196" s="174">
        <f t="shared" si="56"/>
        <v>0</v>
      </c>
      <c r="I196" s="174">
        <f t="shared" si="56"/>
        <v>0</v>
      </c>
      <c r="J196" s="174">
        <f t="shared" si="56"/>
        <v>0</v>
      </c>
      <c r="K196" s="174">
        <f t="shared" si="56"/>
        <v>0</v>
      </c>
      <c r="L196" s="174">
        <f t="shared" si="56"/>
        <v>0</v>
      </c>
      <c r="M196" s="174">
        <f t="shared" si="56"/>
        <v>0</v>
      </c>
      <c r="N196" s="174">
        <f>SUM(N197:N204)</f>
        <v>14000000</v>
      </c>
      <c r="O196" s="175">
        <f>SUM(O197:O204)</f>
        <v>14000000</v>
      </c>
      <c r="P196" s="176"/>
      <c r="Q196" s="176"/>
    </row>
    <row r="197" spans="1:17" ht="25.5" customHeight="1">
      <c r="A197" s="157" t="s">
        <v>433</v>
      </c>
      <c r="B197" s="148" t="s">
        <v>361</v>
      </c>
      <c r="C197" s="149"/>
      <c r="D197" s="149"/>
      <c r="E197" s="149"/>
      <c r="F197" s="149">
        <v>2000000</v>
      </c>
      <c r="G197" s="149"/>
      <c r="H197" s="149"/>
      <c r="I197" s="149"/>
      <c r="J197" s="149"/>
      <c r="K197" s="151"/>
      <c r="L197" s="151"/>
      <c r="M197" s="151"/>
      <c r="N197" s="151">
        <f aca="true" t="shared" si="57" ref="N197:N204">F197+I197+J197+M197</f>
        <v>2000000</v>
      </c>
      <c r="O197" s="152">
        <f t="shared" si="46"/>
        <v>2000000</v>
      </c>
      <c r="P197" s="147"/>
      <c r="Q197" s="147"/>
    </row>
    <row r="198" spans="1:17" ht="21" customHeight="1">
      <c r="A198" s="157" t="s">
        <v>434</v>
      </c>
      <c r="B198" s="148" t="s">
        <v>362</v>
      </c>
      <c r="C198" s="149"/>
      <c r="D198" s="149"/>
      <c r="E198" s="149"/>
      <c r="F198" s="149">
        <v>2000000</v>
      </c>
      <c r="G198" s="149"/>
      <c r="H198" s="149"/>
      <c r="I198" s="149"/>
      <c r="J198" s="149"/>
      <c r="K198" s="151"/>
      <c r="L198" s="151"/>
      <c r="M198" s="151"/>
      <c r="N198" s="151">
        <f t="shared" si="57"/>
        <v>2000000</v>
      </c>
      <c r="O198" s="152">
        <f t="shared" si="46"/>
        <v>2000000</v>
      </c>
      <c r="P198" s="147"/>
      <c r="Q198" s="147"/>
    </row>
    <row r="199" spans="1:17" ht="29.25" customHeight="1">
      <c r="A199" s="157" t="s">
        <v>435</v>
      </c>
      <c r="B199" s="148" t="s">
        <v>363</v>
      </c>
      <c r="C199" s="149"/>
      <c r="D199" s="149"/>
      <c r="E199" s="149"/>
      <c r="F199" s="149">
        <v>2000000</v>
      </c>
      <c r="G199" s="149"/>
      <c r="H199" s="149"/>
      <c r="I199" s="149"/>
      <c r="J199" s="149"/>
      <c r="K199" s="151"/>
      <c r="L199" s="151"/>
      <c r="M199" s="151"/>
      <c r="N199" s="151">
        <f t="shared" si="57"/>
        <v>2000000</v>
      </c>
      <c r="O199" s="152">
        <f t="shared" si="46"/>
        <v>2000000</v>
      </c>
      <c r="P199" s="147"/>
      <c r="Q199" s="147"/>
    </row>
    <row r="200" spans="1:17" ht="25.5" customHeight="1">
      <c r="A200" s="157" t="s">
        <v>436</v>
      </c>
      <c r="B200" s="148" t="s">
        <v>364</v>
      </c>
      <c r="C200" s="149"/>
      <c r="D200" s="149"/>
      <c r="E200" s="149"/>
      <c r="F200" s="149">
        <v>2000000</v>
      </c>
      <c r="G200" s="149"/>
      <c r="H200" s="149"/>
      <c r="I200" s="149"/>
      <c r="J200" s="149"/>
      <c r="K200" s="151"/>
      <c r="L200" s="151"/>
      <c r="M200" s="151"/>
      <c r="N200" s="151">
        <f t="shared" si="57"/>
        <v>2000000</v>
      </c>
      <c r="O200" s="152">
        <f t="shared" si="46"/>
        <v>2000000</v>
      </c>
      <c r="P200" s="147"/>
      <c r="Q200" s="147"/>
    </row>
    <row r="201" spans="1:17" ht="18.75" customHeight="1">
      <c r="A201" s="157" t="s">
        <v>437</v>
      </c>
      <c r="B201" s="148" t="s">
        <v>365</v>
      </c>
      <c r="C201" s="149"/>
      <c r="D201" s="149"/>
      <c r="E201" s="149"/>
      <c r="F201" s="149">
        <v>2000000</v>
      </c>
      <c r="G201" s="149"/>
      <c r="H201" s="149"/>
      <c r="I201" s="149"/>
      <c r="J201" s="149"/>
      <c r="K201" s="151"/>
      <c r="L201" s="151"/>
      <c r="M201" s="151"/>
      <c r="N201" s="151">
        <f t="shared" si="57"/>
        <v>2000000</v>
      </c>
      <c r="O201" s="152">
        <f t="shared" si="46"/>
        <v>2000000</v>
      </c>
      <c r="P201" s="147"/>
      <c r="Q201" s="147"/>
    </row>
    <row r="202" spans="1:17" ht="24" customHeight="1">
      <c r="A202" s="157" t="s">
        <v>438</v>
      </c>
      <c r="B202" s="148" t="s">
        <v>366</v>
      </c>
      <c r="C202" s="149"/>
      <c r="D202" s="149"/>
      <c r="E202" s="149"/>
      <c r="F202" s="149">
        <v>2000000</v>
      </c>
      <c r="G202" s="149"/>
      <c r="H202" s="149"/>
      <c r="I202" s="149"/>
      <c r="J202" s="149"/>
      <c r="K202" s="151"/>
      <c r="L202" s="151"/>
      <c r="M202" s="151"/>
      <c r="N202" s="151">
        <f t="shared" si="57"/>
        <v>2000000</v>
      </c>
      <c r="O202" s="152">
        <f t="shared" si="46"/>
        <v>2000000</v>
      </c>
      <c r="P202" s="147"/>
      <c r="Q202" s="147"/>
    </row>
    <row r="203" spans="1:17" ht="30" customHeight="1">
      <c r="A203" s="157" t="s">
        <v>439</v>
      </c>
      <c r="B203" s="148" t="s">
        <v>367</v>
      </c>
      <c r="C203" s="149"/>
      <c r="D203" s="149"/>
      <c r="E203" s="149"/>
      <c r="F203" s="149">
        <v>1000000</v>
      </c>
      <c r="G203" s="149"/>
      <c r="H203" s="149"/>
      <c r="I203" s="149"/>
      <c r="J203" s="149"/>
      <c r="K203" s="151"/>
      <c r="L203" s="151"/>
      <c r="M203" s="151"/>
      <c r="N203" s="151">
        <f t="shared" si="57"/>
        <v>1000000</v>
      </c>
      <c r="O203" s="152">
        <f t="shared" si="46"/>
        <v>1000000</v>
      </c>
      <c r="P203" s="147"/>
      <c r="Q203" s="147"/>
    </row>
    <row r="204" spans="1:17" ht="14.25" customHeight="1">
      <c r="A204" s="157" t="s">
        <v>440</v>
      </c>
      <c r="B204" s="148" t="s">
        <v>514</v>
      </c>
      <c r="C204" s="149"/>
      <c r="D204" s="149"/>
      <c r="E204" s="149"/>
      <c r="F204" s="149">
        <v>1000000</v>
      </c>
      <c r="G204" s="149"/>
      <c r="H204" s="149"/>
      <c r="I204" s="149"/>
      <c r="J204" s="149"/>
      <c r="K204" s="151"/>
      <c r="L204" s="151"/>
      <c r="M204" s="151"/>
      <c r="N204" s="151">
        <f t="shared" si="57"/>
        <v>1000000</v>
      </c>
      <c r="O204" s="152">
        <f t="shared" si="46"/>
        <v>1000000</v>
      </c>
      <c r="P204" s="147"/>
      <c r="Q204" s="147"/>
    </row>
    <row r="205" spans="1:17" ht="21.75" customHeight="1">
      <c r="A205" s="172" t="s">
        <v>368</v>
      </c>
      <c r="B205" s="173" t="s">
        <v>369</v>
      </c>
      <c r="C205" s="174">
        <f>SUM(C206:C210)</f>
        <v>0</v>
      </c>
      <c r="D205" s="174">
        <f aca="true" t="shared" si="58" ref="D205:M205">SUM(D206:D210)</f>
        <v>0</v>
      </c>
      <c r="E205" s="174">
        <f t="shared" si="58"/>
        <v>0</v>
      </c>
      <c r="F205" s="174">
        <f t="shared" si="58"/>
        <v>45000000</v>
      </c>
      <c r="G205" s="174">
        <f t="shared" si="58"/>
        <v>10000000</v>
      </c>
      <c r="H205" s="174">
        <f t="shared" si="58"/>
        <v>0</v>
      </c>
      <c r="I205" s="174">
        <f t="shared" si="58"/>
        <v>0</v>
      </c>
      <c r="J205" s="174">
        <f t="shared" si="58"/>
        <v>0</v>
      </c>
      <c r="K205" s="174">
        <f t="shared" si="58"/>
        <v>0</v>
      </c>
      <c r="L205" s="174">
        <f t="shared" si="58"/>
        <v>0</v>
      </c>
      <c r="M205" s="174">
        <f t="shared" si="58"/>
        <v>0</v>
      </c>
      <c r="N205" s="174">
        <f>SUM(N206:N210)</f>
        <v>45000000</v>
      </c>
      <c r="O205" s="175">
        <f>SUM(O206:O210)</f>
        <v>55000000</v>
      </c>
      <c r="P205" s="176"/>
      <c r="Q205" s="176"/>
    </row>
    <row r="206" spans="1:17" ht="28.5" customHeight="1">
      <c r="A206" s="157" t="s">
        <v>433</v>
      </c>
      <c r="B206" s="148" t="s">
        <v>370</v>
      </c>
      <c r="C206" s="149"/>
      <c r="D206" s="149"/>
      <c r="E206" s="149"/>
      <c r="F206" s="149">
        <v>35000000</v>
      </c>
      <c r="G206" s="149">
        <v>10000000</v>
      </c>
      <c r="H206" s="149"/>
      <c r="I206" s="149"/>
      <c r="J206" s="149"/>
      <c r="K206" s="151"/>
      <c r="L206" s="151"/>
      <c r="M206" s="151"/>
      <c r="N206" s="151">
        <f>F206+I206+J206+M206</f>
        <v>35000000</v>
      </c>
      <c r="O206" s="152">
        <f t="shared" si="46"/>
        <v>45000000</v>
      </c>
      <c r="P206" s="147"/>
      <c r="Q206" s="147"/>
    </row>
    <row r="207" spans="1:17" ht="28.5" customHeight="1">
      <c r="A207" s="157" t="s">
        <v>434</v>
      </c>
      <c r="B207" s="148" t="s">
        <v>371</v>
      </c>
      <c r="C207" s="149"/>
      <c r="D207" s="149"/>
      <c r="E207" s="149"/>
      <c r="F207" s="149">
        <v>0</v>
      </c>
      <c r="G207" s="149"/>
      <c r="H207" s="149"/>
      <c r="I207" s="149"/>
      <c r="J207" s="149"/>
      <c r="K207" s="151"/>
      <c r="L207" s="151"/>
      <c r="M207" s="151"/>
      <c r="N207" s="151">
        <f>F207+I207+J207+M207</f>
        <v>0</v>
      </c>
      <c r="O207" s="152">
        <f t="shared" si="46"/>
        <v>0</v>
      </c>
      <c r="P207" s="147"/>
      <c r="Q207" s="147"/>
    </row>
    <row r="208" spans="1:17" ht="28.5" customHeight="1">
      <c r="A208" s="157" t="s">
        <v>435</v>
      </c>
      <c r="B208" s="148" t="s">
        <v>372</v>
      </c>
      <c r="C208" s="149"/>
      <c r="D208" s="149"/>
      <c r="E208" s="149"/>
      <c r="F208" s="149">
        <v>5000000</v>
      </c>
      <c r="G208" s="149"/>
      <c r="H208" s="149"/>
      <c r="I208" s="149"/>
      <c r="J208" s="149"/>
      <c r="K208" s="151"/>
      <c r="L208" s="151"/>
      <c r="M208" s="151"/>
      <c r="N208" s="151">
        <f>F208+I208+J208+M208</f>
        <v>5000000</v>
      </c>
      <c r="O208" s="152">
        <f t="shared" si="46"/>
        <v>5000000</v>
      </c>
      <c r="P208" s="147"/>
      <c r="Q208" s="147"/>
    </row>
    <row r="209" spans="1:17" ht="36.75" customHeight="1">
      <c r="A209" s="157" t="s">
        <v>436</v>
      </c>
      <c r="B209" s="148" t="s">
        <v>373</v>
      </c>
      <c r="C209" s="149"/>
      <c r="D209" s="149"/>
      <c r="E209" s="149"/>
      <c r="F209" s="149">
        <v>5000000</v>
      </c>
      <c r="G209" s="149"/>
      <c r="H209" s="149"/>
      <c r="I209" s="149"/>
      <c r="J209" s="149"/>
      <c r="K209" s="151"/>
      <c r="L209" s="151"/>
      <c r="M209" s="151"/>
      <c r="N209" s="151">
        <f>F209+I209+J209+M209</f>
        <v>5000000</v>
      </c>
      <c r="O209" s="152">
        <f t="shared" si="46"/>
        <v>5000000</v>
      </c>
      <c r="P209" s="147"/>
      <c r="Q209" s="147"/>
    </row>
    <row r="210" spans="1:17" ht="15.75" customHeight="1">
      <c r="A210" s="153"/>
      <c r="B210" s="148"/>
      <c r="C210" s="149"/>
      <c r="D210" s="149"/>
      <c r="E210" s="149"/>
      <c r="F210" s="149"/>
      <c r="G210" s="149"/>
      <c r="H210" s="149"/>
      <c r="I210" s="149"/>
      <c r="J210" s="149"/>
      <c r="K210" s="151"/>
      <c r="L210" s="151"/>
      <c r="M210" s="151"/>
      <c r="N210" s="151">
        <f>F210+I210+J210+M210</f>
        <v>0</v>
      </c>
      <c r="O210" s="152">
        <f t="shared" si="46"/>
        <v>0</v>
      </c>
      <c r="P210" s="147"/>
      <c r="Q210" s="147"/>
    </row>
    <row r="211" spans="1:17" ht="23.25" customHeight="1">
      <c r="A211" s="172" t="s">
        <v>374</v>
      </c>
      <c r="B211" s="173" t="s">
        <v>375</v>
      </c>
      <c r="C211" s="174">
        <f>SUM(C212:C215)</f>
        <v>0</v>
      </c>
      <c r="D211" s="174">
        <f aca="true" t="shared" si="59" ref="D211:M211">SUM(D212:D215)</f>
        <v>0</v>
      </c>
      <c r="E211" s="174">
        <f t="shared" si="59"/>
        <v>0</v>
      </c>
      <c r="F211" s="174">
        <f t="shared" si="59"/>
        <v>4000000</v>
      </c>
      <c r="G211" s="174">
        <f t="shared" si="59"/>
        <v>0</v>
      </c>
      <c r="H211" s="174">
        <f t="shared" si="59"/>
        <v>0</v>
      </c>
      <c r="I211" s="174">
        <f t="shared" si="59"/>
        <v>0</v>
      </c>
      <c r="J211" s="174">
        <f t="shared" si="59"/>
        <v>0</v>
      </c>
      <c r="K211" s="174">
        <f t="shared" si="59"/>
        <v>0</v>
      </c>
      <c r="L211" s="174">
        <f t="shared" si="59"/>
        <v>0</v>
      </c>
      <c r="M211" s="174">
        <f t="shared" si="59"/>
        <v>0</v>
      </c>
      <c r="N211" s="174">
        <f>SUM(N212:N215)</f>
        <v>4000000</v>
      </c>
      <c r="O211" s="175">
        <f>SUM(O212:O215)</f>
        <v>4000000</v>
      </c>
      <c r="P211" s="176"/>
      <c r="Q211" s="176"/>
    </row>
    <row r="212" spans="1:17" ht="21" customHeight="1">
      <c r="A212" s="157" t="s">
        <v>433</v>
      </c>
      <c r="B212" s="148" t="s">
        <v>376</v>
      </c>
      <c r="C212" s="149"/>
      <c r="D212" s="149"/>
      <c r="E212" s="149"/>
      <c r="F212" s="149">
        <v>1000000</v>
      </c>
      <c r="G212" s="149"/>
      <c r="H212" s="149"/>
      <c r="I212" s="149"/>
      <c r="J212" s="149"/>
      <c r="K212" s="151"/>
      <c r="L212" s="151"/>
      <c r="M212" s="151"/>
      <c r="N212" s="151">
        <f>F212+I212+J212+M212</f>
        <v>1000000</v>
      </c>
      <c r="O212" s="152">
        <f t="shared" si="46"/>
        <v>1000000</v>
      </c>
      <c r="P212" s="147"/>
      <c r="Q212" s="147"/>
    </row>
    <row r="213" spans="1:17" ht="27.75" customHeight="1">
      <c r="A213" s="157" t="s">
        <v>434</v>
      </c>
      <c r="B213" s="148" t="s">
        <v>377</v>
      </c>
      <c r="C213" s="149"/>
      <c r="D213" s="149"/>
      <c r="E213" s="149"/>
      <c r="F213" s="149">
        <v>0</v>
      </c>
      <c r="G213" s="149"/>
      <c r="H213" s="149"/>
      <c r="I213" s="149"/>
      <c r="J213" s="149"/>
      <c r="K213" s="151"/>
      <c r="L213" s="151"/>
      <c r="M213" s="151"/>
      <c r="N213" s="151">
        <f>F213+I213+J213+M213</f>
        <v>0</v>
      </c>
      <c r="O213" s="152">
        <f t="shared" si="46"/>
        <v>0</v>
      </c>
      <c r="P213" s="147"/>
      <c r="Q213" s="147"/>
    </row>
    <row r="214" spans="1:17" ht="27.75" customHeight="1">
      <c r="A214" s="157" t="s">
        <v>435</v>
      </c>
      <c r="B214" s="148" t="s">
        <v>378</v>
      </c>
      <c r="C214" s="149"/>
      <c r="D214" s="149"/>
      <c r="E214" s="149"/>
      <c r="F214" s="149">
        <v>1000000</v>
      </c>
      <c r="G214" s="149"/>
      <c r="H214" s="149"/>
      <c r="I214" s="149"/>
      <c r="J214" s="149"/>
      <c r="K214" s="151"/>
      <c r="L214" s="151"/>
      <c r="M214" s="151"/>
      <c r="N214" s="151">
        <f>F214+I214+J214+M214</f>
        <v>1000000</v>
      </c>
      <c r="O214" s="152">
        <f t="shared" si="46"/>
        <v>1000000</v>
      </c>
      <c r="P214" s="147"/>
      <c r="Q214" s="147"/>
    </row>
    <row r="215" spans="1:17" ht="18" customHeight="1">
      <c r="A215" s="146">
        <v>4</v>
      </c>
      <c r="B215" s="148" t="s">
        <v>515</v>
      </c>
      <c r="C215" s="149"/>
      <c r="D215" s="149"/>
      <c r="E215" s="149"/>
      <c r="F215" s="149">
        <v>2000000</v>
      </c>
      <c r="G215" s="149"/>
      <c r="H215" s="149"/>
      <c r="I215" s="149"/>
      <c r="J215" s="149"/>
      <c r="K215" s="151"/>
      <c r="L215" s="151"/>
      <c r="M215" s="151"/>
      <c r="N215" s="151">
        <f>F215+I215+J215+M215</f>
        <v>2000000</v>
      </c>
      <c r="O215" s="152">
        <f t="shared" si="46"/>
        <v>2000000</v>
      </c>
      <c r="P215" s="147"/>
      <c r="Q215" s="147"/>
    </row>
    <row r="216" spans="1:17" ht="29.25" customHeight="1">
      <c r="A216" s="172" t="s">
        <v>379</v>
      </c>
      <c r="B216" s="173" t="s">
        <v>380</v>
      </c>
      <c r="C216" s="174">
        <f>SUM(C217:C226)</f>
        <v>0</v>
      </c>
      <c r="D216" s="174">
        <f aca="true" t="shared" si="60" ref="D216:M216">SUM(D217:D226)</f>
        <v>0</v>
      </c>
      <c r="E216" s="174">
        <f t="shared" si="60"/>
        <v>0</v>
      </c>
      <c r="F216" s="174">
        <f t="shared" si="60"/>
        <v>148000000</v>
      </c>
      <c r="G216" s="174">
        <f t="shared" si="60"/>
        <v>45000000</v>
      </c>
      <c r="H216" s="174">
        <f t="shared" si="60"/>
        <v>0</v>
      </c>
      <c r="I216" s="174">
        <f t="shared" si="60"/>
        <v>0</v>
      </c>
      <c r="J216" s="174">
        <f t="shared" si="60"/>
        <v>0</v>
      </c>
      <c r="K216" s="174">
        <f t="shared" si="60"/>
        <v>0</v>
      </c>
      <c r="L216" s="174">
        <f t="shared" si="60"/>
        <v>0</v>
      </c>
      <c r="M216" s="174">
        <f t="shared" si="60"/>
        <v>0</v>
      </c>
      <c r="N216" s="174">
        <f>SUM(N217:N226)</f>
        <v>148000000</v>
      </c>
      <c r="O216" s="175">
        <f>SUM(O217:O226)</f>
        <v>193000000</v>
      </c>
      <c r="P216" s="176"/>
      <c r="Q216" s="176"/>
    </row>
    <row r="217" spans="1:17" ht="42" customHeight="1">
      <c r="A217" s="157" t="s">
        <v>433</v>
      </c>
      <c r="B217" s="148" t="s">
        <v>381</v>
      </c>
      <c r="C217" s="149"/>
      <c r="D217" s="149"/>
      <c r="E217" s="149"/>
      <c r="F217" s="149">
        <v>45000000</v>
      </c>
      <c r="G217" s="149">
        <v>5000000</v>
      </c>
      <c r="H217" s="149"/>
      <c r="I217" s="149"/>
      <c r="J217" s="149"/>
      <c r="K217" s="151"/>
      <c r="L217" s="151"/>
      <c r="M217" s="151"/>
      <c r="N217" s="151">
        <f aca="true" t="shared" si="61" ref="N217:N226">F217+I217+J217+M217</f>
        <v>45000000</v>
      </c>
      <c r="O217" s="152">
        <f t="shared" si="46"/>
        <v>50000000</v>
      </c>
      <c r="P217" s="147"/>
      <c r="Q217" s="147"/>
    </row>
    <row r="218" spans="1:17" ht="36.75" customHeight="1">
      <c r="A218" s="157" t="s">
        <v>434</v>
      </c>
      <c r="B218" s="148" t="s">
        <v>382</v>
      </c>
      <c r="C218" s="149"/>
      <c r="D218" s="149"/>
      <c r="E218" s="149"/>
      <c r="F218" s="149">
        <v>1000000</v>
      </c>
      <c r="G218" s="149"/>
      <c r="H218" s="149"/>
      <c r="I218" s="149"/>
      <c r="J218" s="149"/>
      <c r="K218" s="151"/>
      <c r="L218" s="151"/>
      <c r="M218" s="151"/>
      <c r="N218" s="151">
        <f t="shared" si="61"/>
        <v>1000000</v>
      </c>
      <c r="O218" s="152">
        <f aca="true" t="shared" si="62" ref="O218:O237">+C218+D218+F218+G218+H218+I218+J218+K218+L218+M218</f>
        <v>1000000</v>
      </c>
      <c r="P218" s="147"/>
      <c r="Q218" s="147"/>
    </row>
    <row r="219" spans="1:17" ht="36.75" customHeight="1">
      <c r="A219" s="157" t="s">
        <v>435</v>
      </c>
      <c r="B219" s="148" t="s">
        <v>383</v>
      </c>
      <c r="C219" s="149"/>
      <c r="D219" s="149"/>
      <c r="E219" s="149"/>
      <c r="F219" s="149">
        <v>0</v>
      </c>
      <c r="G219" s="149"/>
      <c r="H219" s="149"/>
      <c r="I219" s="149"/>
      <c r="J219" s="149"/>
      <c r="K219" s="151"/>
      <c r="L219" s="151"/>
      <c r="M219" s="151"/>
      <c r="N219" s="151">
        <f t="shared" si="61"/>
        <v>0</v>
      </c>
      <c r="O219" s="152">
        <f t="shared" si="62"/>
        <v>0</v>
      </c>
      <c r="P219" s="147"/>
      <c r="Q219" s="147"/>
    </row>
    <row r="220" spans="1:17" ht="24.75" customHeight="1">
      <c r="A220" s="157" t="s">
        <v>436</v>
      </c>
      <c r="B220" s="148" t="s">
        <v>516</v>
      </c>
      <c r="C220" s="149"/>
      <c r="D220" s="149"/>
      <c r="E220" s="149"/>
      <c r="F220" s="149">
        <v>25000000</v>
      </c>
      <c r="G220" s="149">
        <v>5000000</v>
      </c>
      <c r="H220" s="149"/>
      <c r="I220" s="149"/>
      <c r="J220" s="149"/>
      <c r="K220" s="151"/>
      <c r="L220" s="151"/>
      <c r="M220" s="151"/>
      <c r="N220" s="151">
        <f t="shared" si="61"/>
        <v>25000000</v>
      </c>
      <c r="O220" s="152">
        <f t="shared" si="62"/>
        <v>30000000</v>
      </c>
      <c r="P220" s="147"/>
      <c r="Q220" s="147"/>
    </row>
    <row r="221" spans="1:17" ht="17.25" customHeight="1">
      <c r="A221" s="157" t="s">
        <v>437</v>
      </c>
      <c r="B221" s="148" t="s">
        <v>384</v>
      </c>
      <c r="C221" s="149"/>
      <c r="D221" s="149"/>
      <c r="E221" s="149"/>
      <c r="F221" s="149">
        <v>10000000</v>
      </c>
      <c r="G221" s="149"/>
      <c r="H221" s="149"/>
      <c r="I221" s="149"/>
      <c r="J221" s="149"/>
      <c r="K221" s="151"/>
      <c r="L221" s="151"/>
      <c r="M221" s="151"/>
      <c r="N221" s="151">
        <f t="shared" si="61"/>
        <v>10000000</v>
      </c>
      <c r="O221" s="152">
        <f t="shared" si="62"/>
        <v>10000000</v>
      </c>
      <c r="P221" s="147"/>
      <c r="Q221" s="147"/>
    </row>
    <row r="222" spans="1:17" ht="13.5" customHeight="1">
      <c r="A222" s="157" t="s">
        <v>438</v>
      </c>
      <c r="B222" s="148" t="s">
        <v>385</v>
      </c>
      <c r="C222" s="149"/>
      <c r="D222" s="149"/>
      <c r="E222" s="149"/>
      <c r="F222" s="149">
        <v>35000000</v>
      </c>
      <c r="G222" s="149">
        <v>35000000</v>
      </c>
      <c r="H222" s="149"/>
      <c r="I222" s="149"/>
      <c r="J222" s="149"/>
      <c r="K222" s="151"/>
      <c r="L222" s="151"/>
      <c r="M222" s="151"/>
      <c r="N222" s="151">
        <f t="shared" si="61"/>
        <v>35000000</v>
      </c>
      <c r="O222" s="152">
        <f t="shared" si="62"/>
        <v>70000000</v>
      </c>
      <c r="P222" s="147"/>
      <c r="Q222" s="147"/>
    </row>
    <row r="223" spans="1:17" ht="15" customHeight="1">
      <c r="A223" s="157" t="s">
        <v>439</v>
      </c>
      <c r="B223" s="148" t="s">
        <v>386</v>
      </c>
      <c r="C223" s="149"/>
      <c r="D223" s="149"/>
      <c r="E223" s="149"/>
      <c r="F223" s="149">
        <v>30000000</v>
      </c>
      <c r="G223" s="149"/>
      <c r="H223" s="149"/>
      <c r="I223" s="149"/>
      <c r="J223" s="149"/>
      <c r="K223" s="151"/>
      <c r="L223" s="151"/>
      <c r="M223" s="151"/>
      <c r="N223" s="151">
        <f t="shared" si="61"/>
        <v>30000000</v>
      </c>
      <c r="O223" s="152">
        <f t="shared" si="62"/>
        <v>30000000</v>
      </c>
      <c r="P223" s="147"/>
      <c r="Q223" s="147"/>
    </row>
    <row r="224" spans="1:17" ht="27.75" customHeight="1">
      <c r="A224" s="157" t="s">
        <v>440</v>
      </c>
      <c r="B224" s="148" t="s">
        <v>387</v>
      </c>
      <c r="C224" s="149"/>
      <c r="D224" s="149"/>
      <c r="E224" s="149"/>
      <c r="F224" s="149">
        <v>0</v>
      </c>
      <c r="G224" s="149"/>
      <c r="H224" s="149"/>
      <c r="I224" s="149"/>
      <c r="J224" s="149"/>
      <c r="K224" s="151"/>
      <c r="L224" s="151"/>
      <c r="M224" s="151"/>
      <c r="N224" s="151">
        <f t="shared" si="61"/>
        <v>0</v>
      </c>
      <c r="O224" s="152">
        <f t="shared" si="62"/>
        <v>0</v>
      </c>
      <c r="P224" s="147"/>
      <c r="Q224" s="147"/>
    </row>
    <row r="225" spans="1:17" ht="14.25" customHeight="1">
      <c r="A225" s="157" t="s">
        <v>441</v>
      </c>
      <c r="B225" s="148" t="s">
        <v>447</v>
      </c>
      <c r="C225" s="149"/>
      <c r="D225" s="149"/>
      <c r="E225" s="149"/>
      <c r="F225" s="149">
        <v>2000000</v>
      </c>
      <c r="G225" s="149"/>
      <c r="H225" s="149"/>
      <c r="I225" s="149"/>
      <c r="J225" s="149"/>
      <c r="K225" s="151"/>
      <c r="L225" s="151"/>
      <c r="M225" s="151"/>
      <c r="N225" s="151">
        <f t="shared" si="61"/>
        <v>2000000</v>
      </c>
      <c r="O225" s="152">
        <f t="shared" si="62"/>
        <v>2000000</v>
      </c>
      <c r="P225" s="147"/>
      <c r="Q225" s="147"/>
    </row>
    <row r="226" spans="1:17" ht="14.25" customHeight="1">
      <c r="A226" s="153">
        <v>10</v>
      </c>
      <c r="B226" s="148" t="s">
        <v>442</v>
      </c>
      <c r="C226" s="149"/>
      <c r="D226" s="149"/>
      <c r="E226" s="149"/>
      <c r="F226" s="149">
        <v>0</v>
      </c>
      <c r="G226" s="149"/>
      <c r="H226" s="149"/>
      <c r="I226" s="149"/>
      <c r="J226" s="149"/>
      <c r="K226" s="151"/>
      <c r="L226" s="151"/>
      <c r="M226" s="151"/>
      <c r="N226" s="151">
        <f t="shared" si="61"/>
        <v>0</v>
      </c>
      <c r="O226" s="152">
        <f t="shared" si="62"/>
        <v>0</v>
      </c>
      <c r="P226" s="147"/>
      <c r="Q226" s="147"/>
    </row>
    <row r="227" spans="1:17" ht="21.75" customHeight="1">
      <c r="A227" s="172" t="s">
        <v>388</v>
      </c>
      <c r="B227" s="173" t="s">
        <v>389</v>
      </c>
      <c r="C227" s="174">
        <f>+C228+C229+C230+C231</f>
        <v>0</v>
      </c>
      <c r="D227" s="174">
        <f aca="true" t="shared" si="63" ref="D227:M227">+D228+D229+D230+D231</f>
        <v>0</v>
      </c>
      <c r="E227" s="174">
        <f t="shared" si="63"/>
        <v>0</v>
      </c>
      <c r="F227" s="174">
        <f t="shared" si="63"/>
        <v>65795256</v>
      </c>
      <c r="G227" s="174">
        <f t="shared" si="63"/>
        <v>0</v>
      </c>
      <c r="H227" s="174">
        <f t="shared" si="63"/>
        <v>0</v>
      </c>
      <c r="I227" s="174">
        <f t="shared" si="63"/>
        <v>0</v>
      </c>
      <c r="J227" s="174">
        <f t="shared" si="63"/>
        <v>0</v>
      </c>
      <c r="K227" s="174">
        <f t="shared" si="63"/>
        <v>0</v>
      </c>
      <c r="L227" s="174">
        <f t="shared" si="63"/>
        <v>0</v>
      </c>
      <c r="M227" s="174">
        <f t="shared" si="63"/>
        <v>40000000</v>
      </c>
      <c r="N227" s="174">
        <f>SUM(N228:N232)</f>
        <v>356810838</v>
      </c>
      <c r="O227" s="175">
        <f>SUM(O228:O231)</f>
        <v>105795256</v>
      </c>
      <c r="P227" s="176"/>
      <c r="Q227" s="176"/>
    </row>
    <row r="228" spans="1:17" ht="19.5" customHeight="1">
      <c r="A228" s="157" t="s">
        <v>433</v>
      </c>
      <c r="B228" s="148" t="s">
        <v>390</v>
      </c>
      <c r="C228" s="149"/>
      <c r="D228" s="149"/>
      <c r="E228" s="149"/>
      <c r="F228" s="149">
        <v>19079628</v>
      </c>
      <c r="G228" s="149"/>
      <c r="H228" s="149"/>
      <c r="I228" s="149"/>
      <c r="J228" s="149"/>
      <c r="K228" s="151"/>
      <c r="L228" s="151"/>
      <c r="M228" s="151"/>
      <c r="N228" s="151">
        <f>F228+I228+J228+M228</f>
        <v>19079628</v>
      </c>
      <c r="O228" s="152">
        <f t="shared" si="62"/>
        <v>19079628</v>
      </c>
      <c r="P228" s="147"/>
      <c r="Q228" s="147"/>
    </row>
    <row r="229" spans="1:17" ht="18.75" customHeight="1">
      <c r="A229" s="157" t="s">
        <v>434</v>
      </c>
      <c r="B229" s="148" t="s">
        <v>391</v>
      </c>
      <c r="C229" s="149"/>
      <c r="D229" s="149"/>
      <c r="E229" s="149"/>
      <c r="F229" s="149">
        <v>46715628</v>
      </c>
      <c r="G229" s="149"/>
      <c r="H229" s="149"/>
      <c r="I229" s="149"/>
      <c r="J229" s="149"/>
      <c r="K229" s="151"/>
      <c r="L229" s="151"/>
      <c r="M229" s="151"/>
      <c r="N229" s="151">
        <f>F229+I229+J229+M229</f>
        <v>46715628</v>
      </c>
      <c r="O229" s="152">
        <f t="shared" si="62"/>
        <v>46715628</v>
      </c>
      <c r="P229" s="147"/>
      <c r="Q229" s="147"/>
    </row>
    <row r="230" spans="1:17" ht="27" customHeight="1">
      <c r="A230" s="157" t="s">
        <v>435</v>
      </c>
      <c r="B230" s="148" t="s">
        <v>469</v>
      </c>
      <c r="C230" s="149"/>
      <c r="D230" s="149"/>
      <c r="E230" s="149"/>
      <c r="F230" s="149"/>
      <c r="G230" s="149"/>
      <c r="H230" s="149"/>
      <c r="I230" s="149"/>
      <c r="J230" s="149"/>
      <c r="K230" s="151"/>
      <c r="L230" s="151"/>
      <c r="M230" s="151">
        <v>40000000</v>
      </c>
      <c r="N230" s="151">
        <f>F230+I230+J230+M230</f>
        <v>40000000</v>
      </c>
      <c r="O230" s="152">
        <f t="shared" si="62"/>
        <v>40000000</v>
      </c>
      <c r="P230" s="147"/>
      <c r="Q230" s="147"/>
    </row>
    <row r="231" spans="1:17" ht="12.75" customHeight="1">
      <c r="A231" s="157" t="s">
        <v>436</v>
      </c>
      <c r="B231" s="148" t="s">
        <v>392</v>
      </c>
      <c r="C231" s="149"/>
      <c r="D231" s="149"/>
      <c r="E231" s="149"/>
      <c r="F231" s="149"/>
      <c r="G231" s="149"/>
      <c r="H231" s="149"/>
      <c r="I231" s="149"/>
      <c r="J231" s="149"/>
      <c r="K231" s="151"/>
      <c r="L231" s="151"/>
      <c r="M231" s="151"/>
      <c r="N231" s="151">
        <f>F231+I231+J231+M231</f>
        <v>0</v>
      </c>
      <c r="O231" s="152">
        <f t="shared" si="62"/>
        <v>0</v>
      </c>
      <c r="P231" s="147"/>
      <c r="Q231" s="147"/>
    </row>
    <row r="232" spans="1:17" ht="24.75" customHeight="1">
      <c r="A232" s="146">
        <v>3.18</v>
      </c>
      <c r="B232" s="198" t="s">
        <v>507</v>
      </c>
      <c r="C232" s="199">
        <f>+C233+C234</f>
        <v>0</v>
      </c>
      <c r="D232" s="199">
        <f aca="true" t="shared" si="64" ref="D232:M232">+D233+D234</f>
        <v>0</v>
      </c>
      <c r="E232" s="199">
        <f t="shared" si="64"/>
        <v>0</v>
      </c>
      <c r="F232" s="199">
        <f t="shared" si="64"/>
        <v>251015582</v>
      </c>
      <c r="G232" s="199">
        <f t="shared" si="64"/>
        <v>0</v>
      </c>
      <c r="H232" s="199">
        <f t="shared" si="64"/>
        <v>0</v>
      </c>
      <c r="I232" s="199">
        <f t="shared" si="64"/>
        <v>0</v>
      </c>
      <c r="J232" s="199">
        <f t="shared" si="64"/>
        <v>0</v>
      </c>
      <c r="K232" s="199">
        <f t="shared" si="64"/>
        <v>0</v>
      </c>
      <c r="L232" s="199">
        <f t="shared" si="64"/>
        <v>0</v>
      </c>
      <c r="M232" s="199">
        <f t="shared" si="64"/>
        <v>0</v>
      </c>
      <c r="N232" s="201">
        <f>F232+I232+J232+M232</f>
        <v>251015582</v>
      </c>
      <c r="O232" s="202">
        <f>E232+N232</f>
        <v>251015582</v>
      </c>
      <c r="P232" s="147"/>
      <c r="Q232" s="147"/>
    </row>
    <row r="233" spans="1:17" ht="24.75" customHeight="1">
      <c r="A233" s="146" t="s">
        <v>509</v>
      </c>
      <c r="B233" s="148" t="s">
        <v>511</v>
      </c>
      <c r="C233" s="149"/>
      <c r="D233" s="149"/>
      <c r="E233" s="149"/>
      <c r="F233" s="149">
        <v>200000000</v>
      </c>
      <c r="G233" s="149"/>
      <c r="H233" s="149"/>
      <c r="I233" s="149"/>
      <c r="J233" s="149"/>
      <c r="K233" s="151"/>
      <c r="L233" s="151"/>
      <c r="M233" s="151"/>
      <c r="N233" s="151"/>
      <c r="O233" s="152">
        <f t="shared" si="62"/>
        <v>200000000</v>
      </c>
      <c r="P233" s="147"/>
      <c r="Q233" s="147"/>
    </row>
    <row r="234" spans="1:17" ht="27.75" customHeight="1">
      <c r="A234" s="146" t="s">
        <v>510</v>
      </c>
      <c r="B234" s="148" t="s">
        <v>512</v>
      </c>
      <c r="C234" s="149"/>
      <c r="D234" s="149"/>
      <c r="E234" s="149"/>
      <c r="F234" s="149">
        <v>51015582</v>
      </c>
      <c r="G234" s="149"/>
      <c r="H234" s="149"/>
      <c r="I234" s="149"/>
      <c r="J234" s="149"/>
      <c r="K234" s="151"/>
      <c r="L234" s="151"/>
      <c r="M234" s="151"/>
      <c r="N234" s="151"/>
      <c r="O234" s="152">
        <f t="shared" si="62"/>
        <v>51015582</v>
      </c>
      <c r="P234" s="147"/>
      <c r="Q234" s="147"/>
    </row>
    <row r="235" spans="1:17" ht="27" customHeight="1">
      <c r="A235" s="172" t="s">
        <v>508</v>
      </c>
      <c r="B235" s="173" t="s">
        <v>393</v>
      </c>
      <c r="C235" s="174">
        <f>SUM(C236:C237)</f>
        <v>0</v>
      </c>
      <c r="D235" s="174">
        <f aca="true" t="shared" si="65" ref="D235:M235">SUM(D236:D237)</f>
        <v>0</v>
      </c>
      <c r="E235" s="174">
        <f t="shared" si="65"/>
        <v>0</v>
      </c>
      <c r="F235" s="174">
        <f t="shared" si="65"/>
        <v>3166752</v>
      </c>
      <c r="G235" s="174">
        <f t="shared" si="65"/>
        <v>0</v>
      </c>
      <c r="H235" s="174">
        <f t="shared" si="65"/>
        <v>0</v>
      </c>
      <c r="I235" s="174">
        <f t="shared" si="65"/>
        <v>0</v>
      </c>
      <c r="J235" s="174">
        <f t="shared" si="65"/>
        <v>0</v>
      </c>
      <c r="K235" s="174">
        <f t="shared" si="65"/>
        <v>0</v>
      </c>
      <c r="L235" s="174">
        <f t="shared" si="65"/>
        <v>0</v>
      </c>
      <c r="M235" s="174">
        <f t="shared" si="65"/>
        <v>0</v>
      </c>
      <c r="N235" s="174">
        <f>SUM(N236:N237)</f>
        <v>3166752</v>
      </c>
      <c r="O235" s="175">
        <f>SUM(O236:O237)</f>
        <v>3166752</v>
      </c>
      <c r="P235" s="183">
        <f>+'[1]ING-11'!H80-'[1]GAT-11'!F250</f>
        <v>-2000</v>
      </c>
      <c r="Q235" s="184" t="s">
        <v>259</v>
      </c>
    </row>
    <row r="236" spans="1:17" ht="12.75" customHeight="1">
      <c r="A236" s="153">
        <v>1</v>
      </c>
      <c r="B236" s="148" t="s">
        <v>99</v>
      </c>
      <c r="C236" s="149"/>
      <c r="D236" s="149"/>
      <c r="E236" s="149">
        <f>C236+D236</f>
        <v>0</v>
      </c>
      <c r="F236" s="149">
        <v>3166752</v>
      </c>
      <c r="G236" s="149"/>
      <c r="H236" s="149"/>
      <c r="I236" s="149"/>
      <c r="J236" s="149"/>
      <c r="K236" s="151"/>
      <c r="L236" s="151"/>
      <c r="M236" s="151"/>
      <c r="N236" s="151">
        <f>F236+I236+J236+M236</f>
        <v>3166752</v>
      </c>
      <c r="O236" s="152">
        <f t="shared" si="62"/>
        <v>3166752</v>
      </c>
      <c r="P236" s="147"/>
      <c r="Q236" s="147"/>
    </row>
    <row r="237" spans="1:17" ht="13.5" customHeight="1" thickBot="1">
      <c r="A237" s="159">
        <v>2</v>
      </c>
      <c r="B237" s="160" t="s">
        <v>100</v>
      </c>
      <c r="C237" s="161"/>
      <c r="D237" s="161"/>
      <c r="E237" s="161">
        <f>C237+D237</f>
        <v>0</v>
      </c>
      <c r="F237" s="161"/>
      <c r="G237" s="161"/>
      <c r="H237" s="161"/>
      <c r="I237" s="161"/>
      <c r="J237" s="161"/>
      <c r="K237" s="162"/>
      <c r="L237" s="162"/>
      <c r="M237" s="162"/>
      <c r="N237" s="162">
        <f>F237+I237+J237+M237</f>
        <v>0</v>
      </c>
      <c r="O237" s="152">
        <f t="shared" si="62"/>
        <v>0</v>
      </c>
      <c r="P237" s="147"/>
      <c r="Q237" s="147"/>
    </row>
    <row r="238" spans="2:17" ht="15">
      <c r="B238" s="57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5"/>
      <c r="Q238" s="105"/>
    </row>
    <row r="239" spans="2:17" ht="15">
      <c r="B239" s="57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10"/>
      <c r="Q239" s="110"/>
    </row>
    <row r="240" spans="2:17" ht="15">
      <c r="B240" s="57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10"/>
      <c r="Q240" s="110"/>
    </row>
    <row r="241" spans="2:17" ht="15">
      <c r="B241" s="57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10"/>
      <c r="Q241" s="110"/>
    </row>
    <row r="242" spans="2:17" ht="15">
      <c r="B242" s="57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10"/>
      <c r="Q242" s="110"/>
    </row>
    <row r="243" spans="2:17" ht="15">
      <c r="B243" s="57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10"/>
      <c r="Q243" s="110"/>
    </row>
    <row r="244" spans="1:17" ht="15">
      <c r="A244" s="232"/>
      <c r="B244" s="232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110"/>
      <c r="Q244" s="110"/>
    </row>
    <row r="245" spans="1:17" ht="15">
      <c r="A245" s="232" t="s">
        <v>460</v>
      </c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110"/>
      <c r="Q245" s="110"/>
    </row>
    <row r="246" spans="2:17" ht="15.75" thickBot="1">
      <c r="B246" s="112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10"/>
      <c r="Q246" s="110"/>
    </row>
    <row r="247" spans="1:17" ht="15">
      <c r="A247" s="113" t="s">
        <v>394</v>
      </c>
      <c r="B247" s="114" t="s">
        <v>2</v>
      </c>
      <c r="C247" s="115" t="s">
        <v>6</v>
      </c>
      <c r="D247" s="226" t="s">
        <v>461</v>
      </c>
      <c r="E247" s="227"/>
      <c r="F247" s="227"/>
      <c r="G247" s="227"/>
      <c r="H247" s="227"/>
      <c r="I247" s="227"/>
      <c r="J247" s="227"/>
      <c r="K247" s="227"/>
      <c r="L247" s="227"/>
      <c r="M247" s="228"/>
      <c r="N247" s="115"/>
      <c r="O247" s="115" t="s">
        <v>16</v>
      </c>
      <c r="P247" s="116" t="s">
        <v>395</v>
      </c>
      <c r="Q247" s="110"/>
    </row>
    <row r="248" spans="1:17" ht="15.75" thickBot="1">
      <c r="A248" s="117"/>
      <c r="B248" s="118"/>
      <c r="C248" s="196" t="s">
        <v>13</v>
      </c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20"/>
      <c r="O248" s="119" t="s">
        <v>396</v>
      </c>
      <c r="P248" s="111" t="e">
        <f>+'[1]ING-11'!#REF!</f>
        <v>#REF!</v>
      </c>
      <c r="Q248" s="110"/>
    </row>
    <row r="249" spans="1:17" ht="15">
      <c r="A249" s="121">
        <v>4</v>
      </c>
      <c r="B249" s="122" t="s">
        <v>397</v>
      </c>
      <c r="C249" s="123">
        <f>+C250</f>
        <v>136567394</v>
      </c>
      <c r="D249" s="123">
        <f aca="true" t="shared" si="66" ref="D249:O249">+D250</f>
        <v>0</v>
      </c>
      <c r="E249" s="123">
        <f t="shared" si="66"/>
        <v>0</v>
      </c>
      <c r="F249" s="123">
        <f t="shared" si="66"/>
        <v>0</v>
      </c>
      <c r="G249" s="123">
        <f t="shared" si="66"/>
        <v>0</v>
      </c>
      <c r="H249" s="123"/>
      <c r="I249" s="123">
        <f t="shared" si="66"/>
        <v>0</v>
      </c>
      <c r="J249" s="123">
        <f t="shared" si="66"/>
        <v>0</v>
      </c>
      <c r="K249" s="123">
        <f t="shared" si="66"/>
        <v>0</v>
      </c>
      <c r="L249" s="123">
        <f t="shared" si="66"/>
        <v>0</v>
      </c>
      <c r="M249" s="123">
        <f t="shared" si="66"/>
        <v>0</v>
      </c>
      <c r="N249" s="123">
        <f t="shared" si="66"/>
        <v>0</v>
      </c>
      <c r="O249" s="123">
        <f t="shared" si="66"/>
        <v>136567394</v>
      </c>
      <c r="P249" s="77" t="e">
        <f>+P248-O249</f>
        <v>#REF!</v>
      </c>
      <c r="Q249" s="78" t="s">
        <v>398</v>
      </c>
    </row>
    <row r="250" spans="1:17" ht="15">
      <c r="A250" s="124">
        <v>4.1</v>
      </c>
      <c r="B250" s="125" t="s">
        <v>399</v>
      </c>
      <c r="C250" s="126">
        <f>+C251+C260+C274+C279+C286+C288</f>
        <v>136567394</v>
      </c>
      <c r="D250" s="126">
        <f aca="true" t="shared" si="67" ref="D250:O250">+D251+D260+D274+D279+D286+D288</f>
        <v>0</v>
      </c>
      <c r="E250" s="126">
        <f t="shared" si="67"/>
        <v>0</v>
      </c>
      <c r="F250" s="126">
        <f t="shared" si="67"/>
        <v>0</v>
      </c>
      <c r="G250" s="126">
        <f t="shared" si="67"/>
        <v>0</v>
      </c>
      <c r="H250" s="126"/>
      <c r="I250" s="126">
        <f t="shared" si="67"/>
        <v>0</v>
      </c>
      <c r="J250" s="126">
        <f t="shared" si="67"/>
        <v>0</v>
      </c>
      <c r="K250" s="126">
        <f t="shared" si="67"/>
        <v>0</v>
      </c>
      <c r="L250" s="126">
        <f t="shared" si="67"/>
        <v>0</v>
      </c>
      <c r="M250" s="126">
        <f t="shared" si="67"/>
        <v>0</v>
      </c>
      <c r="N250" s="126">
        <f t="shared" si="67"/>
        <v>0</v>
      </c>
      <c r="O250" s="126">
        <f t="shared" si="67"/>
        <v>136567394</v>
      </c>
      <c r="P250" s="110"/>
      <c r="Q250" s="110"/>
    </row>
    <row r="251" spans="1:17" ht="15">
      <c r="A251" s="124" t="s">
        <v>400</v>
      </c>
      <c r="B251" s="125" t="s">
        <v>401</v>
      </c>
      <c r="C251" s="126">
        <f>SUM(C252:C259)</f>
        <v>25185852</v>
      </c>
      <c r="D251" s="126">
        <f aca="true" t="shared" si="68" ref="D251:O251">SUM(D252:D259)</f>
        <v>0</v>
      </c>
      <c r="E251" s="126">
        <f t="shared" si="68"/>
        <v>0</v>
      </c>
      <c r="F251" s="126">
        <f t="shared" si="68"/>
        <v>0</v>
      </c>
      <c r="G251" s="126">
        <f t="shared" si="68"/>
        <v>0</v>
      </c>
      <c r="H251" s="126"/>
      <c r="I251" s="126">
        <f t="shared" si="68"/>
        <v>0</v>
      </c>
      <c r="J251" s="126">
        <f t="shared" si="68"/>
        <v>0</v>
      </c>
      <c r="K251" s="126">
        <f t="shared" si="68"/>
        <v>0</v>
      </c>
      <c r="L251" s="126">
        <f t="shared" si="68"/>
        <v>0</v>
      </c>
      <c r="M251" s="126">
        <f t="shared" si="68"/>
        <v>0</v>
      </c>
      <c r="N251" s="126">
        <f t="shared" si="68"/>
        <v>0</v>
      </c>
      <c r="O251" s="126">
        <f t="shared" si="68"/>
        <v>25185852</v>
      </c>
      <c r="P251" s="110"/>
      <c r="Q251" s="110"/>
    </row>
    <row r="252" spans="1:17" ht="15">
      <c r="A252" s="128"/>
      <c r="B252" s="129" t="s">
        <v>402</v>
      </c>
      <c r="C252" s="130">
        <f>1720071*12</f>
        <v>20640852</v>
      </c>
      <c r="D252" s="106"/>
      <c r="E252" s="106"/>
      <c r="F252" s="106"/>
      <c r="G252" s="106"/>
      <c r="H252" s="106"/>
      <c r="I252" s="106"/>
      <c r="J252" s="106"/>
      <c r="K252" s="107"/>
      <c r="L252" s="107"/>
      <c r="M252" s="107"/>
      <c r="N252" s="107"/>
      <c r="O252" s="108">
        <f aca="true" t="shared" si="69" ref="O252:O259">SUM(C252:J252)</f>
        <v>20640852</v>
      </c>
      <c r="P252" s="110">
        <f>67985337*6%+67985337</f>
        <v>72064457.22</v>
      </c>
      <c r="Q252" s="110">
        <f>50000*12*8</f>
        <v>4800000</v>
      </c>
    </row>
    <row r="253" spans="1:17" ht="15">
      <c r="A253" s="128"/>
      <c r="B253" s="129" t="s">
        <v>403</v>
      </c>
      <c r="C253" s="130">
        <v>1950000</v>
      </c>
      <c r="D253" s="106"/>
      <c r="E253" s="106"/>
      <c r="F253" s="106"/>
      <c r="G253" s="106"/>
      <c r="H253" s="106"/>
      <c r="I253" s="106"/>
      <c r="J253" s="106"/>
      <c r="K253" s="107"/>
      <c r="L253" s="107"/>
      <c r="M253" s="107"/>
      <c r="N253" s="107"/>
      <c r="O253" s="108">
        <f t="shared" si="69"/>
        <v>1950000</v>
      </c>
      <c r="P253" s="110">
        <f>7300000*12/12</f>
        <v>7300000</v>
      </c>
      <c r="Q253" s="110"/>
    </row>
    <row r="254" spans="1:17" ht="15">
      <c r="A254" s="128"/>
      <c r="B254" s="129" t="s">
        <v>492</v>
      </c>
      <c r="C254" s="130">
        <f>80000*12</f>
        <v>960000</v>
      </c>
      <c r="D254" s="106"/>
      <c r="E254" s="106"/>
      <c r="F254" s="106"/>
      <c r="G254" s="106"/>
      <c r="H254" s="106"/>
      <c r="I254" s="106"/>
      <c r="J254" s="106"/>
      <c r="K254" s="107"/>
      <c r="L254" s="107"/>
      <c r="M254" s="107"/>
      <c r="N254" s="107"/>
      <c r="O254" s="108">
        <f t="shared" si="69"/>
        <v>960000</v>
      </c>
      <c r="P254" s="110"/>
      <c r="Q254" s="110"/>
    </row>
    <row r="255" spans="1:17" ht="15">
      <c r="A255" s="128"/>
      <c r="B255" s="129" t="s">
        <v>404</v>
      </c>
      <c r="C255" s="130">
        <v>500000</v>
      </c>
      <c r="D255" s="106"/>
      <c r="E255" s="106"/>
      <c r="F255" s="106"/>
      <c r="G255" s="106"/>
      <c r="H255" s="106"/>
      <c r="I255" s="106"/>
      <c r="J255" s="106"/>
      <c r="K255" s="107"/>
      <c r="L255" s="107"/>
      <c r="M255" s="107"/>
      <c r="N255" s="107"/>
      <c r="O255" s="108">
        <f t="shared" si="69"/>
        <v>500000</v>
      </c>
      <c r="P255" s="110">
        <f>P253/2</f>
        <v>3650000</v>
      </c>
      <c r="Q255" s="110"/>
    </row>
    <row r="256" spans="1:17" ht="15">
      <c r="A256" s="128"/>
      <c r="B256" s="129" t="s">
        <v>405</v>
      </c>
      <c r="C256" s="130">
        <v>960000</v>
      </c>
      <c r="D256" s="106"/>
      <c r="E256" s="106"/>
      <c r="F256" s="106"/>
      <c r="G256" s="106"/>
      <c r="H256" s="106"/>
      <c r="I256" s="106"/>
      <c r="J256" s="106"/>
      <c r="K256" s="107"/>
      <c r="L256" s="107"/>
      <c r="M256" s="107"/>
      <c r="N256" s="107"/>
      <c r="O256" s="108">
        <f t="shared" si="69"/>
        <v>960000</v>
      </c>
      <c r="P256" s="110"/>
      <c r="Q256" s="110"/>
    </row>
    <row r="257" spans="1:17" ht="15">
      <c r="A257" s="128"/>
      <c r="B257" s="129" t="s">
        <v>406</v>
      </c>
      <c r="C257" s="130">
        <v>0</v>
      </c>
      <c r="D257" s="106"/>
      <c r="E257" s="106"/>
      <c r="F257" s="106"/>
      <c r="G257" s="106"/>
      <c r="H257" s="106"/>
      <c r="I257" s="106"/>
      <c r="J257" s="106"/>
      <c r="K257" s="107"/>
      <c r="L257" s="107"/>
      <c r="M257" s="107"/>
      <c r="N257" s="107"/>
      <c r="O257" s="108">
        <f t="shared" si="69"/>
        <v>0</v>
      </c>
      <c r="P257" s="110"/>
      <c r="Q257" s="110"/>
    </row>
    <row r="258" spans="1:17" ht="15">
      <c r="A258" s="128"/>
      <c r="B258" s="129" t="s">
        <v>407</v>
      </c>
      <c r="C258" s="130">
        <v>0</v>
      </c>
      <c r="D258" s="106"/>
      <c r="E258" s="106"/>
      <c r="F258" s="106"/>
      <c r="G258" s="106"/>
      <c r="H258" s="106"/>
      <c r="I258" s="106"/>
      <c r="J258" s="106"/>
      <c r="K258" s="107"/>
      <c r="L258" s="107"/>
      <c r="M258" s="107"/>
      <c r="N258" s="107"/>
      <c r="O258" s="108">
        <f t="shared" si="69"/>
        <v>0</v>
      </c>
      <c r="P258" s="110"/>
      <c r="Q258" s="110"/>
    </row>
    <row r="259" spans="1:17" ht="15">
      <c r="A259" s="128"/>
      <c r="B259" s="129" t="s">
        <v>201</v>
      </c>
      <c r="C259" s="130">
        <v>175000</v>
      </c>
      <c r="D259" s="106"/>
      <c r="E259" s="106"/>
      <c r="F259" s="106"/>
      <c r="G259" s="106"/>
      <c r="H259" s="106"/>
      <c r="I259" s="106"/>
      <c r="J259" s="106"/>
      <c r="K259" s="107"/>
      <c r="L259" s="107"/>
      <c r="M259" s="107"/>
      <c r="N259" s="107"/>
      <c r="O259" s="108">
        <f t="shared" si="69"/>
        <v>175000</v>
      </c>
      <c r="P259" s="110"/>
      <c r="Q259" s="110"/>
    </row>
    <row r="260" spans="1:17" ht="15">
      <c r="A260" s="124" t="s">
        <v>408</v>
      </c>
      <c r="B260" s="125" t="s">
        <v>210</v>
      </c>
      <c r="C260" s="126">
        <f>SUM(C261:C273)</f>
        <v>83742470</v>
      </c>
      <c r="D260" s="126">
        <f>SUM(D261:D272)</f>
        <v>0</v>
      </c>
      <c r="E260" s="126"/>
      <c r="F260" s="126">
        <f>SUM(F261:F272)</f>
        <v>0</v>
      </c>
      <c r="G260" s="126"/>
      <c r="H260" s="126"/>
      <c r="I260" s="126"/>
      <c r="J260" s="126">
        <f>SUM(J261:J272)</f>
        <v>0</v>
      </c>
      <c r="K260" s="126"/>
      <c r="L260" s="126"/>
      <c r="M260" s="126"/>
      <c r="N260" s="126"/>
      <c r="O260" s="127">
        <f>SUM(O261:O273)</f>
        <v>83742470</v>
      </c>
      <c r="P260" s="110"/>
      <c r="Q260" s="110"/>
    </row>
    <row r="261" spans="1:17" ht="15">
      <c r="A261" s="128"/>
      <c r="B261" s="129" t="s">
        <v>409</v>
      </c>
      <c r="C261" s="130">
        <v>500000</v>
      </c>
      <c r="D261" s="104"/>
      <c r="E261" s="104"/>
      <c r="F261" s="104"/>
      <c r="G261" s="104"/>
      <c r="H261" s="104"/>
      <c r="I261" s="104"/>
      <c r="J261" s="104"/>
      <c r="K261" s="131"/>
      <c r="L261" s="131"/>
      <c r="M261" s="131"/>
      <c r="N261" s="131"/>
      <c r="O261" s="108">
        <f aca="true" t="shared" si="70" ref="O261:O273">SUM(C261:J261)</f>
        <v>500000</v>
      </c>
      <c r="P261" s="110"/>
      <c r="Q261" s="110"/>
    </row>
    <row r="262" spans="1:17" ht="15">
      <c r="A262" s="128"/>
      <c r="B262" s="129" t="s">
        <v>410</v>
      </c>
      <c r="C262" s="130">
        <v>1000000</v>
      </c>
      <c r="D262" s="104"/>
      <c r="E262" s="104"/>
      <c r="F262" s="104"/>
      <c r="G262" s="104"/>
      <c r="H262" s="104"/>
      <c r="I262" s="104"/>
      <c r="J262" s="104"/>
      <c r="K262" s="131"/>
      <c r="L262" s="131"/>
      <c r="M262" s="131"/>
      <c r="N262" s="131"/>
      <c r="O262" s="108">
        <f t="shared" si="70"/>
        <v>1000000</v>
      </c>
      <c r="P262" s="110"/>
      <c r="Q262" s="110"/>
    </row>
    <row r="263" spans="1:17" ht="15">
      <c r="A263" s="132"/>
      <c r="B263" s="129" t="s">
        <v>411</v>
      </c>
      <c r="C263" s="130">
        <v>500000</v>
      </c>
      <c r="D263" s="104"/>
      <c r="E263" s="104"/>
      <c r="F263" s="104"/>
      <c r="G263" s="104"/>
      <c r="H263" s="104"/>
      <c r="I263" s="104"/>
      <c r="J263" s="104"/>
      <c r="K263" s="131"/>
      <c r="L263" s="131"/>
      <c r="M263" s="131"/>
      <c r="N263" s="131"/>
      <c r="O263" s="108">
        <f t="shared" si="70"/>
        <v>500000</v>
      </c>
      <c r="P263" s="110"/>
      <c r="Q263" s="110"/>
    </row>
    <row r="264" spans="1:17" ht="15">
      <c r="A264" s="132"/>
      <c r="B264" s="129" t="s">
        <v>412</v>
      </c>
      <c r="C264" s="130">
        <v>0</v>
      </c>
      <c r="D264" s="104"/>
      <c r="E264" s="104"/>
      <c r="F264" s="104"/>
      <c r="G264" s="104"/>
      <c r="H264" s="104"/>
      <c r="I264" s="104"/>
      <c r="J264" s="104"/>
      <c r="K264" s="131"/>
      <c r="L264" s="131"/>
      <c r="M264" s="131"/>
      <c r="N264" s="131"/>
      <c r="O264" s="108">
        <f t="shared" si="70"/>
        <v>0</v>
      </c>
      <c r="P264" s="110"/>
      <c r="Q264" s="110"/>
    </row>
    <row r="265" spans="1:17" ht="15">
      <c r="A265" s="132"/>
      <c r="B265" s="129" t="s">
        <v>413</v>
      </c>
      <c r="C265" s="130">
        <v>500000</v>
      </c>
      <c r="D265" s="104"/>
      <c r="E265" s="104"/>
      <c r="F265" s="104"/>
      <c r="G265" s="104"/>
      <c r="H265" s="104"/>
      <c r="I265" s="104"/>
      <c r="J265" s="104"/>
      <c r="K265" s="131"/>
      <c r="L265" s="131"/>
      <c r="M265" s="131"/>
      <c r="N265" s="131"/>
      <c r="O265" s="108">
        <f t="shared" si="70"/>
        <v>500000</v>
      </c>
      <c r="P265" s="110"/>
      <c r="Q265" s="110"/>
    </row>
    <row r="266" spans="1:17" ht="15">
      <c r="A266" s="132"/>
      <c r="B266" s="129" t="s">
        <v>414</v>
      </c>
      <c r="C266" s="130">
        <v>0</v>
      </c>
      <c r="D266" s="104"/>
      <c r="E266" s="104"/>
      <c r="F266" s="104"/>
      <c r="G266" s="104"/>
      <c r="H266" s="104"/>
      <c r="I266" s="104"/>
      <c r="J266" s="104"/>
      <c r="K266" s="131"/>
      <c r="L266" s="131"/>
      <c r="M266" s="131"/>
      <c r="N266" s="131"/>
      <c r="O266" s="108">
        <f t="shared" si="70"/>
        <v>0</v>
      </c>
      <c r="P266" s="110"/>
      <c r="Q266" s="110"/>
    </row>
    <row r="267" spans="1:17" ht="15">
      <c r="A267" s="132"/>
      <c r="B267" s="129" t="s">
        <v>415</v>
      </c>
      <c r="C267" s="130">
        <v>500000</v>
      </c>
      <c r="D267" s="104"/>
      <c r="E267" s="104"/>
      <c r="F267" s="104"/>
      <c r="G267" s="104"/>
      <c r="H267" s="104"/>
      <c r="I267" s="104"/>
      <c r="J267" s="104"/>
      <c r="K267" s="131"/>
      <c r="L267" s="131"/>
      <c r="M267" s="131"/>
      <c r="N267" s="131"/>
      <c r="O267" s="108">
        <f t="shared" si="70"/>
        <v>500000</v>
      </c>
      <c r="P267" s="110"/>
      <c r="Q267" s="110"/>
    </row>
    <row r="268" spans="1:17" ht="15">
      <c r="A268" s="132"/>
      <c r="B268" s="129" t="s">
        <v>416</v>
      </c>
      <c r="C268" s="130">
        <v>20000000</v>
      </c>
      <c r="D268" s="104"/>
      <c r="E268" s="104"/>
      <c r="F268" s="104"/>
      <c r="G268" s="104"/>
      <c r="H268" s="104"/>
      <c r="I268" s="104"/>
      <c r="J268" s="104"/>
      <c r="K268" s="131"/>
      <c r="L268" s="131"/>
      <c r="M268" s="131"/>
      <c r="N268" s="131"/>
      <c r="O268" s="108">
        <f t="shared" si="70"/>
        <v>20000000</v>
      </c>
      <c r="P268" s="110"/>
      <c r="Q268" s="110"/>
    </row>
    <row r="269" spans="1:17" ht="15">
      <c r="A269" s="132"/>
      <c r="B269" s="129" t="s">
        <v>417</v>
      </c>
      <c r="C269" s="130">
        <v>20000000</v>
      </c>
      <c r="D269" s="104"/>
      <c r="E269" s="104"/>
      <c r="F269" s="104"/>
      <c r="G269" s="104"/>
      <c r="H269" s="104"/>
      <c r="I269" s="104"/>
      <c r="J269" s="104"/>
      <c r="K269" s="131"/>
      <c r="L269" s="131"/>
      <c r="M269" s="131"/>
      <c r="N269" s="131"/>
      <c r="O269" s="108">
        <f t="shared" si="70"/>
        <v>20000000</v>
      </c>
      <c r="P269" s="110"/>
      <c r="Q269" s="110"/>
    </row>
    <row r="270" spans="1:17" ht="15">
      <c r="A270" s="128"/>
      <c r="B270" s="133" t="s">
        <v>493</v>
      </c>
      <c r="C270" s="134">
        <v>4000000</v>
      </c>
      <c r="D270" s="135"/>
      <c r="E270" s="135"/>
      <c r="F270" s="135"/>
      <c r="G270" s="135"/>
      <c r="H270" s="135"/>
      <c r="I270" s="135"/>
      <c r="J270" s="135"/>
      <c r="K270" s="136"/>
      <c r="L270" s="136"/>
      <c r="M270" s="136"/>
      <c r="N270" s="136"/>
      <c r="O270" s="108">
        <f t="shared" si="70"/>
        <v>4000000</v>
      </c>
      <c r="P270" s="110"/>
      <c r="Q270" s="110"/>
    </row>
    <row r="271" spans="1:17" ht="15">
      <c r="A271" s="128"/>
      <c r="B271" s="137" t="s">
        <v>418</v>
      </c>
      <c r="C271" s="130">
        <v>500000</v>
      </c>
      <c r="D271" s="106"/>
      <c r="E271" s="106"/>
      <c r="F271" s="106"/>
      <c r="G271" s="106"/>
      <c r="H271" s="106"/>
      <c r="I271" s="106"/>
      <c r="J271" s="106"/>
      <c r="K271" s="107"/>
      <c r="L271" s="107"/>
      <c r="M271" s="107"/>
      <c r="N271" s="107"/>
      <c r="O271" s="108">
        <f t="shared" si="70"/>
        <v>500000</v>
      </c>
      <c r="P271" s="110"/>
      <c r="Q271" s="110"/>
    </row>
    <row r="272" spans="1:17" ht="31.5" customHeight="1">
      <c r="A272" s="138"/>
      <c r="B272" s="200" t="s">
        <v>506</v>
      </c>
      <c r="C272" s="134">
        <v>25000000</v>
      </c>
      <c r="D272" s="135"/>
      <c r="E272" s="135"/>
      <c r="F272" s="135"/>
      <c r="G272" s="135"/>
      <c r="H272" s="135"/>
      <c r="I272" s="135"/>
      <c r="J272" s="135"/>
      <c r="K272" s="136"/>
      <c r="L272" s="136"/>
      <c r="M272" s="136"/>
      <c r="N272" s="136"/>
      <c r="O272" s="108">
        <f t="shared" si="70"/>
        <v>25000000</v>
      </c>
      <c r="P272" s="110"/>
      <c r="Q272" s="110"/>
    </row>
    <row r="273" spans="1:17" ht="31.5" customHeight="1">
      <c r="A273" s="138"/>
      <c r="B273" s="200" t="s">
        <v>522</v>
      </c>
      <c r="C273" s="134">
        <v>11242470</v>
      </c>
      <c r="D273" s="135"/>
      <c r="E273" s="135"/>
      <c r="F273" s="135"/>
      <c r="G273" s="135"/>
      <c r="H273" s="135"/>
      <c r="I273" s="135"/>
      <c r="J273" s="135"/>
      <c r="K273" s="136"/>
      <c r="L273" s="136"/>
      <c r="M273" s="136"/>
      <c r="N273" s="136"/>
      <c r="O273" s="108">
        <f t="shared" si="70"/>
        <v>11242470</v>
      </c>
      <c r="P273" s="110"/>
      <c r="Q273" s="110"/>
    </row>
    <row r="274" spans="1:17" ht="15">
      <c r="A274" s="124" t="s">
        <v>419</v>
      </c>
      <c r="B274" s="139" t="s">
        <v>420</v>
      </c>
      <c r="C274" s="126">
        <f>SUM(C275:C278)</f>
        <v>4057440</v>
      </c>
      <c r="D274" s="126">
        <f>SUM(D275:D278)</f>
        <v>0</v>
      </c>
      <c r="E274" s="126"/>
      <c r="F274" s="126">
        <f>SUM(F275:F278)</f>
        <v>0</v>
      </c>
      <c r="G274" s="126"/>
      <c r="H274" s="126"/>
      <c r="I274" s="126"/>
      <c r="J274" s="126">
        <f>SUM(J275:J278)</f>
        <v>0</v>
      </c>
      <c r="K274" s="126"/>
      <c r="L274" s="126"/>
      <c r="M274" s="126"/>
      <c r="N274" s="126"/>
      <c r="O274" s="127">
        <f>SUM(O275:O278)</f>
        <v>4057440</v>
      </c>
      <c r="P274" s="110"/>
      <c r="Q274" s="110"/>
    </row>
    <row r="275" spans="1:17" ht="15">
      <c r="A275" s="128"/>
      <c r="B275" s="140" t="s">
        <v>421</v>
      </c>
      <c r="C275" s="141">
        <f>135987*12</f>
        <v>1631844</v>
      </c>
      <c r="D275" s="106"/>
      <c r="E275" s="106"/>
      <c r="F275" s="106"/>
      <c r="G275" s="106"/>
      <c r="H275" s="106"/>
      <c r="I275" s="106"/>
      <c r="J275" s="106"/>
      <c r="K275" s="107"/>
      <c r="L275" s="107"/>
      <c r="M275" s="107"/>
      <c r="N275" s="107"/>
      <c r="O275" s="108">
        <f>SUM(C275:J275)</f>
        <v>1631844</v>
      </c>
      <c r="P275" s="110"/>
      <c r="Q275" s="110"/>
    </row>
    <row r="276" spans="1:17" ht="15">
      <c r="A276" s="128"/>
      <c r="B276" s="129" t="s">
        <v>422</v>
      </c>
      <c r="C276" s="130">
        <f>193297*12</f>
        <v>2319564</v>
      </c>
      <c r="D276" s="106"/>
      <c r="E276" s="106"/>
      <c r="F276" s="106"/>
      <c r="G276" s="106"/>
      <c r="H276" s="106"/>
      <c r="I276" s="106"/>
      <c r="J276" s="106"/>
      <c r="K276" s="107"/>
      <c r="L276" s="107"/>
      <c r="M276" s="107"/>
      <c r="N276" s="107"/>
      <c r="O276" s="108">
        <f>SUM(C276:J276)</f>
        <v>2319564</v>
      </c>
      <c r="P276" s="110"/>
      <c r="Q276" s="110"/>
    </row>
    <row r="277" spans="1:17" ht="15">
      <c r="A277" s="128"/>
      <c r="B277" s="129" t="s">
        <v>423</v>
      </c>
      <c r="C277" s="130">
        <f>8836*12</f>
        <v>106032</v>
      </c>
      <c r="D277" s="106"/>
      <c r="E277" s="106"/>
      <c r="F277" s="106"/>
      <c r="G277" s="106"/>
      <c r="H277" s="106"/>
      <c r="I277" s="106"/>
      <c r="J277" s="106"/>
      <c r="K277" s="107"/>
      <c r="L277" s="107"/>
      <c r="M277" s="107"/>
      <c r="N277" s="107"/>
      <c r="O277" s="108">
        <f>SUM(C277:J277)</f>
        <v>106032</v>
      </c>
      <c r="P277" s="110"/>
      <c r="Q277" s="110"/>
    </row>
    <row r="278" spans="1:17" ht="15">
      <c r="A278" s="128"/>
      <c r="B278" s="129"/>
      <c r="C278" s="130"/>
      <c r="D278" s="106"/>
      <c r="E278" s="106"/>
      <c r="F278" s="106"/>
      <c r="G278" s="106"/>
      <c r="H278" s="106"/>
      <c r="I278" s="106"/>
      <c r="J278" s="106"/>
      <c r="K278" s="107"/>
      <c r="L278" s="107"/>
      <c r="M278" s="107"/>
      <c r="N278" s="107"/>
      <c r="O278" s="108">
        <f>SUM(C278:J278)</f>
        <v>0</v>
      </c>
      <c r="P278" s="110"/>
      <c r="Q278" s="110"/>
    </row>
    <row r="279" spans="1:17" ht="15">
      <c r="A279" s="124" t="s">
        <v>424</v>
      </c>
      <c r="B279" s="125" t="s">
        <v>203</v>
      </c>
      <c r="C279" s="126">
        <f>SUM(C280:C285)</f>
        <v>1831632</v>
      </c>
      <c r="D279" s="126">
        <f>SUM(D280:D285)</f>
        <v>0</v>
      </c>
      <c r="E279" s="126"/>
      <c r="F279" s="126">
        <f>SUM(F280:F285)</f>
        <v>0</v>
      </c>
      <c r="G279" s="126"/>
      <c r="H279" s="126"/>
      <c r="I279" s="126"/>
      <c r="J279" s="126">
        <f>SUM(J280:J285)</f>
        <v>0</v>
      </c>
      <c r="K279" s="126"/>
      <c r="L279" s="126"/>
      <c r="M279" s="126"/>
      <c r="N279" s="126"/>
      <c r="O279" s="127">
        <f>SUM(O280:O285)</f>
        <v>1831632</v>
      </c>
      <c r="P279" s="110"/>
      <c r="Q279" s="110"/>
    </row>
    <row r="280" spans="1:17" ht="15">
      <c r="A280" s="128"/>
      <c r="B280" s="129" t="s">
        <v>425</v>
      </c>
      <c r="C280" s="130">
        <f>67839*12</f>
        <v>814068</v>
      </c>
      <c r="D280" s="106"/>
      <c r="E280" s="106"/>
      <c r="F280" s="106"/>
      <c r="G280" s="106"/>
      <c r="H280" s="106"/>
      <c r="I280" s="106"/>
      <c r="J280" s="106"/>
      <c r="K280" s="107"/>
      <c r="L280" s="107"/>
      <c r="M280" s="107"/>
      <c r="N280" s="107"/>
      <c r="O280" s="108">
        <f aca="true" t="shared" si="71" ref="O280:O285">SUM(C280:J280)</f>
        <v>814068</v>
      </c>
      <c r="P280" s="110"/>
      <c r="Q280" s="110"/>
    </row>
    <row r="281" spans="1:17" ht="15">
      <c r="A281" s="128"/>
      <c r="B281" s="129" t="s">
        <v>426</v>
      </c>
      <c r="C281" s="130">
        <f>50881*12</f>
        <v>610572</v>
      </c>
      <c r="D281" s="106"/>
      <c r="E281" s="106"/>
      <c r="F281" s="106"/>
      <c r="G281" s="106"/>
      <c r="H281" s="106"/>
      <c r="I281" s="106"/>
      <c r="J281" s="106"/>
      <c r="K281" s="107"/>
      <c r="L281" s="107"/>
      <c r="M281" s="107"/>
      <c r="N281" s="107"/>
      <c r="O281" s="108">
        <f t="shared" si="71"/>
        <v>610572</v>
      </c>
      <c r="P281" s="110"/>
      <c r="Q281" s="110"/>
    </row>
    <row r="282" spans="1:17" ht="15">
      <c r="A282" s="128"/>
      <c r="B282" s="129" t="s">
        <v>427</v>
      </c>
      <c r="C282" s="130">
        <f>8479*12</f>
        <v>101748</v>
      </c>
      <c r="D282" s="106"/>
      <c r="E282" s="106"/>
      <c r="F282" s="106"/>
      <c r="G282" s="106"/>
      <c r="H282" s="106"/>
      <c r="I282" s="106"/>
      <c r="J282" s="106"/>
      <c r="K282" s="107"/>
      <c r="L282" s="107"/>
      <c r="M282" s="107"/>
      <c r="N282" s="107"/>
      <c r="O282" s="108">
        <f t="shared" si="71"/>
        <v>101748</v>
      </c>
      <c r="P282" s="110"/>
      <c r="Q282" s="110"/>
    </row>
    <row r="283" spans="1:17" ht="15">
      <c r="A283" s="128"/>
      <c r="B283" s="129" t="s">
        <v>428</v>
      </c>
      <c r="C283" s="130">
        <f>16958*12</f>
        <v>203496</v>
      </c>
      <c r="D283" s="106"/>
      <c r="E283" s="106"/>
      <c r="F283" s="106"/>
      <c r="G283" s="106"/>
      <c r="H283" s="106"/>
      <c r="I283" s="106"/>
      <c r="J283" s="106"/>
      <c r="K283" s="107"/>
      <c r="L283" s="107"/>
      <c r="M283" s="107"/>
      <c r="N283" s="107"/>
      <c r="O283" s="108">
        <f t="shared" si="71"/>
        <v>203496</v>
      </c>
      <c r="P283" s="110"/>
      <c r="Q283" s="110"/>
    </row>
    <row r="284" spans="1:17" ht="15">
      <c r="A284" s="128"/>
      <c r="B284" s="129" t="s">
        <v>429</v>
      </c>
      <c r="C284" s="130">
        <f>8479*12</f>
        <v>101748</v>
      </c>
      <c r="D284" s="106"/>
      <c r="E284" s="106"/>
      <c r="F284" s="106"/>
      <c r="G284" s="106"/>
      <c r="H284" s="106"/>
      <c r="I284" s="106"/>
      <c r="J284" s="106"/>
      <c r="K284" s="107"/>
      <c r="L284" s="107"/>
      <c r="M284" s="107"/>
      <c r="N284" s="107"/>
      <c r="O284" s="108">
        <f t="shared" si="71"/>
        <v>101748</v>
      </c>
      <c r="P284" s="110"/>
      <c r="Q284" s="110"/>
    </row>
    <row r="285" spans="1:17" ht="15">
      <c r="A285" s="128"/>
      <c r="B285" s="129"/>
      <c r="C285" s="130"/>
      <c r="D285" s="106"/>
      <c r="E285" s="106"/>
      <c r="F285" s="106"/>
      <c r="G285" s="106"/>
      <c r="H285" s="106"/>
      <c r="I285" s="106"/>
      <c r="J285" s="106"/>
      <c r="K285" s="107"/>
      <c r="L285" s="107"/>
      <c r="M285" s="107"/>
      <c r="N285" s="107"/>
      <c r="O285" s="108">
        <f t="shared" si="71"/>
        <v>0</v>
      </c>
      <c r="P285" s="110"/>
      <c r="Q285" s="110"/>
    </row>
    <row r="286" spans="1:17" ht="15">
      <c r="A286" s="142" t="s">
        <v>430</v>
      </c>
      <c r="B286" s="143" t="s">
        <v>431</v>
      </c>
      <c r="C286" s="144">
        <f>SUM(C287:C287)</f>
        <v>1750000</v>
      </c>
      <c r="D286" s="144">
        <f>SUM(D287:D287)</f>
        <v>0</v>
      </c>
      <c r="E286" s="144"/>
      <c r="F286" s="144">
        <f>SUM(F287:F287)</f>
        <v>0</v>
      </c>
      <c r="G286" s="144">
        <v>0</v>
      </c>
      <c r="H286" s="144"/>
      <c r="I286" s="144">
        <v>0</v>
      </c>
      <c r="J286" s="144">
        <f>SUM(J287:J287)</f>
        <v>0</v>
      </c>
      <c r="K286" s="144">
        <v>0</v>
      </c>
      <c r="L286" s="144">
        <v>0</v>
      </c>
      <c r="M286" s="144">
        <v>0</v>
      </c>
      <c r="N286" s="144"/>
      <c r="O286" s="145">
        <f>SUM(O287:O287)</f>
        <v>1750000</v>
      </c>
      <c r="P286" s="110"/>
      <c r="Q286" s="110"/>
    </row>
    <row r="287" spans="1:17" ht="15">
      <c r="A287" s="138"/>
      <c r="B287" s="191" t="s">
        <v>432</v>
      </c>
      <c r="C287" s="134">
        <v>1750000</v>
      </c>
      <c r="D287" s="192"/>
      <c r="E287" s="192"/>
      <c r="F287" s="192"/>
      <c r="G287" s="192"/>
      <c r="H287" s="192"/>
      <c r="I287" s="192"/>
      <c r="J287" s="192"/>
      <c r="K287" s="193"/>
      <c r="L287" s="193"/>
      <c r="M287" s="193"/>
      <c r="N287" s="193"/>
      <c r="O287" s="194">
        <f>SUM(C287:J287)</f>
        <v>1750000</v>
      </c>
      <c r="P287" s="110"/>
      <c r="Q287" s="110"/>
    </row>
    <row r="288" spans="1:15" ht="15">
      <c r="A288" s="195" t="s">
        <v>191</v>
      </c>
      <c r="B288" s="173" t="s">
        <v>192</v>
      </c>
      <c r="C288" s="104">
        <f>+C289</f>
        <v>20000000</v>
      </c>
      <c r="D288" s="104">
        <f aca="true" t="shared" si="72" ref="D288:O288">+D289</f>
        <v>0</v>
      </c>
      <c r="E288" s="104">
        <f t="shared" si="72"/>
        <v>0</v>
      </c>
      <c r="F288" s="104">
        <v>0</v>
      </c>
      <c r="G288" s="104">
        <f t="shared" si="72"/>
        <v>0</v>
      </c>
      <c r="H288" s="104"/>
      <c r="I288" s="104">
        <f t="shared" si="72"/>
        <v>0</v>
      </c>
      <c r="J288" s="104">
        <f t="shared" si="72"/>
        <v>0</v>
      </c>
      <c r="K288" s="104">
        <f t="shared" si="72"/>
        <v>0</v>
      </c>
      <c r="L288" s="104">
        <f t="shared" si="72"/>
        <v>0</v>
      </c>
      <c r="M288" s="104">
        <f t="shared" si="72"/>
        <v>0</v>
      </c>
      <c r="N288" s="104">
        <f t="shared" si="72"/>
        <v>0</v>
      </c>
      <c r="O288" s="104">
        <f t="shared" si="72"/>
        <v>20000000</v>
      </c>
    </row>
    <row r="289" spans="1:15" ht="15">
      <c r="A289" s="190">
        <v>1</v>
      </c>
      <c r="B289" s="148" t="s">
        <v>494</v>
      </c>
      <c r="C289" s="106">
        <v>20000000</v>
      </c>
      <c r="D289" s="106"/>
      <c r="E289" s="106"/>
      <c r="F289" s="106" t="s">
        <v>158</v>
      </c>
      <c r="G289" s="106"/>
      <c r="H289" s="106"/>
      <c r="I289" s="106"/>
      <c r="J289" s="106"/>
      <c r="K289" s="106"/>
      <c r="L289" s="106"/>
      <c r="M289" s="106"/>
      <c r="N289" s="106"/>
      <c r="O289" s="106">
        <f>SUM(C289:J289)</f>
        <v>20000000</v>
      </c>
    </row>
    <row r="290" spans="1:15" ht="15">
      <c r="A290" s="74"/>
      <c r="B290" s="76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1:15" ht="15">
      <c r="A291" s="74"/>
      <c r="B291" s="76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</row>
    <row r="292" spans="1:15" ht="15">
      <c r="A292" s="74"/>
      <c r="B292" s="76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</row>
    <row r="293" spans="1:15" ht="15">
      <c r="A293" s="74"/>
      <c r="B293" s="76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</row>
    <row r="294" spans="1:15" ht="15">
      <c r="A294" s="74"/>
      <c r="B294" s="76"/>
      <c r="C294" s="109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</row>
    <row r="295" spans="1:15" ht="15">
      <c r="A295" s="74"/>
      <c r="B295" s="76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1:15" ht="15.75">
      <c r="A296" s="74"/>
      <c r="B296" s="76"/>
      <c r="C296" s="74"/>
      <c r="D296" s="203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1:15" ht="15">
      <c r="A297" s="74"/>
      <c r="B297" s="76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1:15" ht="15">
      <c r="A298" s="74"/>
      <c r="B298" s="76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1:15" ht="15">
      <c r="A299" s="74"/>
      <c r="B299" s="76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1:15" ht="15">
      <c r="A300" s="74"/>
      <c r="B300" s="76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1:15" ht="15">
      <c r="A301" s="74"/>
      <c r="B301" s="76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1:15" ht="15">
      <c r="A302" s="74"/>
      <c r="B302" s="76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1:15" ht="15">
      <c r="A303" s="74"/>
      <c r="B303" s="76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1:15" ht="15">
      <c r="A304" s="74"/>
      <c r="B304" s="76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1:15" ht="15">
      <c r="A305" s="74"/>
      <c r="B305" s="76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  <row r="306" spans="1:15" ht="15">
      <c r="A306" s="74"/>
      <c r="B306" s="76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</row>
    <row r="307" spans="1:15" ht="15">
      <c r="A307" s="74"/>
      <c r="B307" s="76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</row>
    <row r="308" spans="1:15" ht="15">
      <c r="A308" s="74"/>
      <c r="B308" s="76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</row>
    <row r="309" spans="1:15" ht="15">
      <c r="A309" s="74"/>
      <c r="B309" s="76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</row>
    <row r="310" spans="1:15" ht="15">
      <c r="A310" s="74"/>
      <c r="B310" s="76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</row>
    <row r="311" spans="1:15" ht="15">
      <c r="A311" s="74"/>
      <c r="B311" s="76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</row>
    <row r="312" spans="1:15" ht="15">
      <c r="A312" s="74"/>
      <c r="B312" s="76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</row>
    <row r="313" spans="1:15" ht="15">
      <c r="A313" s="74"/>
      <c r="B313" s="76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</row>
    <row r="314" spans="1:15" ht="15">
      <c r="A314" s="74"/>
      <c r="B314" s="76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</row>
    <row r="315" spans="1:15" ht="15">
      <c r="A315" s="74"/>
      <c r="B315" s="76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</row>
    <row r="316" spans="1:15" ht="15">
      <c r="A316" s="74"/>
      <c r="B316" s="76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</row>
    <row r="317" spans="1:15" ht="15">
      <c r="A317" s="74"/>
      <c r="B317" s="76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</row>
    <row r="318" spans="1:15" ht="15">
      <c r="A318" s="74"/>
      <c r="B318" s="76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</row>
    <row r="319" spans="1:15" ht="15">
      <c r="A319" s="74"/>
      <c r="B319" s="76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</row>
    <row r="320" spans="1:15" ht="15">
      <c r="A320" s="74"/>
      <c r="B320" s="76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</row>
    <row r="321" spans="1:15" ht="15">
      <c r="A321" s="74"/>
      <c r="B321" s="76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</row>
    <row r="322" spans="1:15" ht="15">
      <c r="A322" s="74"/>
      <c r="B322" s="76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</row>
    <row r="323" spans="1:15" ht="15">
      <c r="A323" s="74"/>
      <c r="B323" s="76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</row>
    <row r="324" spans="1:15" ht="15">
      <c r="A324" s="74"/>
      <c r="B324" s="76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</row>
    <row r="325" spans="1:15" ht="15">
      <c r="A325" s="74"/>
      <c r="B325" s="76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</row>
    <row r="326" spans="1:15" ht="15">
      <c r="A326" s="74"/>
      <c r="B326" s="76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</row>
    <row r="327" spans="1:15" ht="15">
      <c r="A327" s="74"/>
      <c r="B327" s="76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</row>
    <row r="328" spans="1:15" ht="15">
      <c r="A328" s="74"/>
      <c r="B328" s="76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</row>
    <row r="329" spans="1:15" ht="15">
      <c r="A329" s="74"/>
      <c r="B329" s="76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</row>
    <row r="330" spans="1:15" ht="15">
      <c r="A330" s="74"/>
      <c r="B330" s="76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</row>
    <row r="331" spans="1:15" ht="15">
      <c r="A331" s="74"/>
      <c r="B331" s="76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</row>
    <row r="332" spans="1:15" ht="15">
      <c r="A332" s="74"/>
      <c r="B332" s="76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</row>
    <row r="333" spans="1:15" ht="15">
      <c r="A333" s="74"/>
      <c r="B333" s="76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</row>
    <row r="334" spans="1:15" ht="15">
      <c r="A334" s="74"/>
      <c r="B334" s="76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</row>
    <row r="335" spans="1:15" ht="15">
      <c r="A335" s="74"/>
      <c r="B335" s="76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</row>
    <row r="336" spans="1:15" ht="15">
      <c r="A336" s="74"/>
      <c r="B336" s="76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</row>
    <row r="337" spans="1:15" ht="15">
      <c r="A337" s="74"/>
      <c r="B337" s="76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</row>
    <row r="338" spans="1:15" ht="15">
      <c r="A338" s="74"/>
      <c r="B338" s="76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</row>
    <row r="339" spans="1:15" ht="15">
      <c r="A339" s="74"/>
      <c r="B339" s="76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</row>
    <row r="340" spans="1:15" ht="15">
      <c r="A340" s="74"/>
      <c r="B340" s="76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</row>
    <row r="341" spans="1:15" ht="15">
      <c r="A341" s="74"/>
      <c r="B341" s="76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</row>
    <row r="342" spans="1:15" ht="15">
      <c r="A342" s="74"/>
      <c r="B342" s="76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</row>
    <row r="343" spans="1:15" ht="15">
      <c r="A343" s="74"/>
      <c r="B343" s="76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</row>
    <row r="344" spans="1:15" ht="15">
      <c r="A344" s="74"/>
      <c r="B344" s="76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</row>
    <row r="345" spans="1:15" ht="15">
      <c r="A345" s="74"/>
      <c r="B345" s="76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</row>
    <row r="346" spans="1:15" ht="15">
      <c r="A346" s="74"/>
      <c r="B346" s="76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</row>
    <row r="347" spans="1:15" ht="15">
      <c r="A347" s="74"/>
      <c r="B347" s="76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</row>
    <row r="348" spans="1:15" ht="15">
      <c r="A348" s="74"/>
      <c r="B348" s="76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</row>
    <row r="349" spans="1:15" ht="15">
      <c r="A349" s="74"/>
      <c r="B349" s="76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</row>
    <row r="350" spans="1:15" ht="15">
      <c r="A350" s="74"/>
      <c r="B350" s="76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</row>
    <row r="351" spans="1:15" ht="15">
      <c r="A351" s="74"/>
      <c r="B351" s="76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</row>
    <row r="352" spans="1:15" ht="15">
      <c r="A352" s="74"/>
      <c r="B352" s="76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</row>
    <row r="353" spans="1:15" ht="15">
      <c r="A353" s="74"/>
      <c r="B353" s="76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</row>
    <row r="354" spans="1:15" ht="15">
      <c r="A354" s="74"/>
      <c r="B354" s="76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</row>
    <row r="355" spans="1:15" ht="15">
      <c r="A355" s="74"/>
      <c r="B355" s="76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</row>
    <row r="356" spans="1:15" ht="15">
      <c r="A356" s="74"/>
      <c r="B356" s="76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</row>
    <row r="357" spans="1:15" ht="15">
      <c r="A357" s="74"/>
      <c r="B357" s="76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</row>
    <row r="358" spans="1:15" ht="15">
      <c r="A358" s="74"/>
      <c r="B358" s="76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</row>
    <row r="359" spans="1:15" ht="15">
      <c r="A359" s="74"/>
      <c r="B359" s="76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</row>
    <row r="360" spans="1:15" ht="15">
      <c r="A360" s="74"/>
      <c r="B360" s="76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</row>
    <row r="361" spans="1:15" ht="15">
      <c r="A361" s="74"/>
      <c r="B361" s="76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</row>
    <row r="362" spans="1:15" ht="15">
      <c r="A362" s="74"/>
      <c r="B362" s="76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</row>
    <row r="363" spans="1:15" ht="15">
      <c r="A363" s="74"/>
      <c r="B363" s="76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</row>
    <row r="364" spans="1:15" ht="15">
      <c r="A364" s="74"/>
      <c r="B364" s="76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</row>
    <row r="365" spans="1:15" ht="15">
      <c r="A365" s="74"/>
      <c r="B365" s="76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</row>
    <row r="366" spans="1:15" ht="15">
      <c r="A366" s="74"/>
      <c r="B366" s="76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</row>
    <row r="367" spans="1:15" ht="15">
      <c r="A367" s="74"/>
      <c r="B367" s="76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</row>
    <row r="368" spans="1:15" ht="15">
      <c r="A368" s="74"/>
      <c r="B368" s="76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</row>
    <row r="369" spans="1:15" ht="15">
      <c r="A369" s="74"/>
      <c r="B369" s="76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</row>
    <row r="370" spans="1:15" ht="15">
      <c r="A370" s="74"/>
      <c r="B370" s="76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</row>
    <row r="371" spans="1:15" ht="15">
      <c r="A371" s="74"/>
      <c r="B371" s="76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</row>
    <row r="372" spans="1:15" ht="15">
      <c r="A372" s="74"/>
      <c r="B372" s="76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</row>
    <row r="373" spans="1:15" ht="15">
      <c r="A373" s="74"/>
      <c r="B373" s="76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</row>
    <row r="374" spans="1:15" ht="15">
      <c r="A374" s="74"/>
      <c r="B374" s="76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</row>
    <row r="375" spans="1:15" ht="15">
      <c r="A375" s="74"/>
      <c r="B375" s="76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</row>
    <row r="376" spans="1:15" ht="15">
      <c r="A376" s="74"/>
      <c r="B376" s="76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</row>
    <row r="377" spans="1:15" ht="15">
      <c r="A377" s="74"/>
      <c r="B377" s="76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</row>
    <row r="378" spans="1:15" ht="15">
      <c r="A378" s="74"/>
      <c r="B378" s="76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</row>
    <row r="379" spans="1:15" ht="15">
      <c r="A379" s="74"/>
      <c r="B379" s="76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</row>
    <row r="380" spans="1:15" ht="15">
      <c r="A380" s="74"/>
      <c r="B380" s="76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</row>
    <row r="381" spans="1:15" ht="15">
      <c r="A381" s="74"/>
      <c r="B381" s="76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</row>
    <row r="382" spans="1:15" ht="15">
      <c r="A382" s="74"/>
      <c r="B382" s="76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</row>
    <row r="383" spans="1:15" ht="15">
      <c r="A383" s="74"/>
      <c r="B383" s="76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4" spans="1:15" ht="15">
      <c r="A384" s="74"/>
      <c r="B384" s="76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</row>
    <row r="385" spans="1:15" ht="15">
      <c r="A385" s="74"/>
      <c r="B385" s="76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</row>
    <row r="386" spans="1:15" ht="15">
      <c r="A386" s="74"/>
      <c r="B386" s="76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</row>
    <row r="387" spans="1:15" ht="15">
      <c r="A387" s="74"/>
      <c r="B387" s="76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1:15" ht="15">
      <c r="A388" s="74"/>
      <c r="B388" s="76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89" spans="1:15" ht="15">
      <c r="A389" s="74"/>
      <c r="B389" s="76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</row>
    <row r="390" spans="1:15" ht="15">
      <c r="A390" s="74"/>
      <c r="B390" s="76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</row>
    <row r="391" spans="1:15" ht="15">
      <c r="A391" s="74"/>
      <c r="B391" s="76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1:15" ht="15">
      <c r="A392" s="74"/>
      <c r="B392" s="76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393" spans="1:15" ht="15">
      <c r="A393" s="74"/>
      <c r="B393" s="76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</row>
    <row r="394" spans="1:15" ht="15">
      <c r="A394" s="74"/>
      <c r="B394" s="76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</row>
    <row r="395" spans="1:15" ht="15">
      <c r="A395" s="74"/>
      <c r="B395" s="76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</row>
    <row r="396" spans="1:15" ht="15">
      <c r="A396" s="74"/>
      <c r="B396" s="76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</row>
    <row r="397" spans="1:15" ht="15">
      <c r="A397" s="74"/>
      <c r="B397" s="76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</row>
    <row r="398" spans="1:15" ht="15">
      <c r="A398" s="74"/>
      <c r="B398" s="76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</row>
    <row r="399" spans="1:15" ht="15">
      <c r="A399" s="74"/>
      <c r="B399" s="76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</row>
    <row r="400" spans="1:15" ht="15">
      <c r="A400" s="74"/>
      <c r="B400" s="76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</row>
    <row r="401" spans="1:15" ht="15">
      <c r="A401" s="74"/>
      <c r="B401" s="76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</row>
    <row r="402" spans="1:15" ht="15">
      <c r="A402" s="74"/>
      <c r="B402" s="76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</row>
    <row r="403" spans="1:15" ht="15">
      <c r="A403" s="74"/>
      <c r="B403" s="76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</row>
    <row r="404" spans="1:15" ht="15">
      <c r="A404" s="74"/>
      <c r="B404" s="76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</row>
    <row r="405" spans="1:15" ht="15">
      <c r="A405" s="74"/>
      <c r="B405" s="76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</row>
    <row r="406" spans="1:15" ht="15">
      <c r="A406" s="74"/>
      <c r="B406" s="76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</row>
    <row r="407" spans="1:15" ht="15">
      <c r="A407" s="74"/>
      <c r="B407" s="76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</row>
    <row r="408" spans="1:15" ht="15">
      <c r="A408" s="74"/>
      <c r="B408" s="76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</row>
    <row r="409" spans="1:15" ht="15">
      <c r="A409" s="74"/>
      <c r="B409" s="76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</row>
    <row r="410" spans="1:15" ht="15">
      <c r="A410" s="74"/>
      <c r="B410" s="76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</row>
    <row r="411" spans="1:15" ht="15">
      <c r="A411" s="74"/>
      <c r="B411" s="76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</row>
    <row r="412" spans="1:15" ht="15">
      <c r="A412" s="74"/>
      <c r="B412" s="76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</row>
    <row r="413" spans="1:15" ht="15">
      <c r="A413" s="74"/>
      <c r="B413" s="76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</row>
    <row r="414" spans="1:15" ht="15">
      <c r="A414" s="74"/>
      <c r="B414" s="76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</row>
    <row r="415" spans="1:15" ht="15">
      <c r="A415" s="74"/>
      <c r="B415" s="76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</row>
    <row r="416" spans="1:15" ht="15">
      <c r="A416" s="74"/>
      <c r="B416" s="76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</row>
    <row r="417" spans="1:15" ht="15">
      <c r="A417" s="74"/>
      <c r="B417" s="76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</row>
    <row r="418" spans="1:15" ht="15">
      <c r="A418" s="74"/>
      <c r="B418" s="76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</row>
    <row r="419" spans="1:15" ht="15">
      <c r="A419" s="74"/>
      <c r="B419" s="76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</row>
    <row r="420" spans="1:15" ht="15">
      <c r="A420" s="74"/>
      <c r="B420" s="76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</row>
    <row r="421" spans="1:15" ht="15">
      <c r="A421" s="74"/>
      <c r="B421" s="76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</row>
    <row r="422" spans="1:15" ht="15">
      <c r="A422" s="74"/>
      <c r="B422" s="76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</row>
    <row r="423" spans="1:15" ht="15">
      <c r="A423" s="74"/>
      <c r="B423" s="76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</row>
    <row r="424" spans="1:15" ht="15">
      <c r="A424" s="74"/>
      <c r="B424" s="76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</row>
    <row r="425" spans="1:15" ht="15">
      <c r="A425" s="74"/>
      <c r="B425" s="76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</row>
    <row r="426" spans="1:15" ht="15">
      <c r="A426" s="74"/>
      <c r="B426" s="76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</row>
    <row r="427" spans="1:15" ht="15">
      <c r="A427" s="74"/>
      <c r="B427" s="76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</row>
    <row r="428" spans="1:15" ht="15">
      <c r="A428" s="74"/>
      <c r="B428" s="76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</row>
    <row r="429" spans="1:15" ht="15">
      <c r="A429" s="74"/>
      <c r="B429" s="76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</row>
    <row r="430" spans="1:15" ht="15">
      <c r="A430" s="74"/>
      <c r="B430" s="76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</row>
    <row r="431" spans="1:15" ht="15">
      <c r="A431" s="74"/>
      <c r="B431" s="76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</row>
    <row r="432" spans="1:15" ht="15">
      <c r="A432" s="74"/>
      <c r="B432" s="76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</row>
    <row r="433" spans="1:15" ht="15">
      <c r="A433" s="74"/>
      <c r="B433" s="76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</row>
    <row r="434" spans="1:15" ht="15">
      <c r="A434" s="74"/>
      <c r="B434" s="76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</row>
    <row r="435" spans="1:15" ht="15">
      <c r="A435" s="74"/>
      <c r="B435" s="76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</row>
    <row r="436" spans="1:15" ht="15">
      <c r="A436" s="74"/>
      <c r="B436" s="76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</row>
    <row r="437" spans="1:15" ht="15">
      <c r="A437" s="74"/>
      <c r="B437" s="76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</row>
    <row r="438" spans="1:15" ht="15">
      <c r="A438" s="74"/>
      <c r="B438" s="76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</row>
    <row r="439" spans="1:15" ht="15">
      <c r="A439" s="74"/>
      <c r="B439" s="76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</row>
    <row r="440" spans="1:15" ht="15">
      <c r="A440" s="74"/>
      <c r="B440" s="76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</row>
    <row r="441" spans="1:15" ht="15">
      <c r="A441" s="74"/>
      <c r="B441" s="76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</row>
    <row r="442" spans="1:15" ht="15">
      <c r="A442" s="74"/>
      <c r="B442" s="76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</row>
    <row r="443" spans="1:15" ht="15">
      <c r="A443" s="74"/>
      <c r="B443" s="76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</row>
    <row r="444" spans="1:15" ht="15">
      <c r="A444" s="74"/>
      <c r="B444" s="76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</row>
    <row r="445" spans="1:15" ht="15">
      <c r="A445" s="74"/>
      <c r="B445" s="76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</row>
    <row r="446" spans="1:15" ht="15">
      <c r="A446" s="74"/>
      <c r="B446" s="76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</row>
    <row r="447" spans="1:15" ht="15">
      <c r="A447" s="74"/>
      <c r="B447" s="76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</row>
    <row r="448" spans="1:15" ht="15">
      <c r="A448" s="74"/>
      <c r="B448" s="76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</row>
    <row r="449" spans="1:15" ht="15">
      <c r="A449" s="74"/>
      <c r="B449" s="76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</row>
    <row r="450" spans="1:15" ht="15">
      <c r="A450" s="74"/>
      <c r="B450" s="76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</row>
    <row r="451" spans="1:15" ht="15">
      <c r="A451" s="74"/>
      <c r="B451" s="76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</row>
    <row r="452" spans="1:15" ht="15">
      <c r="A452" s="74"/>
      <c r="B452" s="76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</row>
    <row r="453" spans="1:15" ht="15">
      <c r="A453" s="74"/>
      <c r="B453" s="76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</row>
    <row r="454" spans="1:15" ht="15">
      <c r="A454" s="74"/>
      <c r="B454" s="76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</row>
    <row r="455" spans="1:15" ht="15">
      <c r="A455" s="74"/>
      <c r="B455" s="76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</row>
    <row r="456" spans="1:15" ht="15">
      <c r="A456" s="74"/>
      <c r="B456" s="76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</row>
    <row r="457" spans="1:15" ht="15">
      <c r="A457" s="74"/>
      <c r="B457" s="76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</row>
    <row r="458" spans="1:15" ht="15">
      <c r="A458" s="74"/>
      <c r="B458" s="76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</row>
    <row r="459" spans="1:15" ht="15">
      <c r="A459" s="74"/>
      <c r="B459" s="76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</row>
    <row r="460" spans="1:15" ht="15">
      <c r="A460" s="74"/>
      <c r="B460" s="76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</row>
    <row r="461" spans="1:15" ht="15">
      <c r="A461" s="74"/>
      <c r="B461" s="76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</row>
    <row r="462" spans="1:15" ht="15">
      <c r="A462" s="74"/>
      <c r="B462" s="76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</row>
    <row r="463" spans="1:15" ht="15">
      <c r="A463" s="74"/>
      <c r="B463" s="76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</row>
    <row r="464" spans="1:15" ht="15">
      <c r="A464" s="74"/>
      <c r="B464" s="76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</row>
    <row r="465" spans="1:15" ht="15">
      <c r="A465" s="74"/>
      <c r="B465" s="76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</row>
    <row r="466" spans="1:15" ht="15">
      <c r="A466" s="74"/>
      <c r="B466" s="76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</row>
    <row r="467" spans="1:15" ht="15">
      <c r="A467" s="74"/>
      <c r="B467" s="76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</row>
    <row r="468" spans="1:15" ht="15">
      <c r="A468" s="74"/>
      <c r="B468" s="76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</row>
    <row r="469" spans="1:15" ht="15">
      <c r="A469" s="74"/>
      <c r="B469" s="76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</row>
    <row r="470" spans="1:15" ht="15">
      <c r="A470" s="74"/>
      <c r="B470" s="76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</row>
    <row r="471" spans="1:15" ht="15">
      <c r="A471" s="74"/>
      <c r="B471" s="76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</row>
    <row r="472" spans="1:15" ht="15">
      <c r="A472" s="74"/>
      <c r="B472" s="76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</row>
    <row r="473" spans="1:15" ht="15">
      <c r="A473" s="74"/>
      <c r="B473" s="76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</row>
    <row r="474" spans="1:15" ht="15">
      <c r="A474" s="74"/>
      <c r="B474" s="76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</row>
    <row r="475" spans="1:15" ht="15">
      <c r="A475" s="74"/>
      <c r="B475" s="76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</row>
    <row r="476" spans="1:15" ht="15">
      <c r="A476" s="74"/>
      <c r="B476" s="76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</row>
    <row r="477" spans="1:15" ht="15">
      <c r="A477" s="74"/>
      <c r="B477" s="76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</row>
    <row r="478" spans="1:15" ht="15">
      <c r="A478" s="74"/>
      <c r="B478" s="76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</row>
    <row r="479" spans="1:15" ht="15">
      <c r="A479" s="74"/>
      <c r="B479" s="76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</row>
    <row r="480" spans="1:15" ht="15">
      <c r="A480" s="74"/>
      <c r="B480" s="76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</row>
    <row r="481" spans="1:15" ht="15">
      <c r="A481" s="74"/>
      <c r="B481" s="76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</row>
    <row r="482" spans="1:15" ht="15">
      <c r="A482" s="74"/>
      <c r="B482" s="76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</row>
    <row r="483" spans="1:15" ht="15">
      <c r="A483" s="74"/>
      <c r="B483" s="76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</row>
    <row r="484" spans="1:15" ht="15">
      <c r="A484" s="74"/>
      <c r="B484" s="76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</row>
    <row r="485" spans="1:15" ht="15">
      <c r="A485" s="74"/>
      <c r="B485" s="76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</row>
    <row r="486" spans="1:15" ht="15">
      <c r="A486" s="74"/>
      <c r="B486" s="76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</row>
    <row r="487" spans="1:15" ht="15">
      <c r="A487" s="74"/>
      <c r="B487" s="76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</row>
    <row r="488" spans="1:15" ht="15">
      <c r="A488" s="74"/>
      <c r="B488" s="76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</row>
    <row r="489" spans="1:15" ht="15">
      <c r="A489" s="74"/>
      <c r="B489" s="76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</row>
    <row r="490" spans="1:15" ht="15">
      <c r="A490" s="74"/>
      <c r="B490" s="76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</row>
    <row r="491" spans="1:15" ht="15">
      <c r="A491" s="74"/>
      <c r="B491" s="76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</row>
    <row r="492" spans="1:15" ht="15">
      <c r="A492" s="74"/>
      <c r="B492" s="76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</row>
    <row r="493" spans="1:15" ht="15">
      <c r="A493" s="74"/>
      <c r="B493" s="76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</row>
    <row r="494" spans="1:15" ht="15">
      <c r="A494" s="74"/>
      <c r="B494" s="76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</row>
    <row r="495" spans="1:15" ht="15">
      <c r="A495" s="74"/>
      <c r="B495" s="76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</row>
    <row r="496" spans="1:15" ht="15">
      <c r="A496" s="74"/>
      <c r="B496" s="76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</row>
    <row r="497" spans="1:15" ht="15">
      <c r="A497" s="74"/>
      <c r="B497" s="76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</row>
    <row r="498" spans="1:15" ht="15">
      <c r="A498" s="74"/>
      <c r="B498" s="76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</row>
    <row r="499" spans="1:15" ht="15">
      <c r="A499" s="74"/>
      <c r="B499" s="76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</row>
    <row r="500" spans="1:15" ht="15">
      <c r="A500" s="74"/>
      <c r="B500" s="76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</row>
    <row r="501" spans="1:15" ht="15">
      <c r="A501" s="74"/>
      <c r="B501" s="76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</row>
    <row r="502" spans="1:15" ht="15">
      <c r="A502" s="74"/>
      <c r="B502" s="76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</row>
    <row r="503" spans="1:15" ht="15">
      <c r="A503" s="74"/>
      <c r="B503" s="76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</row>
    <row r="504" spans="1:15" ht="15">
      <c r="A504" s="74"/>
      <c r="B504" s="76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</row>
    <row r="505" spans="1:15" ht="15">
      <c r="A505" s="74"/>
      <c r="B505" s="76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</row>
    <row r="506" spans="1:15" ht="15">
      <c r="A506" s="74"/>
      <c r="B506" s="76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</row>
    <row r="507" spans="1:15" ht="15">
      <c r="A507" s="74"/>
      <c r="B507" s="76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</row>
    <row r="508" spans="1:15" ht="15">
      <c r="A508" s="74"/>
      <c r="B508" s="76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</row>
    <row r="509" spans="1:15" ht="15">
      <c r="A509" s="74"/>
      <c r="B509" s="76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</row>
    <row r="510" spans="1:15" ht="15">
      <c r="A510" s="74"/>
      <c r="B510" s="76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</row>
    <row r="511" spans="1:15" ht="15">
      <c r="A511" s="74"/>
      <c r="B511" s="76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</row>
    <row r="512" spans="1:15" ht="15">
      <c r="A512" s="74"/>
      <c r="B512" s="76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</row>
    <row r="513" spans="1:15" ht="15">
      <c r="A513" s="74"/>
      <c r="B513" s="76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</row>
    <row r="514" spans="1:15" ht="15">
      <c r="A514" s="74"/>
      <c r="B514" s="76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</row>
    <row r="515" spans="1:15" ht="15">
      <c r="A515" s="74"/>
      <c r="B515" s="76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</row>
    <row r="516" spans="1:15" ht="15">
      <c r="A516" s="74"/>
      <c r="B516" s="76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</row>
    <row r="517" spans="1:15" ht="15">
      <c r="A517" s="74"/>
      <c r="B517" s="76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</row>
    <row r="518" spans="1:15" ht="15">
      <c r="A518" s="74"/>
      <c r="B518" s="76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</row>
    <row r="519" spans="1:15" ht="15">
      <c r="A519" s="74"/>
      <c r="B519" s="76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</row>
    <row r="520" spans="1:15" ht="15">
      <c r="A520" s="74"/>
      <c r="B520" s="76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</row>
    <row r="521" spans="1:15" ht="15">
      <c r="A521" s="74"/>
      <c r="B521" s="76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</row>
    <row r="522" spans="1:15" ht="15">
      <c r="A522" s="74"/>
      <c r="B522" s="76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</row>
    <row r="523" spans="1:15" ht="15">
      <c r="A523" s="74"/>
      <c r="B523" s="76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</row>
    <row r="524" spans="1:15" ht="15">
      <c r="A524" s="74"/>
      <c r="B524" s="76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</row>
    <row r="525" spans="1:15" ht="15">
      <c r="A525" s="74"/>
      <c r="B525" s="76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</row>
    <row r="526" spans="1:15" ht="15">
      <c r="A526" s="74"/>
      <c r="B526" s="76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</row>
    <row r="527" spans="1:15" ht="15">
      <c r="A527" s="74"/>
      <c r="B527" s="76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</row>
    <row r="528" spans="1:15" ht="15">
      <c r="A528" s="74"/>
      <c r="B528" s="76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</row>
    <row r="529" spans="1:15" ht="15">
      <c r="A529" s="74"/>
      <c r="B529" s="76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</row>
    <row r="530" spans="1:15" ht="15">
      <c r="A530" s="74"/>
      <c r="B530" s="76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</row>
    <row r="531" spans="1:15" ht="15">
      <c r="A531" s="74"/>
      <c r="B531" s="76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</row>
    <row r="532" spans="1:15" ht="15">
      <c r="A532" s="74"/>
      <c r="B532" s="76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</row>
    <row r="533" spans="1:15" ht="15">
      <c r="A533" s="74"/>
      <c r="B533" s="76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</row>
    <row r="534" spans="1:15" ht="15">
      <c r="A534" s="74"/>
      <c r="B534" s="76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</row>
    <row r="535" spans="1:15" ht="15">
      <c r="A535" s="74"/>
      <c r="B535" s="76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</row>
    <row r="536" spans="1:15" ht="15">
      <c r="A536" s="74"/>
      <c r="B536" s="76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</row>
    <row r="537" spans="1:15" ht="15">
      <c r="A537" s="74"/>
      <c r="B537" s="76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</row>
    <row r="538" spans="1:15" ht="15">
      <c r="A538" s="74"/>
      <c r="B538" s="76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</row>
    <row r="539" spans="1:15" ht="15">
      <c r="A539" s="74"/>
      <c r="B539" s="76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</row>
    <row r="540" spans="1:15" ht="15">
      <c r="A540" s="74"/>
      <c r="B540" s="76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</row>
    <row r="541" spans="1:15" ht="15">
      <c r="A541" s="74"/>
      <c r="B541" s="76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</row>
    <row r="542" spans="1:15" ht="15">
      <c r="A542" s="74"/>
      <c r="B542" s="76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</row>
    <row r="543" spans="1:15" ht="15">
      <c r="A543" s="74"/>
      <c r="B543" s="76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</row>
    <row r="544" spans="1:15" ht="15">
      <c r="A544" s="74"/>
      <c r="B544" s="76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</row>
    <row r="545" spans="1:15" ht="15">
      <c r="A545" s="74"/>
      <c r="B545" s="76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</row>
    <row r="546" spans="1:15" ht="15">
      <c r="A546" s="74"/>
      <c r="B546" s="76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</row>
    <row r="547" spans="1:15" ht="15">
      <c r="A547" s="74"/>
      <c r="B547" s="76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</row>
    <row r="548" spans="1:15" ht="15">
      <c r="A548" s="74"/>
      <c r="B548" s="76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</row>
    <row r="549" spans="1:15" ht="15">
      <c r="A549" s="74"/>
      <c r="B549" s="76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</row>
    <row r="550" spans="1:15" ht="15">
      <c r="A550" s="74"/>
      <c r="B550" s="76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</row>
    <row r="551" spans="1:15" ht="15">
      <c r="A551" s="74"/>
      <c r="B551" s="76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</row>
    <row r="552" spans="1:15" ht="15">
      <c r="A552" s="74"/>
      <c r="B552" s="76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</row>
    <row r="553" spans="1:15" ht="15">
      <c r="A553" s="74"/>
      <c r="B553" s="76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</row>
    <row r="554" spans="1:15" ht="15">
      <c r="A554" s="74"/>
      <c r="B554" s="76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</row>
    <row r="555" spans="1:15" ht="15">
      <c r="A555" s="74"/>
      <c r="B555" s="76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</row>
    <row r="556" spans="1:15" ht="15">
      <c r="A556" s="74"/>
      <c r="B556" s="76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</row>
    <row r="557" spans="1:15" ht="15">
      <c r="A557" s="74"/>
      <c r="B557" s="76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</row>
    <row r="558" spans="1:15" ht="15">
      <c r="A558" s="74"/>
      <c r="B558" s="76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</row>
    <row r="559" spans="1:15" ht="15">
      <c r="A559" s="74"/>
      <c r="B559" s="76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</row>
    <row r="560" spans="1:15" ht="15">
      <c r="A560" s="74"/>
      <c r="B560" s="76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</row>
    <row r="561" spans="1:15" ht="15">
      <c r="A561" s="74"/>
      <c r="B561" s="76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</row>
    <row r="562" spans="1:15" ht="15">
      <c r="A562" s="74"/>
      <c r="B562" s="76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</row>
    <row r="563" spans="1:15" ht="15">
      <c r="A563" s="74"/>
      <c r="B563" s="76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</row>
    <row r="564" spans="1:15" ht="15">
      <c r="A564" s="74"/>
      <c r="B564" s="76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</row>
    <row r="565" spans="1:15" ht="15">
      <c r="A565" s="74"/>
      <c r="B565" s="76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</row>
    <row r="566" spans="1:15" ht="15">
      <c r="A566" s="74"/>
      <c r="B566" s="76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</row>
    <row r="567" spans="1:15" ht="15">
      <c r="A567" s="74"/>
      <c r="B567" s="76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</row>
    <row r="568" spans="1:15" ht="15">
      <c r="A568" s="74"/>
      <c r="B568" s="76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</row>
    <row r="569" spans="1:15" ht="15">
      <c r="A569" s="74"/>
      <c r="B569" s="76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</row>
    <row r="570" spans="1:15" ht="15">
      <c r="A570" s="74"/>
      <c r="B570" s="76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</row>
    <row r="571" spans="1:15" ht="15">
      <c r="A571" s="74"/>
      <c r="B571" s="76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</row>
    <row r="572" spans="1:15" ht="15">
      <c r="A572" s="74"/>
      <c r="B572" s="76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</row>
    <row r="573" spans="1:15" ht="15">
      <c r="A573" s="74"/>
      <c r="B573" s="76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</row>
    <row r="574" spans="1:15" ht="15">
      <c r="A574" s="74"/>
      <c r="B574" s="76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</row>
    <row r="575" spans="1:15" ht="15">
      <c r="A575" s="74"/>
      <c r="B575" s="76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</row>
    <row r="576" spans="1:15" ht="15">
      <c r="A576" s="74"/>
      <c r="B576" s="76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</row>
    <row r="577" spans="1:15" ht="15">
      <c r="A577" s="74"/>
      <c r="B577" s="76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</row>
    <row r="578" spans="1:15" ht="15">
      <c r="A578" s="74"/>
      <c r="B578" s="76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</row>
    <row r="579" spans="1:15" ht="15">
      <c r="A579" s="74"/>
      <c r="B579" s="76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</row>
    <row r="580" spans="1:15" ht="15">
      <c r="A580" s="74"/>
      <c r="B580" s="76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</row>
    <row r="581" spans="1:15" ht="15">
      <c r="A581" s="74"/>
      <c r="B581" s="76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</row>
    <row r="582" spans="1:15" ht="15">
      <c r="A582" s="74"/>
      <c r="B582" s="76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</row>
    <row r="583" spans="1:15" ht="15">
      <c r="A583" s="74"/>
      <c r="B583" s="76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</row>
    <row r="584" spans="1:15" ht="15">
      <c r="A584" s="74"/>
      <c r="B584" s="76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</row>
    <row r="585" spans="1:15" ht="15">
      <c r="A585" s="74"/>
      <c r="B585" s="76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</row>
    <row r="586" spans="1:15" ht="15">
      <c r="A586" s="74"/>
      <c r="B586" s="76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</row>
    <row r="587" spans="1:15" ht="15">
      <c r="A587" s="74"/>
      <c r="B587" s="76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</row>
    <row r="588" spans="1:15" ht="15">
      <c r="A588" s="74"/>
      <c r="B588" s="76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</row>
    <row r="589" spans="1:15" ht="15">
      <c r="A589" s="74"/>
      <c r="B589" s="76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</row>
    <row r="590" spans="1:15" ht="15">
      <c r="A590" s="74"/>
      <c r="B590" s="76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</row>
    <row r="591" spans="1:15" ht="15">
      <c r="A591" s="74"/>
      <c r="B591" s="76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</row>
    <row r="592" spans="1:15" ht="15">
      <c r="A592" s="74"/>
      <c r="B592" s="76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</row>
    <row r="593" spans="1:15" ht="15">
      <c r="A593" s="74"/>
      <c r="B593" s="76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</row>
    <row r="594" spans="1:15" ht="15">
      <c r="A594" s="74"/>
      <c r="B594" s="76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</row>
    <row r="595" spans="1:15" ht="15">
      <c r="A595" s="74"/>
      <c r="B595" s="76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</row>
    <row r="596" spans="1:15" ht="15">
      <c r="A596" s="74"/>
      <c r="B596" s="76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</row>
    <row r="597" spans="1:15" ht="15">
      <c r="A597" s="74"/>
      <c r="B597" s="76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</row>
    <row r="598" spans="1:15" ht="15">
      <c r="A598" s="74"/>
      <c r="B598" s="76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</row>
    <row r="599" spans="1:15" ht="15">
      <c r="A599" s="74"/>
      <c r="B599" s="76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</row>
    <row r="600" spans="1:15" ht="15">
      <c r="A600" s="74"/>
      <c r="B600" s="76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</row>
    <row r="601" spans="1:15" ht="15">
      <c r="A601" s="74"/>
      <c r="B601" s="76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</row>
    <row r="602" spans="1:15" ht="15">
      <c r="A602" s="74"/>
      <c r="B602" s="76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</row>
    <row r="603" spans="1:15" ht="15">
      <c r="A603" s="74"/>
      <c r="B603" s="76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</row>
    <row r="604" spans="1:15" ht="15">
      <c r="A604" s="74"/>
      <c r="B604" s="76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</row>
    <row r="605" spans="1:15" ht="15">
      <c r="A605" s="74"/>
      <c r="B605" s="76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</row>
    <row r="606" spans="1:15" ht="15">
      <c r="A606" s="74"/>
      <c r="B606" s="76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</row>
    <row r="607" spans="1:15" ht="15">
      <c r="A607" s="74"/>
      <c r="B607" s="76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</row>
    <row r="608" spans="1:15" ht="15">
      <c r="A608" s="74"/>
      <c r="B608" s="76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</row>
    <row r="609" spans="1:15" ht="15">
      <c r="A609" s="74"/>
      <c r="B609" s="76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</row>
    <row r="610" spans="1:15" ht="15">
      <c r="A610" s="74"/>
      <c r="B610" s="76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</row>
    <row r="611" spans="1:15" ht="15">
      <c r="A611" s="74"/>
      <c r="B611" s="76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</row>
    <row r="612" spans="1:15" ht="15">
      <c r="A612" s="74"/>
      <c r="B612" s="76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</row>
    <row r="613" spans="1:15" ht="15">
      <c r="A613" s="74"/>
      <c r="B613" s="76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</row>
    <row r="614" spans="1:15" ht="15">
      <c r="A614" s="74"/>
      <c r="B614" s="76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</row>
    <row r="615" spans="1:15" ht="15">
      <c r="A615" s="74"/>
      <c r="B615" s="76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</row>
    <row r="616" spans="1:15" ht="15">
      <c r="A616" s="74"/>
      <c r="B616" s="76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</row>
    <row r="617" spans="1:15" ht="15">
      <c r="A617" s="74"/>
      <c r="B617" s="76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</row>
    <row r="618" spans="1:15" ht="15">
      <c r="A618" s="74"/>
      <c r="B618" s="76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</row>
    <row r="619" spans="1:15" ht="15">
      <c r="A619" s="74"/>
      <c r="B619" s="76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</row>
    <row r="620" spans="1:15" ht="15">
      <c r="A620" s="74"/>
      <c r="B620" s="76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</row>
    <row r="621" spans="1:15" ht="15">
      <c r="A621" s="74"/>
      <c r="B621" s="76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</row>
    <row r="622" spans="1:15" ht="15">
      <c r="A622" s="74"/>
      <c r="B622" s="76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</row>
    <row r="623" spans="1:15" ht="15">
      <c r="A623" s="74"/>
      <c r="B623" s="76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</row>
    <row r="624" spans="1:15" ht="15">
      <c r="A624" s="74"/>
      <c r="B624" s="76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</row>
    <row r="625" spans="1:15" ht="15">
      <c r="A625" s="74"/>
      <c r="B625" s="76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</row>
    <row r="626" spans="1:15" ht="15">
      <c r="A626" s="74"/>
      <c r="B626" s="76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</row>
    <row r="627" spans="1:15" ht="15">
      <c r="A627" s="74"/>
      <c r="B627" s="76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</row>
    <row r="628" spans="1:15" ht="15">
      <c r="A628" s="74"/>
      <c r="B628" s="76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</row>
    <row r="629" spans="1:15" ht="15">
      <c r="A629" s="74"/>
      <c r="B629" s="76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</row>
    <row r="630" spans="1:15" ht="15">
      <c r="A630" s="74"/>
      <c r="B630" s="76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</row>
    <row r="631" spans="1:15" ht="15">
      <c r="A631" s="74"/>
      <c r="B631" s="76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</row>
    <row r="632" spans="1:15" ht="15">
      <c r="A632" s="74"/>
      <c r="B632" s="76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</row>
    <row r="633" spans="1:15" ht="15">
      <c r="A633" s="74"/>
      <c r="B633" s="76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</row>
    <row r="634" spans="1:15" ht="15">
      <c r="A634" s="74"/>
      <c r="B634" s="76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</row>
    <row r="635" spans="1:15" ht="15">
      <c r="A635" s="74"/>
      <c r="B635" s="76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</row>
    <row r="636" spans="1:15" ht="15">
      <c r="A636" s="74"/>
      <c r="B636" s="76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</row>
    <row r="637" spans="1:15" ht="15">
      <c r="A637" s="74"/>
      <c r="B637" s="76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</row>
    <row r="638" spans="1:15" ht="15">
      <c r="A638" s="74"/>
      <c r="B638" s="76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</row>
    <row r="639" spans="1:15" ht="15">
      <c r="A639" s="74"/>
      <c r="B639" s="76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</row>
    <row r="640" spans="1:15" ht="15">
      <c r="A640" s="74"/>
      <c r="B640" s="76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</row>
    <row r="641" spans="1:15" ht="15">
      <c r="A641" s="74"/>
      <c r="B641" s="76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</row>
    <row r="642" spans="1:15" ht="15">
      <c r="A642" s="74"/>
      <c r="B642" s="76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</row>
    <row r="643" spans="1:15" ht="15">
      <c r="A643" s="74"/>
      <c r="B643" s="76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</row>
    <row r="644" spans="1:15" ht="15">
      <c r="A644" s="74"/>
      <c r="B644" s="76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</row>
    <row r="645" spans="1:15" ht="15">
      <c r="A645" s="74"/>
      <c r="B645" s="76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</row>
    <row r="646" spans="1:15" ht="15">
      <c r="A646" s="74"/>
      <c r="B646" s="76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</row>
    <row r="647" spans="1:15" ht="15">
      <c r="A647" s="74"/>
      <c r="B647" s="76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</row>
    <row r="648" spans="1:15" ht="15">
      <c r="A648" s="74"/>
      <c r="B648" s="76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</row>
    <row r="649" spans="1:15" ht="15">
      <c r="A649" s="74"/>
      <c r="B649" s="76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</row>
    <row r="650" ht="15">
      <c r="B650" s="76"/>
    </row>
    <row r="651" ht="15">
      <c r="B651" s="76"/>
    </row>
    <row r="652" ht="15">
      <c r="B652" s="76"/>
    </row>
    <row r="653" ht="15">
      <c r="B653" s="76"/>
    </row>
    <row r="654" ht="15">
      <c r="B654" s="76"/>
    </row>
    <row r="655" ht="15">
      <c r="B655" s="76"/>
    </row>
    <row r="656" ht="15">
      <c r="B656" s="76"/>
    </row>
    <row r="657" ht="15">
      <c r="B657" s="76"/>
    </row>
    <row r="658" ht="15">
      <c r="B658" s="76"/>
    </row>
    <row r="659" ht="15">
      <c r="B659" s="76"/>
    </row>
    <row r="660" ht="15">
      <c r="B660" s="76"/>
    </row>
    <row r="661" ht="15">
      <c r="B661" s="76"/>
    </row>
    <row r="662" ht="15">
      <c r="B662" s="76"/>
    </row>
    <row r="663" ht="15">
      <c r="B663" s="76"/>
    </row>
    <row r="664" ht="15">
      <c r="B664" s="76"/>
    </row>
    <row r="665" ht="15">
      <c r="B665" s="76"/>
    </row>
    <row r="666" ht="15">
      <c r="B666" s="76"/>
    </row>
    <row r="667" ht="15">
      <c r="B667" s="76"/>
    </row>
    <row r="668" ht="15">
      <c r="B668" s="76"/>
    </row>
    <row r="669" ht="15">
      <c r="B669" s="76"/>
    </row>
    <row r="670" ht="15">
      <c r="B670" s="76"/>
    </row>
    <row r="671" ht="15">
      <c r="B671" s="76"/>
    </row>
    <row r="672" ht="15">
      <c r="B672" s="76"/>
    </row>
    <row r="673" ht="15">
      <c r="B673" s="76"/>
    </row>
    <row r="674" ht="15">
      <c r="B674" s="76"/>
    </row>
    <row r="675" ht="15">
      <c r="B675" s="76"/>
    </row>
    <row r="676" ht="15">
      <c r="B676" s="76"/>
    </row>
    <row r="677" ht="15">
      <c r="B677" s="76"/>
    </row>
    <row r="678" ht="15">
      <c r="B678" s="76"/>
    </row>
    <row r="679" ht="15">
      <c r="B679" s="76"/>
    </row>
    <row r="680" ht="15">
      <c r="B680" s="76"/>
    </row>
    <row r="681" ht="15">
      <c r="B681" s="76"/>
    </row>
    <row r="682" ht="15">
      <c r="B682" s="76"/>
    </row>
    <row r="683" ht="15">
      <c r="B683" s="76"/>
    </row>
    <row r="684" ht="15">
      <c r="B684" s="76"/>
    </row>
    <row r="685" ht="15">
      <c r="B685" s="76"/>
    </row>
    <row r="686" ht="15">
      <c r="B686" s="76"/>
    </row>
    <row r="687" ht="15">
      <c r="B687" s="76"/>
    </row>
    <row r="688" ht="15">
      <c r="B688" s="76"/>
    </row>
    <row r="689" ht="15">
      <c r="B689" s="76"/>
    </row>
    <row r="690" ht="15">
      <c r="B690" s="76"/>
    </row>
    <row r="691" ht="15">
      <c r="B691" s="76"/>
    </row>
    <row r="692" ht="15">
      <c r="B692" s="76"/>
    </row>
    <row r="693" ht="15">
      <c r="B693" s="76"/>
    </row>
    <row r="694" ht="15">
      <c r="B694" s="76"/>
    </row>
    <row r="695" ht="15">
      <c r="B695" s="76"/>
    </row>
    <row r="696" ht="15">
      <c r="B696" s="76"/>
    </row>
    <row r="697" ht="15">
      <c r="B697" s="76"/>
    </row>
    <row r="698" ht="15">
      <c r="B698" s="76"/>
    </row>
    <row r="699" ht="15">
      <c r="B699" s="76"/>
    </row>
    <row r="700" ht="15">
      <c r="B700" s="76"/>
    </row>
    <row r="701" ht="15">
      <c r="B701" s="76"/>
    </row>
    <row r="702" ht="15">
      <c r="B702" s="76"/>
    </row>
    <row r="703" ht="15">
      <c r="B703" s="76"/>
    </row>
    <row r="704" ht="15">
      <c r="B704" s="76"/>
    </row>
    <row r="705" ht="15">
      <c r="B705" s="76"/>
    </row>
    <row r="706" ht="15">
      <c r="B706" s="76"/>
    </row>
    <row r="707" ht="15">
      <c r="B707" s="76"/>
    </row>
    <row r="708" ht="15">
      <c r="B708" s="76"/>
    </row>
    <row r="709" ht="15">
      <c r="B709" s="76"/>
    </row>
    <row r="710" ht="15">
      <c r="B710" s="76"/>
    </row>
    <row r="711" ht="15">
      <c r="B711" s="76"/>
    </row>
    <row r="712" ht="15">
      <c r="B712" s="76"/>
    </row>
    <row r="713" ht="15">
      <c r="B713" s="76"/>
    </row>
    <row r="714" ht="15">
      <c r="B714" s="76"/>
    </row>
    <row r="715" ht="15">
      <c r="B715" s="76"/>
    </row>
    <row r="716" ht="15">
      <c r="B716" s="76"/>
    </row>
    <row r="717" ht="15">
      <c r="B717" s="76"/>
    </row>
    <row r="718" ht="15">
      <c r="B718" s="76"/>
    </row>
    <row r="719" ht="15">
      <c r="B719" s="76"/>
    </row>
    <row r="720" ht="15">
      <c r="B720" s="76"/>
    </row>
    <row r="721" ht="15">
      <c r="B721" s="76"/>
    </row>
    <row r="722" ht="15">
      <c r="B722" s="76"/>
    </row>
    <row r="723" ht="15">
      <c r="B723" s="76"/>
    </row>
    <row r="724" ht="15">
      <c r="B724" s="76"/>
    </row>
    <row r="725" ht="15">
      <c r="B725" s="76"/>
    </row>
    <row r="726" ht="15">
      <c r="B726" s="76"/>
    </row>
    <row r="727" ht="15">
      <c r="B727" s="76"/>
    </row>
    <row r="728" ht="15">
      <c r="B728" s="76"/>
    </row>
  </sheetData>
  <sheetProtection/>
  <mergeCells count="7">
    <mergeCell ref="B1:O1"/>
    <mergeCell ref="B2:O2"/>
    <mergeCell ref="C15:D15"/>
    <mergeCell ref="D247:M247"/>
    <mergeCell ref="F15:M15"/>
    <mergeCell ref="A244:O244"/>
    <mergeCell ref="A245:O2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28"/>
  <sheetViews>
    <sheetView zoomScalePageLayoutView="0" workbookViewId="0" topLeftCell="A8">
      <selection activeCell="C24" sqref="C24"/>
    </sheetView>
  </sheetViews>
  <sheetFormatPr defaultColWidth="11.421875" defaultRowHeight="15"/>
  <cols>
    <col min="3" max="3" width="16.421875" style="0" customWidth="1"/>
  </cols>
  <sheetData>
    <row r="10" ht="15">
      <c r="C10" s="90"/>
    </row>
    <row r="11" ht="15">
      <c r="C11" s="174"/>
    </row>
    <row r="12" ht="15">
      <c r="C12" s="90"/>
    </row>
    <row r="13" ht="15">
      <c r="C13" s="90"/>
    </row>
    <row r="14" ht="15">
      <c r="C14" s="90"/>
    </row>
    <row r="15" ht="15">
      <c r="C15" s="90"/>
    </row>
    <row r="16" ht="15">
      <c r="C16" s="189"/>
    </row>
    <row r="17" ht="15">
      <c r="C17" s="90"/>
    </row>
    <row r="18" ht="15">
      <c r="C18" s="90">
        <f>+'ING 2012'!L6-'GAST 2012'!O17</f>
        <v>-0.019999980926513672</v>
      </c>
    </row>
    <row r="19" ht="15">
      <c r="C19" s="90"/>
    </row>
    <row r="20" ht="15">
      <c r="C20" s="90"/>
    </row>
    <row r="21" ht="15">
      <c r="C21" s="90">
        <v>454639367</v>
      </c>
    </row>
    <row r="22" ht="15">
      <c r="C22" s="90">
        <v>26612142</v>
      </c>
    </row>
    <row r="23" ht="15">
      <c r="C23" s="90">
        <f>+C21+C22</f>
        <v>481251509</v>
      </c>
    </row>
    <row r="24" ht="15">
      <c r="C24" s="90"/>
    </row>
    <row r="25" ht="15">
      <c r="C25" s="90"/>
    </row>
    <row r="26" ht="15">
      <c r="C26" s="90"/>
    </row>
    <row r="27" ht="15">
      <c r="C27" s="90"/>
    </row>
    <row r="28" ht="15">
      <c r="C28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David Suarez Sanchez</cp:lastModifiedBy>
  <cp:lastPrinted>2012-11-03T14:21:45Z</cp:lastPrinted>
  <dcterms:created xsi:type="dcterms:W3CDTF">2011-12-15T14:14:30Z</dcterms:created>
  <dcterms:modified xsi:type="dcterms:W3CDTF">2013-07-15T19:31:33Z</dcterms:modified>
  <cp:category/>
  <cp:version/>
  <cp:contentType/>
  <cp:contentStatus/>
</cp:coreProperties>
</file>