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0" windowWidth="12240" windowHeight="8580" activeTab="3"/>
  </bookViews>
  <sheets>
    <sheet name="POAI 2012" sheetId="1" r:id="rId1"/>
    <sheet name="POAI 2013" sheetId="7" r:id="rId2"/>
    <sheet name="POAI 2014" sheetId="8" r:id="rId3"/>
    <sheet name="POAI 2015" sheetId="9" r:id="rId4"/>
    <sheet name="PPTO" sheetId="2" r:id="rId5"/>
    <sheet name="2012" sheetId="3" r:id="rId6"/>
    <sheet name="2013" sheetId="4" r:id="rId7"/>
    <sheet name="2014" sheetId="5" r:id="rId8"/>
    <sheet name="2015" sheetId="6" r:id="rId9"/>
    <sheet name="TOTAL 2012 - 2015" sheetId="10" r:id="rId10"/>
    <sheet name="PPTO GASTOS" sheetId="11" r:id="rId11"/>
    <sheet name="PPTO RENTAS" sheetId="12" r:id="rId12"/>
    <sheet name="PLAN FCIERO" sheetId="13" r:id="rId13"/>
  </sheets>
  <calcPr calcId="125725"/>
</workbook>
</file>

<file path=xl/calcChain.xml><?xml version="1.0" encoding="utf-8"?>
<calcChain xmlns="http://schemas.openxmlformats.org/spreadsheetml/2006/main">
  <c r="H8" i="10"/>
  <c r="G7"/>
  <c r="G6"/>
  <c r="G5"/>
  <c r="G4"/>
  <c r="F7"/>
  <c r="F6"/>
  <c r="F5"/>
  <c r="F4"/>
  <c r="D7"/>
  <c r="D6"/>
  <c r="D5"/>
  <c r="D4"/>
  <c r="I9" i="6"/>
  <c r="H9"/>
  <c r="F9"/>
  <c r="D9"/>
  <c r="B9"/>
  <c r="K86" i="9"/>
  <c r="I8" i="6"/>
  <c r="H8"/>
  <c r="F8"/>
  <c r="D8"/>
  <c r="B8"/>
  <c r="H7"/>
  <c r="I7"/>
  <c r="F7"/>
  <c r="D7"/>
  <c r="B7"/>
  <c r="I6"/>
  <c r="H6"/>
  <c r="F6"/>
  <c r="D6"/>
  <c r="B6"/>
  <c r="K6" s="1"/>
  <c r="K10" s="1"/>
  <c r="I9" i="5"/>
  <c r="H9"/>
  <c r="F9"/>
  <c r="D9"/>
  <c r="B9"/>
  <c r="K86" i="8"/>
  <c r="I8" i="5"/>
  <c r="H8"/>
  <c r="F8"/>
  <c r="D8"/>
  <c r="B8"/>
  <c r="I7"/>
  <c r="F7"/>
  <c r="D7"/>
  <c r="B7"/>
  <c r="I6"/>
  <c r="H6"/>
  <c r="F6"/>
  <c r="D6"/>
  <c r="B6"/>
  <c r="K6" s="1"/>
  <c r="K10" s="1"/>
  <c r="I9" i="4"/>
  <c r="H9"/>
  <c r="B9"/>
  <c r="H8"/>
  <c r="I7"/>
  <c r="H6"/>
  <c r="K85" i="1"/>
  <c r="K86"/>
  <c r="K99"/>
  <c r="I9" i="3"/>
  <c r="H9"/>
  <c r="F9"/>
  <c r="D9"/>
  <c r="B9"/>
  <c r="K9" s="1"/>
  <c r="B8"/>
  <c r="I7"/>
  <c r="H7"/>
  <c r="F7"/>
  <c r="D7"/>
  <c r="B7"/>
  <c r="K7" s="1"/>
  <c r="I6"/>
  <c r="F6"/>
  <c r="D6"/>
  <c r="B6"/>
  <c r="K6" s="1"/>
  <c r="K10" s="1"/>
  <c r="J100" i="9"/>
  <c r="H100"/>
  <c r="B100"/>
  <c r="F99"/>
  <c r="F98"/>
  <c r="F100"/>
  <c r="D99"/>
  <c r="K99"/>
  <c r="K98"/>
  <c r="J98"/>
  <c r="I98"/>
  <c r="I100"/>
  <c r="H98"/>
  <c r="G98"/>
  <c r="G100"/>
  <c r="E98"/>
  <c r="E100"/>
  <c r="D98"/>
  <c r="D100"/>
  <c r="C98"/>
  <c r="C100"/>
  <c r="B98"/>
  <c r="D97"/>
  <c r="K97"/>
  <c r="D96"/>
  <c r="K96"/>
  <c r="J95"/>
  <c r="I95"/>
  <c r="H95"/>
  <c r="G95"/>
  <c r="F95"/>
  <c r="E95"/>
  <c r="D95"/>
  <c r="C95"/>
  <c r="B95"/>
  <c r="D94"/>
  <c r="K94"/>
  <c r="K93"/>
  <c r="J93"/>
  <c r="I93"/>
  <c r="H93"/>
  <c r="G93"/>
  <c r="F93"/>
  <c r="E93"/>
  <c r="D93"/>
  <c r="C93"/>
  <c r="B93"/>
  <c r="D92"/>
  <c r="K92"/>
  <c r="K91"/>
  <c r="J91"/>
  <c r="I91"/>
  <c r="H91"/>
  <c r="G91"/>
  <c r="F91"/>
  <c r="E91"/>
  <c r="E89"/>
  <c r="D91"/>
  <c r="C91"/>
  <c r="B91"/>
  <c r="G89"/>
  <c r="C89"/>
  <c r="J87"/>
  <c r="B86"/>
  <c r="K85"/>
  <c r="J85"/>
  <c r="I85"/>
  <c r="H85"/>
  <c r="G85"/>
  <c r="G87"/>
  <c r="F85"/>
  <c r="E85"/>
  <c r="E87"/>
  <c r="D85"/>
  <c r="C85"/>
  <c r="C87"/>
  <c r="B85"/>
  <c r="D84"/>
  <c r="K84"/>
  <c r="D83"/>
  <c r="K83"/>
  <c r="I82"/>
  <c r="H82"/>
  <c r="H87"/>
  <c r="G82"/>
  <c r="F82"/>
  <c r="E82"/>
  <c r="D82"/>
  <c r="C82"/>
  <c r="B82"/>
  <c r="F81"/>
  <c r="D81"/>
  <c r="K81"/>
  <c r="F80"/>
  <c r="D80"/>
  <c r="D79"/>
  <c r="I79"/>
  <c r="H79"/>
  <c r="G79"/>
  <c r="E79"/>
  <c r="C79"/>
  <c r="B79"/>
  <c r="B78"/>
  <c r="K78"/>
  <c r="D77"/>
  <c r="B77"/>
  <c r="K77"/>
  <c r="D76"/>
  <c r="B76"/>
  <c r="K76"/>
  <c r="I75"/>
  <c r="H75"/>
  <c r="G75"/>
  <c r="F75"/>
  <c r="E75"/>
  <c r="D75"/>
  <c r="C75"/>
  <c r="B75"/>
  <c r="K75"/>
  <c r="D74"/>
  <c r="K74"/>
  <c r="D73"/>
  <c r="K73"/>
  <c r="I72"/>
  <c r="B72"/>
  <c r="K72"/>
  <c r="B71"/>
  <c r="K71"/>
  <c r="I70"/>
  <c r="K70"/>
  <c r="I69"/>
  <c r="K69"/>
  <c r="H68"/>
  <c r="G68"/>
  <c r="F68"/>
  <c r="E68"/>
  <c r="C68"/>
  <c r="G66"/>
  <c r="E66"/>
  <c r="C66"/>
  <c r="K63"/>
  <c r="K62"/>
  <c r="J62"/>
  <c r="J64"/>
  <c r="I62"/>
  <c r="H62"/>
  <c r="G62"/>
  <c r="F62"/>
  <c r="E62"/>
  <c r="D62"/>
  <c r="C62"/>
  <c r="B62"/>
  <c r="F61"/>
  <c r="K61"/>
  <c r="D60"/>
  <c r="K60"/>
  <c r="K59"/>
  <c r="J59"/>
  <c r="I59"/>
  <c r="H59"/>
  <c r="G59"/>
  <c r="F59"/>
  <c r="E59"/>
  <c r="C59"/>
  <c r="B59"/>
  <c r="D58"/>
  <c r="B58"/>
  <c r="K57"/>
  <c r="D57"/>
  <c r="F56"/>
  <c r="F54"/>
  <c r="D56"/>
  <c r="D55"/>
  <c r="K55"/>
  <c r="J54"/>
  <c r="I54"/>
  <c r="H54"/>
  <c r="G54"/>
  <c r="E54"/>
  <c r="C54"/>
  <c r="B54"/>
  <c r="D53"/>
  <c r="B53"/>
  <c r="D52"/>
  <c r="B52"/>
  <c r="B51"/>
  <c r="K51"/>
  <c r="I50"/>
  <c r="I64"/>
  <c r="H50"/>
  <c r="G50"/>
  <c r="G64"/>
  <c r="F50"/>
  <c r="D50"/>
  <c r="D49"/>
  <c r="B49"/>
  <c r="D48"/>
  <c r="D47"/>
  <c r="B48"/>
  <c r="J47"/>
  <c r="I47"/>
  <c r="H47"/>
  <c r="G47"/>
  <c r="F47"/>
  <c r="E47"/>
  <c r="E64"/>
  <c r="C47"/>
  <c r="C64"/>
  <c r="K46"/>
  <c r="B45"/>
  <c r="K45"/>
  <c r="D44"/>
  <c r="K44"/>
  <c r="I43"/>
  <c r="H43"/>
  <c r="G43"/>
  <c r="F43"/>
  <c r="E43"/>
  <c r="D43"/>
  <c r="C43"/>
  <c r="B43"/>
  <c r="K43"/>
  <c r="G41"/>
  <c r="E41"/>
  <c r="C41"/>
  <c r="K38"/>
  <c r="D38"/>
  <c r="K37"/>
  <c r="D37"/>
  <c r="K36"/>
  <c r="D36"/>
  <c r="K35"/>
  <c r="J35"/>
  <c r="J39"/>
  <c r="I35"/>
  <c r="H35"/>
  <c r="H39"/>
  <c r="G35"/>
  <c r="G39"/>
  <c r="F35"/>
  <c r="E35"/>
  <c r="E39"/>
  <c r="D35"/>
  <c r="C35"/>
  <c r="C39"/>
  <c r="B35"/>
  <c r="D34"/>
  <c r="B34"/>
  <c r="J33"/>
  <c r="I33"/>
  <c r="H33"/>
  <c r="G33"/>
  <c r="F33"/>
  <c r="E33"/>
  <c r="D33"/>
  <c r="C33"/>
  <c r="B33"/>
  <c r="D32"/>
  <c r="K32"/>
  <c r="I31"/>
  <c r="H31"/>
  <c r="G31"/>
  <c r="F31"/>
  <c r="E31"/>
  <c r="C31"/>
  <c r="B31"/>
  <c r="F30"/>
  <c r="D30"/>
  <c r="D29"/>
  <c r="I29"/>
  <c r="H29"/>
  <c r="G29"/>
  <c r="F29"/>
  <c r="E29"/>
  <c r="C29"/>
  <c r="B29"/>
  <c r="K28"/>
  <c r="F28"/>
  <c r="I27"/>
  <c r="F27"/>
  <c r="D27"/>
  <c r="B27"/>
  <c r="B24"/>
  <c r="I26"/>
  <c r="F26"/>
  <c r="D26"/>
  <c r="K26"/>
  <c r="I25"/>
  <c r="F25"/>
  <c r="D25"/>
  <c r="H24"/>
  <c r="I23"/>
  <c r="D23"/>
  <c r="I22"/>
  <c r="F22"/>
  <c r="D22"/>
  <c r="K22"/>
  <c r="I21"/>
  <c r="F21"/>
  <c r="D21"/>
  <c r="I20"/>
  <c r="H20"/>
  <c r="F20"/>
  <c r="B20"/>
  <c r="F19"/>
  <c r="K19"/>
  <c r="F18"/>
  <c r="K18"/>
  <c r="I17"/>
  <c r="H17"/>
  <c r="G17"/>
  <c r="E17"/>
  <c r="D17"/>
  <c r="C17"/>
  <c r="B17"/>
  <c r="I16"/>
  <c r="F16"/>
  <c r="K16"/>
  <c r="D16"/>
  <c r="K15"/>
  <c r="D15"/>
  <c r="K14"/>
  <c r="D14"/>
  <c r="K13"/>
  <c r="D13"/>
  <c r="F12"/>
  <c r="D12"/>
  <c r="F11"/>
  <c r="K11"/>
  <c r="D10"/>
  <c r="K10"/>
  <c r="F9"/>
  <c r="D9"/>
  <c r="F8"/>
  <c r="D8"/>
  <c r="D7"/>
  <c r="I7"/>
  <c r="H7"/>
  <c r="G7"/>
  <c r="G5"/>
  <c r="E7"/>
  <c r="C7"/>
  <c r="C5"/>
  <c r="B7"/>
  <c r="J5"/>
  <c r="E5"/>
  <c r="F99" i="8"/>
  <c r="D99"/>
  <c r="J98"/>
  <c r="J100"/>
  <c r="I98"/>
  <c r="I100"/>
  <c r="H98"/>
  <c r="H100"/>
  <c r="G98"/>
  <c r="G100"/>
  <c r="F98"/>
  <c r="F100"/>
  <c r="E98"/>
  <c r="E100"/>
  <c r="D98"/>
  <c r="C98"/>
  <c r="C100"/>
  <c r="B98"/>
  <c r="B100"/>
  <c r="D97"/>
  <c r="K97"/>
  <c r="D96"/>
  <c r="K96"/>
  <c r="J95"/>
  <c r="I95"/>
  <c r="H95"/>
  <c r="G95"/>
  <c r="F95"/>
  <c r="E95"/>
  <c r="C95"/>
  <c r="B95"/>
  <c r="D94"/>
  <c r="K94"/>
  <c r="K93"/>
  <c r="J93"/>
  <c r="I93"/>
  <c r="H93"/>
  <c r="G93"/>
  <c r="F93"/>
  <c r="E93"/>
  <c r="C93"/>
  <c r="B93"/>
  <c r="D92"/>
  <c r="K92"/>
  <c r="K91"/>
  <c r="J91"/>
  <c r="I91"/>
  <c r="H91"/>
  <c r="G91"/>
  <c r="F91"/>
  <c r="E91"/>
  <c r="C91"/>
  <c r="B91"/>
  <c r="G89"/>
  <c r="E89"/>
  <c r="C89"/>
  <c r="B86"/>
  <c r="K85"/>
  <c r="J85"/>
  <c r="J87"/>
  <c r="I85"/>
  <c r="H85"/>
  <c r="H87"/>
  <c r="G85"/>
  <c r="F85"/>
  <c r="E85"/>
  <c r="D85"/>
  <c r="C85"/>
  <c r="B85"/>
  <c r="D84"/>
  <c r="K84"/>
  <c r="D83"/>
  <c r="K83"/>
  <c r="I82"/>
  <c r="H82"/>
  <c r="G82"/>
  <c r="G87"/>
  <c r="F82"/>
  <c r="E82"/>
  <c r="E87"/>
  <c r="C82"/>
  <c r="C87"/>
  <c r="B82"/>
  <c r="F81"/>
  <c r="D81"/>
  <c r="K81"/>
  <c r="F80"/>
  <c r="D80"/>
  <c r="K80"/>
  <c r="I79"/>
  <c r="H79"/>
  <c r="G79"/>
  <c r="F79"/>
  <c r="E79"/>
  <c r="D79"/>
  <c r="C79"/>
  <c r="B79"/>
  <c r="K79"/>
  <c r="B78"/>
  <c r="K78"/>
  <c r="D77"/>
  <c r="B77"/>
  <c r="D76"/>
  <c r="B76"/>
  <c r="I75"/>
  <c r="H75"/>
  <c r="G75"/>
  <c r="F75"/>
  <c r="E75"/>
  <c r="C75"/>
  <c r="K74"/>
  <c r="D74"/>
  <c r="K73"/>
  <c r="D73"/>
  <c r="I72"/>
  <c r="B72"/>
  <c r="B71"/>
  <c r="K71"/>
  <c r="I70"/>
  <c r="K70"/>
  <c r="I69"/>
  <c r="K69"/>
  <c r="H68"/>
  <c r="G68"/>
  <c r="F68"/>
  <c r="E68"/>
  <c r="E66"/>
  <c r="D68"/>
  <c r="C68"/>
  <c r="G66"/>
  <c r="C66"/>
  <c r="K63"/>
  <c r="K62"/>
  <c r="J62"/>
  <c r="I62"/>
  <c r="I64"/>
  <c r="H62"/>
  <c r="G62"/>
  <c r="G64"/>
  <c r="F62"/>
  <c r="E62"/>
  <c r="E64"/>
  <c r="D62"/>
  <c r="C62"/>
  <c r="C64"/>
  <c r="B62"/>
  <c r="F61"/>
  <c r="K61"/>
  <c r="D60"/>
  <c r="K60"/>
  <c r="J59"/>
  <c r="I59"/>
  <c r="H59"/>
  <c r="G59"/>
  <c r="F59"/>
  <c r="E59"/>
  <c r="D59"/>
  <c r="C59"/>
  <c r="B59"/>
  <c r="D58"/>
  <c r="B58"/>
  <c r="K58"/>
  <c r="D57"/>
  <c r="K57"/>
  <c r="F56"/>
  <c r="F54"/>
  <c r="F64"/>
  <c r="D56"/>
  <c r="K55"/>
  <c r="D55"/>
  <c r="J54"/>
  <c r="I54"/>
  <c r="H54"/>
  <c r="G54"/>
  <c r="E54"/>
  <c r="C54"/>
  <c r="D53"/>
  <c r="B53"/>
  <c r="D52"/>
  <c r="B52"/>
  <c r="K51"/>
  <c r="B51"/>
  <c r="I50"/>
  <c r="H50"/>
  <c r="G50"/>
  <c r="F50"/>
  <c r="D50"/>
  <c r="B50"/>
  <c r="K50"/>
  <c r="D49"/>
  <c r="B49"/>
  <c r="D48"/>
  <c r="B48"/>
  <c r="J47"/>
  <c r="J64"/>
  <c r="I47"/>
  <c r="H47"/>
  <c r="G47"/>
  <c r="F47"/>
  <c r="E47"/>
  <c r="D47"/>
  <c r="C47"/>
  <c r="B47"/>
  <c r="K46"/>
  <c r="B45"/>
  <c r="D44"/>
  <c r="I43"/>
  <c r="G43"/>
  <c r="F43"/>
  <c r="E43"/>
  <c r="E41"/>
  <c r="C43"/>
  <c r="B43"/>
  <c r="G41"/>
  <c r="C41"/>
  <c r="D38"/>
  <c r="K38"/>
  <c r="D37"/>
  <c r="K37"/>
  <c r="D36"/>
  <c r="K36"/>
  <c r="J35"/>
  <c r="J39"/>
  <c r="I35"/>
  <c r="H35"/>
  <c r="H39"/>
  <c r="G35"/>
  <c r="G39"/>
  <c r="F35"/>
  <c r="E35"/>
  <c r="E39"/>
  <c r="C35"/>
  <c r="C39"/>
  <c r="B35"/>
  <c r="D34"/>
  <c r="D33"/>
  <c r="B34"/>
  <c r="J33"/>
  <c r="I33"/>
  <c r="H33"/>
  <c r="G33"/>
  <c r="F33"/>
  <c r="E33"/>
  <c r="C33"/>
  <c r="B33"/>
  <c r="K32"/>
  <c r="D32"/>
  <c r="I31"/>
  <c r="H31"/>
  <c r="G31"/>
  <c r="F31"/>
  <c r="E31"/>
  <c r="D31"/>
  <c r="C31"/>
  <c r="B31"/>
  <c r="K31"/>
  <c r="F30"/>
  <c r="F29"/>
  <c r="D30"/>
  <c r="I29"/>
  <c r="H29"/>
  <c r="G29"/>
  <c r="E29"/>
  <c r="D29"/>
  <c r="C29"/>
  <c r="B29"/>
  <c r="F28"/>
  <c r="K28"/>
  <c r="I27"/>
  <c r="F27"/>
  <c r="D27"/>
  <c r="B27"/>
  <c r="K27"/>
  <c r="I26"/>
  <c r="F26"/>
  <c r="K26"/>
  <c r="D26"/>
  <c r="I25"/>
  <c r="F25"/>
  <c r="D25"/>
  <c r="H24"/>
  <c r="F24"/>
  <c r="I23"/>
  <c r="D23"/>
  <c r="I22"/>
  <c r="F22"/>
  <c r="D22"/>
  <c r="D20"/>
  <c r="I21"/>
  <c r="F21"/>
  <c r="K21"/>
  <c r="D21"/>
  <c r="H20"/>
  <c r="B20"/>
  <c r="F19"/>
  <c r="K19"/>
  <c r="F18"/>
  <c r="K18"/>
  <c r="I17"/>
  <c r="H17"/>
  <c r="G17"/>
  <c r="F17"/>
  <c r="E17"/>
  <c r="D17"/>
  <c r="C17"/>
  <c r="B17"/>
  <c r="K17"/>
  <c r="I16"/>
  <c r="I7"/>
  <c r="F16"/>
  <c r="D16"/>
  <c r="D15"/>
  <c r="K15"/>
  <c r="D14"/>
  <c r="K14"/>
  <c r="D13"/>
  <c r="K13"/>
  <c r="F12"/>
  <c r="D12"/>
  <c r="K12"/>
  <c r="F11"/>
  <c r="K11"/>
  <c r="D10"/>
  <c r="K10"/>
  <c r="F9"/>
  <c r="D9"/>
  <c r="K9"/>
  <c r="F8"/>
  <c r="D8"/>
  <c r="K8"/>
  <c r="H7"/>
  <c r="G7"/>
  <c r="E7"/>
  <c r="C7"/>
  <c r="B7"/>
  <c r="J5"/>
  <c r="G5"/>
  <c r="E5"/>
  <c r="C5"/>
  <c r="F99" i="7"/>
  <c r="D99"/>
  <c r="D97"/>
  <c r="D96"/>
  <c r="D94"/>
  <c r="D92"/>
  <c r="B86"/>
  <c r="K86" s="1"/>
  <c r="K85" s="1"/>
  <c r="D84"/>
  <c r="D83"/>
  <c r="F81"/>
  <c r="F80"/>
  <c r="D81"/>
  <c r="D80"/>
  <c r="D77"/>
  <c r="D76"/>
  <c r="B78"/>
  <c r="B77"/>
  <c r="B76"/>
  <c r="I72"/>
  <c r="I70"/>
  <c r="I69"/>
  <c r="D74"/>
  <c r="D73"/>
  <c r="B72"/>
  <c r="B71"/>
  <c r="F61"/>
  <c r="D60"/>
  <c r="F56"/>
  <c r="D58"/>
  <c r="D57"/>
  <c r="D56"/>
  <c r="D55"/>
  <c r="B58"/>
  <c r="D53"/>
  <c r="D52"/>
  <c r="B53"/>
  <c r="B52"/>
  <c r="B51"/>
  <c r="D49"/>
  <c r="D48"/>
  <c r="B49"/>
  <c r="B48"/>
  <c r="D44"/>
  <c r="B45"/>
  <c r="D38"/>
  <c r="D37"/>
  <c r="D36"/>
  <c r="D34"/>
  <c r="B34"/>
  <c r="D32"/>
  <c r="F30"/>
  <c r="D30"/>
  <c r="I27"/>
  <c r="I26"/>
  <c r="I25"/>
  <c r="F28"/>
  <c r="F27"/>
  <c r="F26"/>
  <c r="F25"/>
  <c r="B27"/>
  <c r="D27"/>
  <c r="D26"/>
  <c r="D25"/>
  <c r="I23"/>
  <c r="I22"/>
  <c r="I21"/>
  <c r="F22"/>
  <c r="F21"/>
  <c r="D23"/>
  <c r="D22"/>
  <c r="D21"/>
  <c r="F19"/>
  <c r="F18"/>
  <c r="F17" s="1"/>
  <c r="I16"/>
  <c r="F16"/>
  <c r="F12"/>
  <c r="F11"/>
  <c r="F9"/>
  <c r="F8"/>
  <c r="D16"/>
  <c r="D15"/>
  <c r="D14"/>
  <c r="D13"/>
  <c r="D12"/>
  <c r="D10"/>
  <c r="K12"/>
  <c r="K14"/>
  <c r="D9"/>
  <c r="D8"/>
  <c r="D7" s="1"/>
  <c r="K99"/>
  <c r="K98" s="1"/>
  <c r="J98"/>
  <c r="J100"/>
  <c r="I98"/>
  <c r="I100"/>
  <c r="H98"/>
  <c r="H100"/>
  <c r="G98"/>
  <c r="G100"/>
  <c r="F98"/>
  <c r="F100" s="1"/>
  <c r="E98"/>
  <c r="E100"/>
  <c r="D98"/>
  <c r="C98"/>
  <c r="C100"/>
  <c r="B98"/>
  <c r="B100"/>
  <c r="K97"/>
  <c r="K96"/>
  <c r="J95"/>
  <c r="I95"/>
  <c r="H95"/>
  <c r="G95"/>
  <c r="F95"/>
  <c r="E95"/>
  <c r="D95"/>
  <c r="C95"/>
  <c r="B95"/>
  <c r="K94"/>
  <c r="K93" s="1"/>
  <c r="J93"/>
  <c r="I93"/>
  <c r="H93"/>
  <c r="G93"/>
  <c r="F93"/>
  <c r="E93"/>
  <c r="D93"/>
  <c r="C93"/>
  <c r="B93"/>
  <c r="K92"/>
  <c r="K91"/>
  <c r="J91"/>
  <c r="I91"/>
  <c r="H91"/>
  <c r="G91"/>
  <c r="F91"/>
  <c r="E91"/>
  <c r="E89"/>
  <c r="D91"/>
  <c r="D100" s="1"/>
  <c r="D9" i="4" s="1"/>
  <c r="C91" i="7"/>
  <c r="B91"/>
  <c r="G89"/>
  <c r="C89"/>
  <c r="J85"/>
  <c r="J87"/>
  <c r="I85"/>
  <c r="H85"/>
  <c r="H87"/>
  <c r="G85"/>
  <c r="G87"/>
  <c r="F85"/>
  <c r="E85"/>
  <c r="E87"/>
  <c r="D85"/>
  <c r="C85"/>
  <c r="C87"/>
  <c r="B85"/>
  <c r="K84"/>
  <c r="K83"/>
  <c r="I82"/>
  <c r="H82"/>
  <c r="G82"/>
  <c r="F82"/>
  <c r="E82"/>
  <c r="D82"/>
  <c r="K82" s="1"/>
  <c r="C82"/>
  <c r="B82"/>
  <c r="K81"/>
  <c r="K80"/>
  <c r="I79"/>
  <c r="H79"/>
  <c r="G79"/>
  <c r="F79"/>
  <c r="F87" s="1"/>
  <c r="F8" i="4" s="1"/>
  <c r="E79" i="7"/>
  <c r="D79"/>
  <c r="K79" s="1"/>
  <c r="C79"/>
  <c r="B79"/>
  <c r="K78"/>
  <c r="K77"/>
  <c r="K76"/>
  <c r="I75"/>
  <c r="H75"/>
  <c r="G75"/>
  <c r="F75"/>
  <c r="E75"/>
  <c r="D75"/>
  <c r="C75"/>
  <c r="B75"/>
  <c r="K75" s="1"/>
  <c r="K74"/>
  <c r="K73"/>
  <c r="K72"/>
  <c r="K71"/>
  <c r="K70"/>
  <c r="K69"/>
  <c r="I68"/>
  <c r="I87" s="1"/>
  <c r="H68"/>
  <c r="G68"/>
  <c r="F68"/>
  <c r="E68"/>
  <c r="D68"/>
  <c r="D87" s="1"/>
  <c r="C68"/>
  <c r="B68"/>
  <c r="G66"/>
  <c r="E66"/>
  <c r="C66"/>
  <c r="K63"/>
  <c r="K62"/>
  <c r="J62"/>
  <c r="J64"/>
  <c r="I62"/>
  <c r="H62"/>
  <c r="G62"/>
  <c r="F62"/>
  <c r="E62"/>
  <c r="D62"/>
  <c r="C62"/>
  <c r="B62"/>
  <c r="K61"/>
  <c r="K60"/>
  <c r="K59" s="1"/>
  <c r="J59"/>
  <c r="I59"/>
  <c r="H59"/>
  <c r="G59"/>
  <c r="F59"/>
  <c r="E59"/>
  <c r="D59"/>
  <c r="C59"/>
  <c r="B59"/>
  <c r="K58"/>
  <c r="K57"/>
  <c r="K56"/>
  <c r="K55"/>
  <c r="J54"/>
  <c r="I54"/>
  <c r="H54"/>
  <c r="G54"/>
  <c r="G64"/>
  <c r="F54"/>
  <c r="F64" s="1"/>
  <c r="F7" i="4" s="1"/>
  <c r="E54" i="7"/>
  <c r="E64"/>
  <c r="D54"/>
  <c r="C54"/>
  <c r="C64"/>
  <c r="K53"/>
  <c r="K52"/>
  <c r="K51"/>
  <c r="I50"/>
  <c r="H50"/>
  <c r="G50"/>
  <c r="F50"/>
  <c r="D50"/>
  <c r="B50"/>
  <c r="K50" s="1"/>
  <c r="K49"/>
  <c r="K48"/>
  <c r="J47"/>
  <c r="I47"/>
  <c r="I64"/>
  <c r="H47"/>
  <c r="G47"/>
  <c r="F47"/>
  <c r="E47"/>
  <c r="D47"/>
  <c r="C47"/>
  <c r="B47"/>
  <c r="K46"/>
  <c r="K45"/>
  <c r="K44"/>
  <c r="I43"/>
  <c r="H43"/>
  <c r="H64"/>
  <c r="H102"/>
  <c r="G43"/>
  <c r="F43"/>
  <c r="E43"/>
  <c r="E41"/>
  <c r="D43"/>
  <c r="D64" s="1"/>
  <c r="D7" i="4" s="1"/>
  <c r="C43" i="7"/>
  <c r="B43"/>
  <c r="G41"/>
  <c r="C41"/>
  <c r="K38"/>
  <c r="K37"/>
  <c r="K36"/>
  <c r="K35" s="1"/>
  <c r="J35"/>
  <c r="I35"/>
  <c r="H35"/>
  <c r="G35"/>
  <c r="F35"/>
  <c r="E35"/>
  <c r="D35"/>
  <c r="C35"/>
  <c r="C39"/>
  <c r="B35"/>
  <c r="K34"/>
  <c r="K33" s="1"/>
  <c r="J33"/>
  <c r="J39"/>
  <c r="I33"/>
  <c r="H33"/>
  <c r="G33"/>
  <c r="F33"/>
  <c r="E33"/>
  <c r="D33"/>
  <c r="C33"/>
  <c r="B33"/>
  <c r="K32"/>
  <c r="I31"/>
  <c r="H31"/>
  <c r="G31"/>
  <c r="F31"/>
  <c r="E31"/>
  <c r="D31"/>
  <c r="C31"/>
  <c r="B31"/>
  <c r="K31"/>
  <c r="K30"/>
  <c r="I29"/>
  <c r="H29"/>
  <c r="G29"/>
  <c r="F29"/>
  <c r="E29"/>
  <c r="D29"/>
  <c r="K29" s="1"/>
  <c r="C29"/>
  <c r="B29"/>
  <c r="K28"/>
  <c r="K27"/>
  <c r="K26"/>
  <c r="K25"/>
  <c r="H24"/>
  <c r="F24"/>
  <c r="B24"/>
  <c r="B39" s="1"/>
  <c r="K23"/>
  <c r="F20"/>
  <c r="K22"/>
  <c r="K21"/>
  <c r="I20"/>
  <c r="H20"/>
  <c r="D20"/>
  <c r="B20"/>
  <c r="K19"/>
  <c r="K18"/>
  <c r="I17"/>
  <c r="H17"/>
  <c r="G17"/>
  <c r="E17"/>
  <c r="D17"/>
  <c r="C17"/>
  <c r="B17"/>
  <c r="I7"/>
  <c r="K15"/>
  <c r="K13"/>
  <c r="K11"/>
  <c r="K10"/>
  <c r="K9"/>
  <c r="K8"/>
  <c r="H7"/>
  <c r="G7"/>
  <c r="F7"/>
  <c r="E7"/>
  <c r="C7"/>
  <c r="B7"/>
  <c r="J5"/>
  <c r="G5"/>
  <c r="C5"/>
  <c r="B58" i="1"/>
  <c r="F80"/>
  <c r="D12"/>
  <c r="D9"/>
  <c r="D16"/>
  <c r="K16"/>
  <c r="F104" i="11"/>
  <c r="F106"/>
  <c r="I16" i="1"/>
  <c r="B98"/>
  <c r="E98"/>
  <c r="F98"/>
  <c r="D49"/>
  <c r="D48"/>
  <c r="C33"/>
  <c r="D33"/>
  <c r="F26"/>
  <c r="D26"/>
  <c r="D23"/>
  <c r="D22"/>
  <c r="H4" i="11"/>
  <c r="C7" i="13"/>
  <c r="G4" i="1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G3"/>
  <c r="F3"/>
  <c r="B11" i="13"/>
  <c r="B12"/>
  <c r="F133" i="11"/>
  <c r="F99"/>
  <c r="F121"/>
  <c r="K71" i="1"/>
  <c r="D73"/>
  <c r="C4" i="13"/>
  <c r="C3"/>
  <c r="E8"/>
  <c r="E9"/>
  <c r="D8"/>
  <c r="D9"/>
  <c r="C8"/>
  <c r="C9"/>
  <c r="K48"/>
  <c r="K47"/>
  <c r="K46"/>
  <c r="K45"/>
  <c r="K44"/>
  <c r="K43"/>
  <c r="K42"/>
  <c r="K41"/>
  <c r="K40"/>
  <c r="K39"/>
  <c r="K38"/>
  <c r="K37"/>
  <c r="K36"/>
  <c r="K35"/>
  <c r="C16"/>
  <c r="D16"/>
  <c r="E16"/>
  <c r="B6"/>
  <c r="C5"/>
  <c r="B3"/>
  <c r="I235" i="2"/>
  <c r="C87" i="1"/>
  <c r="E87"/>
  <c r="G87"/>
  <c r="H87"/>
  <c r="H8" i="3"/>
  <c r="H10"/>
  <c r="D10" i="10" s="1"/>
  <c r="J87" i="1"/>
  <c r="C85"/>
  <c r="D85"/>
  <c r="E85"/>
  <c r="F85"/>
  <c r="G85"/>
  <c r="H85"/>
  <c r="I85"/>
  <c r="J85"/>
  <c r="B85"/>
  <c r="J10" i="6"/>
  <c r="I10"/>
  <c r="G11" i="10"/>
  <c r="H10" i="6"/>
  <c r="G10" i="10"/>
  <c r="G10" i="6"/>
  <c r="F10"/>
  <c r="G9" i="10" s="1"/>
  <c r="G12" s="1"/>
  <c r="E10" i="6"/>
  <c r="D10"/>
  <c r="C10"/>
  <c r="B10"/>
  <c r="G3" i="10"/>
  <c r="J5" i="6"/>
  <c r="G5"/>
  <c r="E5"/>
  <c r="C5"/>
  <c r="J10" i="5"/>
  <c r="I10"/>
  <c r="F11" i="10"/>
  <c r="G10" i="5"/>
  <c r="F10"/>
  <c r="F9" i="10" s="1"/>
  <c r="E10" i="5"/>
  <c r="D10"/>
  <c r="C10"/>
  <c r="B10"/>
  <c r="F3" i="10"/>
  <c r="J5" i="5"/>
  <c r="G5"/>
  <c r="E5"/>
  <c r="C5"/>
  <c r="J10" i="4"/>
  <c r="G10"/>
  <c r="E10"/>
  <c r="C10"/>
  <c r="J5"/>
  <c r="G5"/>
  <c r="E5"/>
  <c r="C5"/>
  <c r="C10" i="3"/>
  <c r="E10"/>
  <c r="G10"/>
  <c r="J10"/>
  <c r="B10"/>
  <c r="D3" i="10" s="1"/>
  <c r="G5" i="3"/>
  <c r="E5"/>
  <c r="C5"/>
  <c r="J5"/>
  <c r="F99" i="1"/>
  <c r="K98"/>
  <c r="K97"/>
  <c r="K96"/>
  <c r="K94"/>
  <c r="K92"/>
  <c r="K91"/>
  <c r="K81"/>
  <c r="C98"/>
  <c r="D98"/>
  <c r="G98"/>
  <c r="H98"/>
  <c r="H100"/>
  <c r="I98"/>
  <c r="J98"/>
  <c r="C91"/>
  <c r="D91"/>
  <c r="E91"/>
  <c r="F91"/>
  <c r="G91"/>
  <c r="H91"/>
  <c r="I91"/>
  <c r="J91"/>
  <c r="C93"/>
  <c r="D93"/>
  <c r="E93"/>
  <c r="F93"/>
  <c r="G93"/>
  <c r="H93"/>
  <c r="I93"/>
  <c r="J93"/>
  <c r="K93"/>
  <c r="C95"/>
  <c r="D95"/>
  <c r="E95"/>
  <c r="E100"/>
  <c r="F95"/>
  <c r="G95"/>
  <c r="H95"/>
  <c r="I95"/>
  <c r="J95"/>
  <c r="K70"/>
  <c r="K72"/>
  <c r="K69"/>
  <c r="C100"/>
  <c r="G100"/>
  <c r="I100"/>
  <c r="J100"/>
  <c r="J102"/>
  <c r="B95"/>
  <c r="B93"/>
  <c r="B91"/>
  <c r="C47"/>
  <c r="D47"/>
  <c r="E47"/>
  <c r="F47"/>
  <c r="G47"/>
  <c r="H47"/>
  <c r="I47"/>
  <c r="J47"/>
  <c r="B47"/>
  <c r="C54"/>
  <c r="D54"/>
  <c r="E54"/>
  <c r="F54"/>
  <c r="G54"/>
  <c r="H54"/>
  <c r="I54"/>
  <c r="J54"/>
  <c r="C62"/>
  <c r="D62"/>
  <c r="E62"/>
  <c r="F62"/>
  <c r="G62"/>
  <c r="H62"/>
  <c r="I62"/>
  <c r="J62"/>
  <c r="B62"/>
  <c r="C59"/>
  <c r="E59"/>
  <c r="F59"/>
  <c r="G59"/>
  <c r="H59"/>
  <c r="I59"/>
  <c r="J59"/>
  <c r="B59"/>
  <c r="K37"/>
  <c r="K38"/>
  <c r="K36"/>
  <c r="K35"/>
  <c r="C35"/>
  <c r="D35"/>
  <c r="E35"/>
  <c r="F35"/>
  <c r="G35"/>
  <c r="H35"/>
  <c r="I35"/>
  <c r="J35"/>
  <c r="B35"/>
  <c r="E33"/>
  <c r="F33"/>
  <c r="G33"/>
  <c r="H33"/>
  <c r="I33"/>
  <c r="J33"/>
  <c r="B33"/>
  <c r="K83"/>
  <c r="C82"/>
  <c r="E82"/>
  <c r="F82"/>
  <c r="G82"/>
  <c r="H82"/>
  <c r="I82"/>
  <c r="B82"/>
  <c r="K80"/>
  <c r="C79"/>
  <c r="D79"/>
  <c r="D87"/>
  <c r="E79"/>
  <c r="F79"/>
  <c r="G79"/>
  <c r="H79"/>
  <c r="I79"/>
  <c r="B79"/>
  <c r="D84"/>
  <c r="K84"/>
  <c r="K76"/>
  <c r="K77"/>
  <c r="K78"/>
  <c r="C75"/>
  <c r="D75"/>
  <c r="E75"/>
  <c r="F75"/>
  <c r="G75"/>
  <c r="H75"/>
  <c r="I75"/>
  <c r="B75"/>
  <c r="D68"/>
  <c r="K74"/>
  <c r="C68"/>
  <c r="E68"/>
  <c r="F68"/>
  <c r="G68"/>
  <c r="H68"/>
  <c r="I68"/>
  <c r="I87"/>
  <c r="I8" i="3"/>
  <c r="I10"/>
  <c r="D11" i="10" s="1"/>
  <c r="B68" i="1"/>
  <c r="H50"/>
  <c r="F21"/>
  <c r="G50"/>
  <c r="I50"/>
  <c r="F50"/>
  <c r="B50"/>
  <c r="K34"/>
  <c r="K33"/>
  <c r="K32"/>
  <c r="C31"/>
  <c r="D31"/>
  <c r="E31"/>
  <c r="F31"/>
  <c r="G31"/>
  <c r="H31"/>
  <c r="I31"/>
  <c r="B31"/>
  <c r="C43"/>
  <c r="D43"/>
  <c r="E43"/>
  <c r="F43"/>
  <c r="G43"/>
  <c r="H43"/>
  <c r="I43"/>
  <c r="B43"/>
  <c r="I26"/>
  <c r="I20"/>
  <c r="D7"/>
  <c r="D39"/>
  <c r="E29"/>
  <c r="F29"/>
  <c r="F22"/>
  <c r="E17"/>
  <c r="F17"/>
  <c r="G17"/>
  <c r="I17"/>
  <c r="B17"/>
  <c r="C17"/>
  <c r="D17"/>
  <c r="B29"/>
  <c r="B39"/>
  <c r="C29"/>
  <c r="G29"/>
  <c r="H29"/>
  <c r="I29"/>
  <c r="D29"/>
  <c r="D24"/>
  <c r="H24"/>
  <c r="K30"/>
  <c r="B24"/>
  <c r="H20"/>
  <c r="B20"/>
  <c r="B7"/>
  <c r="C7"/>
  <c r="E7"/>
  <c r="E39"/>
  <c r="F7"/>
  <c r="G7"/>
  <c r="G39"/>
  <c r="H7"/>
  <c r="I7"/>
  <c r="C39"/>
  <c r="J39"/>
  <c r="F64"/>
  <c r="K25"/>
  <c r="K22"/>
  <c r="B54"/>
  <c r="B64"/>
  <c r="D50"/>
  <c r="K60"/>
  <c r="K61"/>
  <c r="I64"/>
  <c r="K55"/>
  <c r="K56"/>
  <c r="K57"/>
  <c r="K58"/>
  <c r="K54"/>
  <c r="K63"/>
  <c r="K62"/>
  <c r="K52"/>
  <c r="K53"/>
  <c r="C64"/>
  <c r="E64"/>
  <c r="G64"/>
  <c r="J64"/>
  <c r="K44"/>
  <c r="K45"/>
  <c r="K46"/>
  <c r="K43"/>
  <c r="K21"/>
  <c r="K23"/>
  <c r="K18"/>
  <c r="K13"/>
  <c r="K14"/>
  <c r="K15"/>
  <c r="K8"/>
  <c r="K28"/>
  <c r="K26"/>
  <c r="K9"/>
  <c r="K10"/>
  <c r="K11"/>
  <c r="K12"/>
  <c r="G66"/>
  <c r="E66"/>
  <c r="C66"/>
  <c r="G41"/>
  <c r="E41"/>
  <c r="C41"/>
  <c r="J5"/>
  <c r="G5"/>
  <c r="K79"/>
  <c r="B100"/>
  <c r="D82"/>
  <c r="K82"/>
  <c r="D59"/>
  <c r="G102"/>
  <c r="C102"/>
  <c r="K73"/>
  <c r="K68"/>
  <c r="D100"/>
  <c r="K59"/>
  <c r="F24"/>
  <c r="F39"/>
  <c r="E102"/>
  <c r="F100"/>
  <c r="K75"/>
  <c r="D20"/>
  <c r="F20"/>
  <c r="K50"/>
  <c r="H64"/>
  <c r="K51"/>
  <c r="I39"/>
  <c r="K29"/>
  <c r="E5"/>
  <c r="C5"/>
  <c r="K27"/>
  <c r="H17"/>
  <c r="H39"/>
  <c r="K19"/>
  <c r="K17"/>
  <c r="K48"/>
  <c r="K49"/>
  <c r="C89"/>
  <c r="G89"/>
  <c r="E89"/>
  <c r="F87"/>
  <c r="F8" i="3"/>
  <c r="F10" s="1"/>
  <c r="D9" i="10" s="1"/>
  <c r="D4" i="13"/>
  <c r="B10"/>
  <c r="B17"/>
  <c r="E4"/>
  <c r="E3"/>
  <c r="D3"/>
  <c r="C12"/>
  <c r="C11"/>
  <c r="D12"/>
  <c r="D11"/>
  <c r="E12"/>
  <c r="E11"/>
  <c r="K20" i="7"/>
  <c r="K16"/>
  <c r="H39"/>
  <c r="E39"/>
  <c r="G39"/>
  <c r="G102"/>
  <c r="E5"/>
  <c r="I39"/>
  <c r="I6" i="4" s="1"/>
  <c r="C102" i="7"/>
  <c r="E102"/>
  <c r="J102"/>
  <c r="D24"/>
  <c r="K24" s="1"/>
  <c r="B54"/>
  <c r="B64"/>
  <c r="B7" i="4" s="1"/>
  <c r="K7" i="1"/>
  <c r="I102"/>
  <c r="K87"/>
  <c r="K102"/>
  <c r="B87"/>
  <c r="B102"/>
  <c r="K95"/>
  <c r="K100"/>
  <c r="F102"/>
  <c r="D64"/>
  <c r="K47"/>
  <c r="K64"/>
  <c r="D102"/>
  <c r="K31"/>
  <c r="K24"/>
  <c r="K20"/>
  <c r="D7" i="13"/>
  <c r="C6"/>
  <c r="C10"/>
  <c r="C17"/>
  <c r="K39" i="1"/>
  <c r="E7" i="13"/>
  <c r="E6"/>
  <c r="E10"/>
  <c r="E17"/>
  <c r="D6"/>
  <c r="D10"/>
  <c r="D17"/>
  <c r="K9" i="6"/>
  <c r="K8"/>
  <c r="K7"/>
  <c r="K9" i="5"/>
  <c r="K8"/>
  <c r="H7" i="4"/>
  <c r="H10"/>
  <c r="E10" i="10" s="1"/>
  <c r="H102" i="1"/>
  <c r="D8" i="3"/>
  <c r="D10"/>
  <c r="K8"/>
  <c r="K95" i="9"/>
  <c r="F7"/>
  <c r="I39"/>
  <c r="F64"/>
  <c r="H64"/>
  <c r="K68"/>
  <c r="K100"/>
  <c r="K9"/>
  <c r="K12"/>
  <c r="K21"/>
  <c r="K23"/>
  <c r="D24"/>
  <c r="K25"/>
  <c r="F24"/>
  <c r="K24"/>
  <c r="K34"/>
  <c r="K33"/>
  <c r="K48"/>
  <c r="B47"/>
  <c r="K52"/>
  <c r="K53"/>
  <c r="D54"/>
  <c r="K56"/>
  <c r="K54"/>
  <c r="K58"/>
  <c r="D59"/>
  <c r="B68"/>
  <c r="B87"/>
  <c r="D68"/>
  <c r="I68"/>
  <c r="I87"/>
  <c r="I102"/>
  <c r="F79"/>
  <c r="K79"/>
  <c r="D64"/>
  <c r="D87"/>
  <c r="G102"/>
  <c r="H102"/>
  <c r="K7"/>
  <c r="K29"/>
  <c r="B39"/>
  <c r="C102"/>
  <c r="E102"/>
  <c r="J102"/>
  <c r="K8"/>
  <c r="K27"/>
  <c r="K30"/>
  <c r="K49"/>
  <c r="K47"/>
  <c r="K80"/>
  <c r="K82"/>
  <c r="F17"/>
  <c r="K17"/>
  <c r="D20"/>
  <c r="K20"/>
  <c r="D31"/>
  <c r="K31"/>
  <c r="B50"/>
  <c r="K50"/>
  <c r="K59" i="8"/>
  <c r="D7"/>
  <c r="K7"/>
  <c r="F7"/>
  <c r="K16"/>
  <c r="K22"/>
  <c r="K23"/>
  <c r="B24"/>
  <c r="K25"/>
  <c r="D24"/>
  <c r="K29"/>
  <c r="K30"/>
  <c r="K34"/>
  <c r="K33"/>
  <c r="B39"/>
  <c r="D35"/>
  <c r="K44"/>
  <c r="K45"/>
  <c r="K48"/>
  <c r="K47"/>
  <c r="K49"/>
  <c r="K52"/>
  <c r="K53"/>
  <c r="K56"/>
  <c r="K54"/>
  <c r="I68"/>
  <c r="K72"/>
  <c r="K76"/>
  <c r="K77"/>
  <c r="F87"/>
  <c r="D91"/>
  <c r="D93"/>
  <c r="D100"/>
  <c r="D95"/>
  <c r="K99"/>
  <c r="K98"/>
  <c r="I20"/>
  <c r="H43"/>
  <c r="H64"/>
  <c r="D75"/>
  <c r="I87"/>
  <c r="D39"/>
  <c r="C102"/>
  <c r="E102"/>
  <c r="G102"/>
  <c r="K100"/>
  <c r="I39"/>
  <c r="K35"/>
  <c r="K68"/>
  <c r="K95"/>
  <c r="J102"/>
  <c r="F20"/>
  <c r="K20"/>
  <c r="D43"/>
  <c r="B54"/>
  <c r="B64"/>
  <c r="D54"/>
  <c r="D64"/>
  <c r="B68"/>
  <c r="B75"/>
  <c r="K75"/>
  <c r="D82"/>
  <c r="D87"/>
  <c r="K95" i="7"/>
  <c r="B87"/>
  <c r="B8" i="4" s="1"/>
  <c r="K68" i="7"/>
  <c r="K54"/>
  <c r="K47"/>
  <c r="K43"/>
  <c r="H102" i="8"/>
  <c r="H7" i="5"/>
  <c r="K39" i="9"/>
  <c r="F87"/>
  <c r="K64"/>
  <c r="K87"/>
  <c r="K102"/>
  <c r="D39"/>
  <c r="D102"/>
  <c r="B64"/>
  <c r="B102"/>
  <c r="F39"/>
  <c r="F102"/>
  <c r="K24" i="8"/>
  <c r="D102"/>
  <c r="K82"/>
  <c r="K43"/>
  <c r="K64"/>
  <c r="I102"/>
  <c r="K87"/>
  <c r="K39"/>
  <c r="B87"/>
  <c r="B102"/>
  <c r="F39"/>
  <c r="F102"/>
  <c r="H10" i="5"/>
  <c r="F10" i="10" s="1"/>
  <c r="K7" i="5"/>
  <c r="K102" i="8"/>
  <c r="D12" i="10" l="1"/>
  <c r="F12"/>
  <c r="H10"/>
  <c r="K7" i="4"/>
  <c r="E7" i="10"/>
  <c r="H7" s="1"/>
  <c r="K64" i="7"/>
  <c r="D8" i="4"/>
  <c r="K100" i="7"/>
  <c r="B102"/>
  <c r="B6" i="4"/>
  <c r="I8"/>
  <c r="I10" s="1"/>
  <c r="E11" i="10" s="1"/>
  <c r="H11" s="1"/>
  <c r="I102" i="7"/>
  <c r="F9" i="4"/>
  <c r="K9" s="1"/>
  <c r="E5" i="10"/>
  <c r="H5" s="1"/>
  <c r="K7" i="7"/>
  <c r="D39"/>
  <c r="D6" i="4" s="1"/>
  <c r="K17" i="7"/>
  <c r="K39" s="1"/>
  <c r="F39"/>
  <c r="F6" i="4" s="1"/>
  <c r="K8"/>
  <c r="K87" i="7"/>
  <c r="E4" i="10"/>
  <c r="H4" s="1"/>
  <c r="E6"/>
  <c r="H6" s="1"/>
  <c r="F10" i="4" l="1"/>
  <c r="E9" i="10" s="1"/>
  <c r="H9" s="1"/>
  <c r="D10" i="4"/>
  <c r="F102" i="7"/>
  <c r="D102"/>
  <c r="K6" i="4"/>
  <c r="K10" s="1"/>
  <c r="B10"/>
  <c r="E3" i="10" s="1"/>
  <c r="K102" i="7"/>
  <c r="E12" i="10" l="1"/>
  <c r="H3"/>
  <c r="H12" s="1"/>
</calcChain>
</file>

<file path=xl/comments1.xml><?xml version="1.0" encoding="utf-8"?>
<comments xmlns="http://schemas.openxmlformats.org/spreadsheetml/2006/main">
  <authors>
    <author>Jaime Duque</author>
    <author>Hacienda1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recursos balance, inversión
</t>
        </r>
      </text>
    </comment>
    <comment ref="I1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Departamento y Fosyga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Inversión y proposito General Libre Inversión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Tabaco, telefonía celular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Ppto participativo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 e Implementos Deportivos
quits deportivos rurales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Atención Grpos Vulnerables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 Pro Anciano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SGP y Rendimientos Financieros</t>
        </r>
      </text>
    </comment>
    <comment ref="I47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Convenio Invias
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Comité y Gobernación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Licencias de ganado </t>
        </r>
      </text>
    </comment>
    <comment ref="I5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Comité de Cafeteros
</t>
        </r>
      </text>
    </comment>
    <comment ref="I58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Convenio Depto Gallina Campesina</t>
        </r>
      </text>
    </comment>
    <comment ref="F5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jardin Botánico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Matrícula, gratuidad y alimentación
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Fortalecimiento Institucional
Rendimientos Financieros Libre destinaciín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Libre destinación, libre inversión rendimientos financieros
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gratuidad y alimentación,
Rendimientos Financieros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Matricula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Tasa Retributiva</t>
        </r>
      </text>
    </comment>
    <comment ref="D8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Rendimientos SGP Agua Potable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financieros agua potable y
transporte de energía</t>
        </r>
      </text>
    </comment>
    <comment ref="F81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Sobretasa Bomberil</t>
        </r>
      </text>
    </comment>
    <comment ref="D8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Aseo</t>
        </r>
      </text>
    </comment>
    <comment ref="D8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Acueducto y Alcantarillado</t>
        </r>
      </text>
    </comment>
    <comment ref="D9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5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y Autoridad y la Justicia, libre destinación</t>
        </r>
      </text>
    </comment>
  </commentList>
</comments>
</file>

<file path=xl/comments2.xml><?xml version="1.0" encoding="utf-8"?>
<comments xmlns="http://schemas.openxmlformats.org/spreadsheetml/2006/main">
  <authors>
    <author>Jaime Duque</author>
    <author>Hacienda1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recursos balance, inversión
</t>
        </r>
      </text>
    </comment>
    <comment ref="I1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Departamento y Fosyga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Inversión y proposito General Libre Inversión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Tabaco, telefonía celular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Ppto participativo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 e Implementos Deportivos
quits deportivos rurales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Atención Grpos Vulnerables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 Pro Anciano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SGP y Rendimientos Financieros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Comité y Gobernación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Licencias de ganado </t>
        </r>
      </text>
    </comment>
    <comment ref="F5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jardin Botánico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Matrícula, gratuidad y alimentación
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Fortalecimiento Institucional
Rendimientos Financieros Libre destinaciín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Libre destinación, libre inversión rendimientos financieros
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gratuidad y alimentación,
Rendimientos Financieros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Matricula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Tasa Retributiva</t>
        </r>
      </text>
    </comment>
    <comment ref="D8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Rendimientos SGP Agua Potable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financieros agua potable y
transporte de energía</t>
        </r>
      </text>
    </comment>
    <comment ref="F81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Sobretasa Bomberil</t>
        </r>
      </text>
    </comment>
    <comment ref="D8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Aseo</t>
        </r>
      </text>
    </comment>
    <comment ref="D8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Acueducto y Alcantarillado</t>
        </r>
      </text>
    </comment>
    <comment ref="D9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5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y Autoridad y la Justicia, libre destinación</t>
        </r>
      </text>
    </comment>
  </commentList>
</comments>
</file>

<file path=xl/comments3.xml><?xml version="1.0" encoding="utf-8"?>
<comments xmlns="http://schemas.openxmlformats.org/spreadsheetml/2006/main">
  <authors>
    <author>Jaime Duque</author>
    <author>Hacienda1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recursos balance, inversión
</t>
        </r>
      </text>
    </comment>
    <comment ref="I1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Departamento y Fosyga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Inversión y proposito General Libre Inversión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Tabaco, telefonía celular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Ppto participativo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 e Implementos Deportivos
quits deportivos rurales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Atención Grpos Vulnerables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 Pro Anciano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SGP y Rendimientos Financieros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Comité y Gobernación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Licencias de ganado </t>
        </r>
      </text>
    </comment>
    <comment ref="F5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jardin Botánico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Matrícula, gratuidad y alimentación
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Fortalecimiento Institucional
Rendimientos Financieros Libre destinaciín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Libre destinación, libre inversión rendimientos financieros
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gratuidad y alimentación,
Rendimientos Financieros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Matricula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Tasa Retributiva</t>
        </r>
      </text>
    </comment>
    <comment ref="D8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Rendimientos SGP Agua Potable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financieros agua potable y
transporte de energía</t>
        </r>
      </text>
    </comment>
    <comment ref="F81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Sobretasa Bomberil</t>
        </r>
      </text>
    </comment>
    <comment ref="D8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Aseo</t>
        </r>
      </text>
    </comment>
    <comment ref="D8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Acueducto y Alcantarillado</t>
        </r>
      </text>
    </comment>
    <comment ref="D9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5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y Autoridad y la Justicia, libre destinación</t>
        </r>
      </text>
    </comment>
  </commentList>
</comments>
</file>

<file path=xl/comments4.xml><?xml version="1.0" encoding="utf-8"?>
<comments xmlns="http://schemas.openxmlformats.org/spreadsheetml/2006/main">
  <authors>
    <author>Jaime Duque</author>
    <author>Hacienda1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recursos balance, inversión
</t>
        </r>
      </text>
    </comment>
    <comment ref="I1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Departamento y Fosyga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Inversión y proposito General Libre Inversión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Tabaco, telefonía celular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Ppto participativo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Monitores e Implementos Deportivos
quits deportivos rurales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Atención Grpos Vulnerables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Estampilla Pro Anciano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SGP y Rendimientos Financieros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Comité y Gobernación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Licencias de ganado </t>
        </r>
      </text>
    </comment>
    <comment ref="F59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jardin Botánico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Matrícula, gratuidad y alimentación
</t>
        </r>
      </text>
    </comment>
    <comment ref="B7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Fortalecimiento Institucional
Rendimientos Financieros Libre destinaciín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Libre destinación, libre inversión rendimientos financieros
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gratuidad y alimentación,
Rendimientos Financieros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Calidad Matricula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Tasa Retributiva</t>
        </r>
      </text>
    </comment>
    <comment ref="D80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Rendimientos SGP Agua Potable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financieros agua potable y
transporte de energía</t>
        </r>
      </text>
    </comment>
    <comment ref="F81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Sobretasa Bomberil</t>
        </r>
      </text>
    </comment>
    <comment ref="D8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Aseo</t>
        </r>
      </text>
    </comment>
    <comment ref="D84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Acueducto y Alcantarillado</t>
        </r>
      </text>
    </comment>
    <comment ref="D92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D95" authorId="1">
      <text>
        <r>
          <rPr>
            <b/>
            <sz val="9"/>
            <color indexed="81"/>
            <rFont val="Tahoma"/>
            <family val="2"/>
          </rPr>
          <t>Hacienda1:</t>
        </r>
        <r>
          <rPr>
            <sz val="9"/>
            <color indexed="81"/>
            <rFont val="Tahoma"/>
            <family val="2"/>
          </rPr>
          <t xml:space="preserve">
Sector Institucional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Jaime Duque:</t>
        </r>
        <r>
          <rPr>
            <sz val="9"/>
            <color indexed="81"/>
            <rFont val="Tahoma"/>
            <family val="2"/>
          </rPr>
          <t xml:space="preserve">
Rendimientos y Autoridad y la Justicia, libre destinación</t>
        </r>
      </text>
    </comment>
  </commentList>
</comments>
</file>

<file path=xl/sharedStrings.xml><?xml version="1.0" encoding="utf-8"?>
<sst xmlns="http://schemas.openxmlformats.org/spreadsheetml/2006/main" count="1988" uniqueCount="1036">
  <si>
    <t>TOTAL</t>
  </si>
  <si>
    <t>S.G.P.</t>
  </si>
  <si>
    <t>Recursos propios Libre Destinación</t>
  </si>
  <si>
    <t>Recursos propios destinación específica</t>
  </si>
  <si>
    <t>Crédito</t>
  </si>
  <si>
    <t>Otros</t>
  </si>
  <si>
    <t>Línea Estratégica B</t>
  </si>
  <si>
    <t>Línea Estratégica C</t>
  </si>
  <si>
    <t>TOTAL PLAN</t>
  </si>
  <si>
    <t>TOTAL Línea Estratégica C</t>
  </si>
  <si>
    <t>PROYECTO PLAN DE DESARROLLO 2012-2016</t>
  </si>
  <si>
    <t>PLAN PLURIANUAL DE INVERSIONES  2012</t>
  </si>
  <si>
    <t>2.3</t>
  </si>
  <si>
    <t>INVERSION</t>
  </si>
  <si>
    <t>2.3.01</t>
  </si>
  <si>
    <t>S.G.P. EDUCACION</t>
  </si>
  <si>
    <t>2.3.02</t>
  </si>
  <si>
    <t>S.G.P. ALIMENTACION ESCOLAR</t>
  </si>
  <si>
    <t>2.3.03</t>
  </si>
  <si>
    <t>FONDO MUNICIPAL DE SALUD</t>
  </si>
  <si>
    <t>2.3.03.1</t>
  </si>
  <si>
    <t xml:space="preserve"> SALUD REGIMEN SUBSIDIADO</t>
  </si>
  <si>
    <t>2.3.03.2</t>
  </si>
  <si>
    <t>SALUD PUBLICA COLECTIVA</t>
  </si>
  <si>
    <t>2.3.03.3</t>
  </si>
  <si>
    <t>OTROS GASTOS EN SALUD</t>
  </si>
  <si>
    <t>2.3.04</t>
  </si>
  <si>
    <t>S.G.P. AGUA POTABLE Y SANEAMIENTO BÁSICO</t>
  </si>
  <si>
    <t>2.3.05</t>
  </si>
  <si>
    <t>S.G.P. DEPORTE Y RECREACION</t>
  </si>
  <si>
    <t>2.3.06</t>
  </si>
  <si>
    <t>CULTURA (3%)</t>
  </si>
  <si>
    <t>2.3.07</t>
  </si>
  <si>
    <t>S.G.P. PROPOSITO GENERAL LIBRE INVERSION</t>
  </si>
  <si>
    <t>2.3.07.01</t>
  </si>
  <si>
    <t>SECTOR ENERGETICO</t>
  </si>
  <si>
    <t>2.3.07.04</t>
  </si>
  <si>
    <t>SECTOR VIAL (TRANSPORTE)</t>
  </si>
  <si>
    <t>2.3.07.05</t>
  </si>
  <si>
    <t>SECTOR AMBIENTAL</t>
  </si>
  <si>
    <t>2.3.07.06</t>
  </si>
  <si>
    <t>SECTOR PREVENCION Y ATENCION DE DESASTRES</t>
  </si>
  <si>
    <t>2.3.07.07</t>
  </si>
  <si>
    <t xml:space="preserve">PROMOCION DEL DESARROLLO 
</t>
  </si>
  <si>
    <t>2.3.07.08</t>
  </si>
  <si>
    <t>ATENCION A GRUPOS VULNERABLES PROMOCION SOCIAL</t>
  </si>
  <si>
    <t>2.3.07.09</t>
  </si>
  <si>
    <t>EQUIPAMIENTO MUNICIPAL</t>
  </si>
  <si>
    <t>2.3.07.10</t>
  </si>
  <si>
    <t>DESARROLLO COMUNITARIO</t>
  </si>
  <si>
    <t>2.3.07.11</t>
  </si>
  <si>
    <t>SECTOR INSTITUCIONAL</t>
  </si>
  <si>
    <t>2.3.07.12</t>
  </si>
  <si>
    <t>SECTOR JUSTICIA, DEFENSA Y SEGURIDAD</t>
  </si>
  <si>
    <t>2.3.07.13</t>
  </si>
  <si>
    <t>SECTOR CULTURA</t>
  </si>
  <si>
    <t>2.3.07.14</t>
  </si>
  <si>
    <t>SECTOR DEPORTES</t>
  </si>
  <si>
    <t>2.3.08</t>
  </si>
  <si>
    <t>INVERSION CON SGP LIBRE DESTINACION</t>
  </si>
  <si>
    <t>2.3.08.1</t>
  </si>
  <si>
    <t>MEDIO AMBIENTE</t>
  </si>
  <si>
    <t>2.3.08.2</t>
  </si>
  <si>
    <t>2.3.08.3</t>
  </si>
  <si>
    <t>VIVIENDA</t>
  </si>
  <si>
    <t>2.3.08.4</t>
  </si>
  <si>
    <t xml:space="preserve"> AGROPECUARIO</t>
  </si>
  <si>
    <t>2.3.08.5</t>
  </si>
  <si>
    <t>2.3.08.6</t>
  </si>
  <si>
    <t>SECTOR ELECTRICO</t>
  </si>
  <si>
    <t>2.3.09</t>
  </si>
  <si>
    <t>INVERSION CON RECURSOS DE DESTINACION ESPECIFICA</t>
  </si>
  <si>
    <t>2.3.09.1</t>
  </si>
  <si>
    <t xml:space="preserve">ESTAMPILLA PROCULTURA 
</t>
  </si>
  <si>
    <t>2.3.09.2</t>
  </si>
  <si>
    <t>ESTAMPILLA PROHOGAR DEL ANCIANO</t>
  </si>
  <si>
    <t>2.3.09.3</t>
  </si>
  <si>
    <t>CON RECURSOS DE PROSEGURIDAD (5%) - LA AUTORIDAD Y LA JUSTICIA, EN LA SEGURIDAD DEMOCRATICA</t>
  </si>
  <si>
    <t>2.3.09.4</t>
  </si>
  <si>
    <t>SOBRETASA BOMBERIL</t>
  </si>
  <si>
    <t>2.3.09.5</t>
  </si>
  <si>
    <t>CON RECURSOS JARDIN BOTÁNICO</t>
  </si>
  <si>
    <t>2.3.09.6</t>
  </si>
  <si>
    <t>CON RECURSOS LICENCIAS DE GANADO 50%</t>
  </si>
  <si>
    <t>2.3.09.7</t>
  </si>
  <si>
    <t>TRANSPORTE DE ENERGÍA</t>
  </si>
  <si>
    <t>2.3.09.8</t>
  </si>
  <si>
    <t>RECURSOS DE TABACO</t>
  </si>
  <si>
    <t>2.3.09.8.2</t>
  </si>
  <si>
    <t>Organizacion y elaboracion de los juegos escolares</t>
  </si>
  <si>
    <t>2.3.10</t>
  </si>
  <si>
    <t>RENDIMIENTOS FINANCIEROS</t>
  </si>
  <si>
    <t>2.3.10.1</t>
  </si>
  <si>
    <t>De Libre Destinación</t>
  </si>
  <si>
    <t>2.3.10.2</t>
  </si>
  <si>
    <t>FORZOSA INVERSION</t>
  </si>
  <si>
    <t>2.3.10.3</t>
  </si>
  <si>
    <t>OTROS RENDIMIENTOS CON DESTINACION ESPECIFICA</t>
  </si>
  <si>
    <t>2.3.11</t>
  </si>
  <si>
    <t>DEL ACTIVO</t>
  </si>
  <si>
    <t>2.3.11.1</t>
  </si>
  <si>
    <t>Inversiones con recursos  Venta de activo</t>
  </si>
  <si>
    <t>2.3.12</t>
  </si>
  <si>
    <t>RECURSOS DEL BALANCE SUPERAVIT FISCAL</t>
  </si>
  <si>
    <t>2.3.12.1</t>
  </si>
  <si>
    <t>Recursos de libre destinacion</t>
  </si>
  <si>
    <t>2.3.12.2</t>
  </si>
  <si>
    <t>RECURSOS DE FORZOSA INVERSION (CON DESTINACION ESPECIFICA)</t>
  </si>
  <si>
    <t>2.3.12.3</t>
  </si>
  <si>
    <t>CONVENIOS NACIONALES</t>
  </si>
  <si>
    <t>2.3.12.3.1</t>
  </si>
  <si>
    <t>Convenio Invias Nro 466-2011  (Mejoramiento y mantenimiento via a Marsella - El Rayo - La Convención Municipio de Marsella Risaralda)</t>
  </si>
  <si>
    <t>2.3.12.3.2</t>
  </si>
  <si>
    <t>Convenio Invias Nro 466-2011 (Mejoramiento y mantenimiento vía a Marsella - El Rayo - La Convención Municipio de Marsella Risaralda)  (Por Cobrar)</t>
  </si>
  <si>
    <t>SOLIDARIDAD Y CONVIVENCIA</t>
  </si>
  <si>
    <t xml:space="preserve">Pilar Estratégica A </t>
  </si>
  <si>
    <t>EDUCACIÓN Y ADAPTACIÓN AL CAMBIO</t>
  </si>
  <si>
    <t>CREDIBILIDAD Y CULTURA DEL CUIDADO</t>
  </si>
  <si>
    <t>Programa 1:  Marsella Saludable</t>
  </si>
  <si>
    <t>SUBPROGRAMA 1.1 Por la Salud de Todas las Mujeres</t>
  </si>
  <si>
    <t>SUBPROGRAMA 1.2 Marsella los Niños Primero</t>
  </si>
  <si>
    <t>SUBPROGRAMA 1.3 Salud Sexual y Reproductiva</t>
  </si>
  <si>
    <t>SUBPROGRAMA 1.4 Marsella Sonrie</t>
  </si>
  <si>
    <t>SUBPROGRAMA 1.5 Salud Mental</t>
  </si>
  <si>
    <t>SUBPROGRAMA 1.7 Marsella Promueve Estilos de Vida Saludable</t>
  </si>
  <si>
    <t>SUBPROGRAMA 1.8 Salud ocupacional</t>
  </si>
  <si>
    <t>SUBPROGRAMA 1.9 Cobertura y Calidad</t>
  </si>
  <si>
    <t>Programa 2: Primera Infancia, Infancia y Adolescencia</t>
  </si>
  <si>
    <t>SUBPROGRAMA 1.6 Marsella Libre de Enfermedades Transmisibles y Zoonosis</t>
  </si>
  <si>
    <t>SUBPROGRAMA 2.1 Primera Infancia Protegida</t>
  </si>
  <si>
    <t>SUBPROGRAMA 2.2 Niños a la Escuela Adultos al Trabajo</t>
  </si>
  <si>
    <t>Programa 3: Muevete Marsella</t>
  </si>
  <si>
    <t>SUBPROGRAMA 3.1 Actividad Física y Aprovechamiento del Tiempo Libre</t>
  </si>
  <si>
    <t>SUBPROGRAMA 3.2 Deporte Formativo y de Logros</t>
  </si>
  <si>
    <t>Programa 4: Pacto Ciudadano por la Cultura</t>
  </si>
  <si>
    <t>SUBPROGRAMA 4.1  Promoción de Culturas de Paz</t>
  </si>
  <si>
    <t>SUBPROGRAMA 4.3 Cultura de Reconocimiento de la Diversidad</t>
  </si>
  <si>
    <t>SUBPROGRAMA 4.4  Acceso a los Bienes de la Cultura</t>
  </si>
  <si>
    <t xml:space="preserve">Programa 5: Protección Social al Adulto Mayor </t>
  </si>
  <si>
    <t xml:space="preserve">SUBPROGRAMA 5.1  </t>
  </si>
  <si>
    <t>Total Línea Estratégica A Seguridad y Convivencia</t>
  </si>
  <si>
    <t>COOPERACION PARA LA PROSPERIDAD</t>
  </si>
  <si>
    <t>TOTAL Línea Estratégica B Cooperación para la Prosperidad</t>
  </si>
  <si>
    <t xml:space="preserve">Programa 11: Equipamento Municipal </t>
  </si>
  <si>
    <t>SUBPROGRAMA 11.2 Equipamento Instituciónal Social y Comunitario</t>
  </si>
  <si>
    <t>SUBPROGRAMA 11.3 Alumbrado Público</t>
  </si>
  <si>
    <t>Programa 6: Por el Respeto y el Reconocimiento a las Personas en Condición de Discapacidad</t>
  </si>
  <si>
    <t xml:space="preserve">SUBPROGRAMA 6.1  </t>
  </si>
  <si>
    <t>Programa 7: Marsella se Construye en Familia</t>
  </si>
  <si>
    <t>SUBPROGRAMA 7.1 Cuidado y Afecto Familiar</t>
  </si>
  <si>
    <t>Programa 8: Lucha Contra la Pobreza</t>
  </si>
  <si>
    <t>SUBPROGRAMA 8.1 Seguridad Alimentaria para Niños y Niñas</t>
  </si>
  <si>
    <t>SUBPROGRAMA 8.2 Plan Integral para la Población Victima del Conflicto Armado</t>
  </si>
  <si>
    <t>SUBPROGRAMA 8.3 Plan de Vida Comunidad Indigena Embera - Chami</t>
  </si>
  <si>
    <t>Programa 9: Por la Vivienda que Soñamos</t>
  </si>
  <si>
    <t>SUBPROGRAMA 9.1 Construcción de Vivienda para el Marsella que Queremos</t>
  </si>
  <si>
    <t>SUBPROGRAMA 9.2 Mejoramiento y Reparación de Vivienda</t>
  </si>
  <si>
    <t>SUBPROGRAMA 9.3 Legalización de Predios Municipales</t>
  </si>
  <si>
    <t xml:space="preserve">Programa 10: Vias para la Competitividad y el Progreso </t>
  </si>
  <si>
    <t>SUBPROGRAMA 10.1 Red Vial Urbana</t>
  </si>
  <si>
    <t>SUBPROGRAMA 10.2 Red Vial Rural</t>
  </si>
  <si>
    <t>SUBPROGRAMA 11.1 Equipamento Educativo y Escenarios Deportivos</t>
  </si>
  <si>
    <t>Programa 12: Seguridad y Cultura Alimentaria</t>
  </si>
  <si>
    <t>SUBPROGRAMA 12.1 Semillaros Educativos en el Campo</t>
  </si>
  <si>
    <t>SUBPROGRAMA 12.2 Unidades Productivas Hacia la Competitividad</t>
  </si>
  <si>
    <t>SUBPROGRAMA 12.3 Asegurando el Alimento del Mañana</t>
  </si>
  <si>
    <t>SUBPROGRAMA 12.4 Asociando Nuestros Intereses</t>
  </si>
  <si>
    <t>Programa 13: Marsella Destino Turistico en Paisaje Cultural Cafetero</t>
  </si>
  <si>
    <t>SUBPROGRAMA 13.1 Herramientas Turisticas</t>
  </si>
  <si>
    <t>SUBPROGRAMA 13.2 Formación del Capital Humano en Turismo</t>
  </si>
  <si>
    <t>Programa 14: Por el Marsella que Queremos con Empuje Humano y Productivo</t>
  </si>
  <si>
    <t>2.3.01.1</t>
  </si>
  <si>
    <t>CALIDAD - MATRICULA</t>
  </si>
  <si>
    <t>2.3.01.1.1</t>
  </si>
  <si>
    <t>Dotación institucional de material y medios pedagógicos para el aprendizaje</t>
  </si>
  <si>
    <t>2.3.01.1.2</t>
  </si>
  <si>
    <t>Pago de Servicios Públicos Establecimientos Educativos</t>
  </si>
  <si>
    <t>2.3.01.1.2.1</t>
  </si>
  <si>
    <t>Acueducto, alcantarillado y aseo</t>
  </si>
  <si>
    <t>2.3.01.1.2.2</t>
  </si>
  <si>
    <t>Energía</t>
  </si>
  <si>
    <t>2.3.01.1.2.3</t>
  </si>
  <si>
    <t>Otros (Gas)</t>
  </si>
  <si>
    <t>2.3.01.1.3</t>
  </si>
  <si>
    <t>Transporte Escolar</t>
  </si>
  <si>
    <t>2.3.02.1</t>
  </si>
  <si>
    <t>Menaje, dotación y si reposicion para la prestacion del servicio de alimentacion escolar</t>
  </si>
  <si>
    <t>2.3.02.2</t>
  </si>
  <si>
    <t>Contratación con terceros para la provisión integral del servicio de alimentación escolar</t>
  </si>
  <si>
    <t>2.3.03.1.01</t>
  </si>
  <si>
    <t>Régimen subsidiado S.G.P. Continuidad</t>
  </si>
  <si>
    <t>2.3.03.1.02</t>
  </si>
  <si>
    <t>Regimen Subsidiado - Fosyga</t>
  </si>
  <si>
    <t>2.3.03.1.04</t>
  </si>
  <si>
    <t>Regimen Subsidiado - Etesa</t>
  </si>
  <si>
    <t>2.3.03.1.05</t>
  </si>
  <si>
    <t>Régimen subsidiado.  Rifas y juegos de suerte y azar</t>
  </si>
  <si>
    <t>2.3.03.1.06</t>
  </si>
  <si>
    <t>Regimen Subsidiado  - S.G.P. Proposito General Libre Inversion</t>
  </si>
  <si>
    <t>2.3.03.1.07</t>
  </si>
  <si>
    <t>Regimen Subsidiado - Rendimientos Financieros S.G.P.</t>
  </si>
  <si>
    <t>2.3.03.1.08</t>
  </si>
  <si>
    <t>Regimen Subsidiado - Rendimientos Financieros - Etesa</t>
  </si>
  <si>
    <t>2.3.03.1.09</t>
  </si>
  <si>
    <t>Regimen Subsidiado -Reintegros - Sistema General de Participaciones</t>
  </si>
  <si>
    <t>2.3.03.1.10</t>
  </si>
  <si>
    <t>Regimen Subsidiado - Reintegros - Aportes del Departamento</t>
  </si>
  <si>
    <t>2.3.03.1.11</t>
  </si>
  <si>
    <t>Regimen Subsidiado - Recursos del Balance - Sistema General de Participaciones</t>
  </si>
  <si>
    <t>2.3.03.1.12</t>
  </si>
  <si>
    <t>Regimen Subsidiado - Recursos del Balance - Fosyga</t>
  </si>
  <si>
    <t>2.3.03.1.13</t>
  </si>
  <si>
    <t>Regimen Subsidiado - Recursos del Balance - Etesa</t>
  </si>
  <si>
    <t>2.3.03.1.14</t>
  </si>
  <si>
    <t>Regimen Subsidiado - Recursos del Balance - Aportes del Departamento</t>
  </si>
  <si>
    <t>2.3.03.1.15</t>
  </si>
  <si>
    <t>Superintendencia Nal de Salud (0.4%)</t>
  </si>
  <si>
    <t>2.3.03.1.16</t>
  </si>
  <si>
    <t>Interventoria al Regimen Subsidado de Salud</t>
  </si>
  <si>
    <t>2.3.03.2.1</t>
  </si>
  <si>
    <t>Salud Pública Sistema General de Participaciones</t>
  </si>
  <si>
    <t>2.3.03.2.2</t>
  </si>
  <si>
    <t>Salud Publica - Rendimientos Financieros</t>
  </si>
  <si>
    <t>2.3.03.2.3</t>
  </si>
  <si>
    <t>Salud publica - Recursos del Balance</t>
  </si>
  <si>
    <t>2.3.03.3.1</t>
  </si>
  <si>
    <t>Otros gastos en salud - Sistema General de Participaciones Proposito General</t>
  </si>
  <si>
    <t>2.3.03.3.2</t>
  </si>
  <si>
    <t>Interventoria externa regimen subsidiado</t>
  </si>
  <si>
    <t>2.3.03.3.3</t>
  </si>
  <si>
    <t>Otros gastos en salud - Juegos de suerte y azar</t>
  </si>
  <si>
    <t>2.3.03.3.4</t>
  </si>
  <si>
    <t>Otros gastos en salud - Rendimientos Financieros</t>
  </si>
  <si>
    <t>2.3.03.3.5</t>
  </si>
  <si>
    <t>Otros gastos en salud -  Reintegros</t>
  </si>
  <si>
    <t>2.3.03.3.6</t>
  </si>
  <si>
    <t>Otros gastos en salud - Recursos del Balance</t>
  </si>
  <si>
    <t>2.3.04.1</t>
  </si>
  <si>
    <t>Servicio de Acueducto</t>
  </si>
  <si>
    <t>2.3.04.1.1</t>
  </si>
  <si>
    <t>Subsidio ServicIos Públicos Domiciliarios- plan departamental de aguas</t>
  </si>
  <si>
    <t>2.3.04.1.2</t>
  </si>
  <si>
    <t>Pre-Inversión en Diseño</t>
  </si>
  <si>
    <t>2.3.04.1.3</t>
  </si>
  <si>
    <t>Interventorías</t>
  </si>
  <si>
    <t>2.3.04.1.4</t>
  </si>
  <si>
    <t>Ampliacion y cloración de Sistemas  de Acueductos</t>
  </si>
  <si>
    <t>2.3.04.2</t>
  </si>
  <si>
    <t>Servicio de Alcantarillado</t>
  </si>
  <si>
    <t>2.3.04.2.1</t>
  </si>
  <si>
    <t>Mantenimiento, reparacion y ampliacion de sistemas de alcantarillado sanitario</t>
  </si>
  <si>
    <t>2.3.04.3</t>
  </si>
  <si>
    <t>Servicio de Aseo</t>
  </si>
  <si>
    <t>2.3.04.3.1</t>
  </si>
  <si>
    <t>Recoleccion, tratamiento y disposicion final de resíduos sólidos</t>
  </si>
  <si>
    <t>2.3.04.3.1.1</t>
  </si>
  <si>
    <t>Tratamiento y disposicion final de residuos solidos</t>
  </si>
  <si>
    <t>2.3.04.3.1.2</t>
  </si>
  <si>
    <t>Programa Plan de Gestión Integral de Resíduos Sólidos</t>
  </si>
  <si>
    <t>2.3.04.3.2</t>
  </si>
  <si>
    <t>Construccion, recuperacion y mantenimiento de Obras de Saneamiento Básico Rural</t>
  </si>
  <si>
    <t>2.3.04.3.2.1</t>
  </si>
  <si>
    <t>Mantenimiento de obras de saneamiento básico rural</t>
  </si>
  <si>
    <t>2.3.04.3.2.2</t>
  </si>
  <si>
    <t>Transferencias para el Plan departamental de agua Potable y saneamiento básico</t>
  </si>
  <si>
    <t>2.3.05.1</t>
  </si>
  <si>
    <t>Fomento, desarrollo y práctica del deporte, la recreacion y el aprovechamiento del tiempo libre</t>
  </si>
  <si>
    <t>2.3.05.2</t>
  </si>
  <si>
    <t>Construccion, mantenimiento y adecuacion de los escenarios deportivos y recreativos</t>
  </si>
  <si>
    <t>2.3.05.3</t>
  </si>
  <si>
    <t>Dotacion de escenarios deportivos e implementos para la práctica del Deporte</t>
  </si>
  <si>
    <t>2.3.05.4</t>
  </si>
  <si>
    <t>Pre-Inversion en Infraestructura</t>
  </si>
  <si>
    <t>2.3.05.5</t>
  </si>
  <si>
    <t>Pago de instructores contratados para la practica del deporte y la recreacción</t>
  </si>
  <si>
    <t>2.3.06.1</t>
  </si>
  <si>
    <t>Fomento, apoyo y difusion de eventos y expresiones artísticas y culturales</t>
  </si>
  <si>
    <t>2.3.06.2</t>
  </si>
  <si>
    <t>Formacion, capacitacion e investigacion artística y cultural</t>
  </si>
  <si>
    <t>2.3.06.4</t>
  </si>
  <si>
    <t>Pre-Inversion en infraestructura</t>
  </si>
  <si>
    <t>2.3.06.5</t>
  </si>
  <si>
    <t>Construccion, mantenimiento y/o adecuacion de la infraestructura artística y cultural</t>
  </si>
  <si>
    <t>2.3.06.6</t>
  </si>
  <si>
    <t>Mantenimiento y dotacion de bibliotecas</t>
  </si>
  <si>
    <t>2.3.06.7</t>
  </si>
  <si>
    <t>Dotacion de la infraestructura artística y cultural</t>
  </si>
  <si>
    <t>2.3.06.8</t>
  </si>
  <si>
    <t>Pago de instructores contratados para las bandas musicales</t>
  </si>
  <si>
    <t>2.3.07.01.1</t>
  </si>
  <si>
    <t>Mantenimiento y Expansión del servicio de alumbrado público</t>
  </si>
  <si>
    <t>2.3.07.01.1.2</t>
  </si>
  <si>
    <t>Mantenimiento del Servicio de alumbrado público</t>
  </si>
  <si>
    <t>2.3.07.02.1</t>
  </si>
  <si>
    <t>Subsidios para el mejoramiento de Vivienda de interés social.</t>
  </si>
  <si>
    <t>2.3.07.02.2</t>
  </si>
  <si>
    <t>Planes y Proyectos para mejoramiento de vivienda y saneamiento básico</t>
  </si>
  <si>
    <t>2.3.07.03.1</t>
  </si>
  <si>
    <t>Promoción de alianzas, asociaciones u otras formas de asociación de productores</t>
  </si>
  <si>
    <t>2.3.07.03.2</t>
  </si>
  <si>
    <t>Programas y Proyectos de  de asistencia técnica directa rural</t>
  </si>
  <si>
    <t>2.3.07.03.3</t>
  </si>
  <si>
    <t>Contratos celebrados con entidades Prestadores del servicio de asistencia técnica directa rural.</t>
  </si>
  <si>
    <t>2.3.07.04.1</t>
  </si>
  <si>
    <t>Mejoramiento de Vías</t>
  </si>
  <si>
    <t>2.3.07.04.2</t>
  </si>
  <si>
    <t>Rehabilitación de Vías Rurales</t>
  </si>
  <si>
    <t>2.3.07.04.3</t>
  </si>
  <si>
    <t>Mantenimiento Periódico de Vías</t>
  </si>
  <si>
    <t>2.3.07.04.4</t>
  </si>
  <si>
    <t>Señalizacion de vias</t>
  </si>
  <si>
    <t>2.3.07.05.1</t>
  </si>
  <si>
    <t>Conservacion de microcuencas que abastecen el acueducto, proteccion de fuentes y reforestacion de dichas cuencas</t>
  </si>
  <si>
    <t>2.3.07.05.2</t>
  </si>
  <si>
    <t>Sistema de Gestión ambiental</t>
  </si>
  <si>
    <t>2.3.07.05.3</t>
  </si>
  <si>
    <t>Adquisicion de Areas de interes para el Acueducto Municipal (Art 106 Ley 1151/2007)</t>
  </si>
  <si>
    <t>2.3.07.06.1</t>
  </si>
  <si>
    <t>Atencion de desastres</t>
  </si>
  <si>
    <t>2.3.07.06.2</t>
  </si>
  <si>
    <t>Fortalecimiento de los Comites de prevencion y atención de desastres</t>
  </si>
  <si>
    <t>2.3.07.07.1</t>
  </si>
  <si>
    <t>Promocion de cpacitación para empleo</t>
  </si>
  <si>
    <t>2.3.07.07.3</t>
  </si>
  <si>
    <t>Asistencia técnica en procesos de producción, distribución, comercialización y acceso a fuentes de financiación</t>
  </si>
  <si>
    <t>2.3.07.07.4</t>
  </si>
  <si>
    <t>Promocion del desarrollo turístico</t>
  </si>
  <si>
    <t>2.3.07.07.5</t>
  </si>
  <si>
    <t>Construcción, mejoramiento y mantenimiento de Infraestructura fisica</t>
  </si>
  <si>
    <t>2.3.07.07.6</t>
  </si>
  <si>
    <t>Adquisicion de Maquinaria y Equipo</t>
  </si>
  <si>
    <t>2.3.07.08.1</t>
  </si>
  <si>
    <t>Promocion Integral a la primera infancia</t>
  </si>
  <si>
    <t>2.3.07.08.1.1</t>
  </si>
  <si>
    <t>Programa de Protección integral a la primera infancia (PAIPI)</t>
  </si>
  <si>
    <t>2.3.07.08.2</t>
  </si>
  <si>
    <t>Proteccion Integral de la Niñez</t>
  </si>
  <si>
    <t>2.3.07.08.2.1</t>
  </si>
  <si>
    <t>Contratacion del Servicio</t>
  </si>
  <si>
    <t>2.3.07.08.3</t>
  </si>
  <si>
    <t>Proteccion Integral a la Adolescencia</t>
  </si>
  <si>
    <t>2.3.07.08.3.1</t>
  </si>
  <si>
    <t>2.3.07.08.4</t>
  </si>
  <si>
    <t>Atencion y apoyo al adulto mayor</t>
  </si>
  <si>
    <t>2.3.07.08.4.1</t>
  </si>
  <si>
    <t>Contratacion del servicio</t>
  </si>
  <si>
    <t>2.3.07.08.5</t>
  </si>
  <si>
    <t>Atencion y apoyo a madres/padres cabeza de hogar</t>
  </si>
  <si>
    <t>2.3.07.08.5.1</t>
  </si>
  <si>
    <t>2.3.07.08.6</t>
  </si>
  <si>
    <t>ATENCION  Y APOYO A LA POBLACION DESPLAZADA POR LA VIOLENCIA</t>
  </si>
  <si>
    <t>2.3.07.08.6.1</t>
  </si>
  <si>
    <t>Acciones Humanitarias</t>
  </si>
  <si>
    <t>2.3.07.08.7</t>
  </si>
  <si>
    <t>Programas de discapacidad (excluyendo acciones de salud publica)</t>
  </si>
  <si>
    <t>2.3.07.08.7.1</t>
  </si>
  <si>
    <t>2.3.07.08.8</t>
  </si>
  <si>
    <t>ENLACE COMUNITARIO INDIGENA</t>
  </si>
  <si>
    <t>2.3.07.08.8.1</t>
  </si>
  <si>
    <t>Apoyo Familias en Acción (Indígenas)</t>
  </si>
  <si>
    <t>2.3.07.09.1</t>
  </si>
  <si>
    <t>Pre-Inversion de infraestructura</t>
  </si>
  <si>
    <t>2.3.07.09.2</t>
  </si>
  <si>
    <t>Construccion de dependencias de la Administracion</t>
  </si>
  <si>
    <t>2.3.07.09.3</t>
  </si>
  <si>
    <t>Mejoramiento y mantenimiento de dependencias de la Administracion</t>
  </si>
  <si>
    <t>2.3.07.09.4</t>
  </si>
  <si>
    <t>Construccion de plazas de mercado, mataderos, cementerios, parques, andenes y mobiliarios del espacio público</t>
  </si>
  <si>
    <t>2.3.07.09.5</t>
  </si>
  <si>
    <t>Mejoramiento y mantenimiento de plazas de mercado, mataderos, cementerios, parques, andenes y mobiliario del espacio público</t>
  </si>
  <si>
    <t>2.3.07.10.1</t>
  </si>
  <si>
    <t>Programas de capacitación, asesoría y asistencia técnica para consolidar procesos de participación ciudadana y control social</t>
  </si>
  <si>
    <t>2.3.07.11.1</t>
  </si>
  <si>
    <t>Programas de capacitación y asistencia técnica orientados al desarrollo eficiente de las competencias de ley</t>
  </si>
  <si>
    <t>2.3.07.12.1</t>
  </si>
  <si>
    <t>Pago de inspectores de policia</t>
  </si>
  <si>
    <t>2.3.07.12.2</t>
  </si>
  <si>
    <t>Pago de comisariosde familia, médicos, psicologos y trabajadores sociales de las comisarias de familia</t>
  </si>
  <si>
    <t>2.3.07.12.3</t>
  </si>
  <si>
    <t>Desarrollo del Plan Integral de Seguridad y Convivencia ciudadana</t>
  </si>
  <si>
    <t>2.3.07.13.1</t>
  </si>
  <si>
    <t>2.3.07.13.2</t>
  </si>
  <si>
    <t>Financiación de eventos culturales y artísticos.</t>
  </si>
  <si>
    <t>2.3.07.13.3</t>
  </si>
  <si>
    <t>Mantenimiento de Sitios Culturales</t>
  </si>
  <si>
    <t>2.3.07.14.1</t>
  </si>
  <si>
    <t>Mantenimiento y Reparación de Escenarios Deportivos</t>
  </si>
  <si>
    <t>2.3.07.14.2</t>
  </si>
  <si>
    <t>Pago de instructores contratados para la práctica del deporte y la recreación</t>
  </si>
  <si>
    <t>2.3.07.14.3</t>
  </si>
  <si>
    <t>Financiacion de eventos deportivos</t>
  </si>
  <si>
    <t>2.3.08.1.1</t>
  </si>
  <si>
    <t>Adquisición Predios Ley 99/93</t>
  </si>
  <si>
    <t>2.3.08.1.2</t>
  </si>
  <si>
    <t>Tasa Retributiva CARDER</t>
  </si>
  <si>
    <t>2.3.08.1.3</t>
  </si>
  <si>
    <t>Sistema de gestión ambiental - SIGAM</t>
  </si>
  <si>
    <t>2.3.08.2.1</t>
  </si>
  <si>
    <t>2.3.08.3.1</t>
  </si>
  <si>
    <t>Subsidios para el mejoramiento de vivienda de interés social</t>
  </si>
  <si>
    <t>2.3.08.4.1</t>
  </si>
  <si>
    <t>Programa de Asistencia Técnica directa rural</t>
  </si>
  <si>
    <t>2.3.08.5.1</t>
  </si>
  <si>
    <t>Mantenimiento, mejoramiento y adecuacion del Matadero Mpal</t>
  </si>
  <si>
    <t>2.3.08.6.1</t>
  </si>
  <si>
    <t>Alumbrado Público</t>
  </si>
  <si>
    <t>2.3.09.1.1</t>
  </si>
  <si>
    <t>2.3.09.1.2</t>
  </si>
  <si>
    <t>Financiacion de eventos Culturales y Artìsticos</t>
  </si>
  <si>
    <t>2.3.09.1.3</t>
  </si>
  <si>
    <t>Mantenimiento de sitios Culturales</t>
  </si>
  <si>
    <t>2.3.09.1.4</t>
  </si>
  <si>
    <t>Seguridad social del creador y del gestor cultural (10%)</t>
  </si>
  <si>
    <t>2.3.09.1.5</t>
  </si>
  <si>
    <t>Pasivo pensional del creador y gestor cultural (20%)</t>
  </si>
  <si>
    <t>2.3.09.2.1</t>
  </si>
  <si>
    <t>Dotacion y Funcionamiento Hogar del Anciano Municipal</t>
  </si>
  <si>
    <t>2.3.09.3.1</t>
  </si>
  <si>
    <t>Programas especiales de  Seguridad  y convivencia Ciudadana</t>
  </si>
  <si>
    <t>2.3.09.4.1</t>
  </si>
  <si>
    <t>Atencion y Prevencion de Desastres</t>
  </si>
  <si>
    <t>2.3.09.5.1</t>
  </si>
  <si>
    <t>Mantenimiento Jardín Botánico</t>
  </si>
  <si>
    <t>2.3.09.6.1</t>
  </si>
  <si>
    <t>Vigilancia epidemiológica</t>
  </si>
  <si>
    <t>2.3.09.6.2</t>
  </si>
  <si>
    <t>Prevención y control de riesgos zoosanitarios</t>
  </si>
  <si>
    <t>2.3.09.6.3</t>
  </si>
  <si>
    <t>Transferencia de Tecnología.</t>
  </si>
  <si>
    <t>2.3.09.7.1</t>
  </si>
  <si>
    <t>Saneamiento Básico y Mejoramiento Ambiental</t>
  </si>
  <si>
    <t>2.3.09.8.1</t>
  </si>
  <si>
    <t xml:space="preserve">Formulacion del Plan de Desarrollo Municipal del Deporte, Recreacion y la actividad fisica (Plan Decenal Sectorial 2009-2019)
</t>
  </si>
  <si>
    <t>2.3.10.2.1</t>
  </si>
  <si>
    <t>Inversion con rendimientos Financieros S.G.P. Educación</t>
  </si>
  <si>
    <t>2.3.10.2.2</t>
  </si>
  <si>
    <t>Inversión con rendimientos Financieros alimentación escolar e infancia y adolescencia</t>
  </si>
  <si>
    <t>2.3.10.2.3</t>
  </si>
  <si>
    <t>Inversión con rendimientos Financieros Agua potable y saneamiento básico</t>
  </si>
  <si>
    <t>2.3.10.2.4</t>
  </si>
  <si>
    <t>Inversión con rendimientos Financieros deportes</t>
  </si>
  <si>
    <t>2.3.10.2.5</t>
  </si>
  <si>
    <t>Inversión con rendimientos Financieros cultura</t>
  </si>
  <si>
    <t>2.3.10.2.6</t>
  </si>
  <si>
    <t>Inversión con rendimientos Financieros Libre Inversión</t>
  </si>
  <si>
    <t>2.3.10.3.1</t>
  </si>
  <si>
    <t>Inversión con rendimientos Financieros ley seguridad</t>
  </si>
  <si>
    <t>2.3.12.2.1</t>
  </si>
  <si>
    <t>Educación</t>
  </si>
  <si>
    <t>2.3.12.2.2</t>
  </si>
  <si>
    <t>Alimentación escolar</t>
  </si>
  <si>
    <t>2.3.12.2.3</t>
  </si>
  <si>
    <t>Agua Potable Y Saneamiento Básico</t>
  </si>
  <si>
    <t>2.3.12.2.4</t>
  </si>
  <si>
    <t>PROPOSITO GENERAL</t>
  </si>
  <si>
    <t>2.3.12.2.4.1</t>
  </si>
  <si>
    <t>Deportes</t>
  </si>
  <si>
    <t>2.3.12.2.4.1.1</t>
  </si>
  <si>
    <t>Financiación de Eventos Deportivos</t>
  </si>
  <si>
    <t>2.3.12.2.4.2</t>
  </si>
  <si>
    <t>Cultura</t>
  </si>
  <si>
    <t>2.3.12.2.4.2.1</t>
  </si>
  <si>
    <t>Financiación de Eventos Culturales y Artisticos</t>
  </si>
  <si>
    <t>2.3.12.2.4.3</t>
  </si>
  <si>
    <t>Libre Inversion</t>
  </si>
  <si>
    <t>2.3.12.2.4.3.1</t>
  </si>
  <si>
    <t>Sector Vivienda</t>
  </si>
  <si>
    <t>2.3.12.2.5</t>
  </si>
  <si>
    <t>Por Crecimiento de la Economía</t>
  </si>
  <si>
    <t>2.3.12.2.5.1</t>
  </si>
  <si>
    <t>Primera Infancia</t>
  </si>
  <si>
    <t>2.3.12.2.5.2</t>
  </si>
  <si>
    <t>2.3.12.2.6</t>
  </si>
  <si>
    <t>Otros recursos de forzosa inversion con destinacion especifica</t>
  </si>
  <si>
    <t>3</t>
  </si>
  <si>
    <t>RESGUARDOS INDIGENAS</t>
  </si>
  <si>
    <t>3.1</t>
  </si>
  <si>
    <t>RESGUARDO INDIGENA ALTOMIRA</t>
  </si>
  <si>
    <t>3.1.1</t>
  </si>
  <si>
    <t>Vivienda</t>
  </si>
  <si>
    <t>3.1.2</t>
  </si>
  <si>
    <t>Desarrollo Agricola y Pecuario</t>
  </si>
  <si>
    <t>3.1.3</t>
  </si>
  <si>
    <t>Educacion</t>
  </si>
  <si>
    <t>3.1.4</t>
  </si>
  <si>
    <t>Salud</t>
  </si>
  <si>
    <t>3.1.5</t>
  </si>
  <si>
    <t>Saneamiento Basico</t>
  </si>
  <si>
    <t>3.2</t>
  </si>
  <si>
    <t>RESGUARDO INDIGENA SURATENA</t>
  </si>
  <si>
    <t>3.2.1</t>
  </si>
  <si>
    <t>3.2.2</t>
  </si>
  <si>
    <t>3.2.3</t>
  </si>
  <si>
    <t>Desarrollo Agricola</t>
  </si>
  <si>
    <t>3.2.4</t>
  </si>
  <si>
    <t>3.2.5</t>
  </si>
  <si>
    <t>4</t>
  </si>
  <si>
    <t>TRANSFERENCIA A OTRAS ENTIDADES</t>
  </si>
  <si>
    <t>4.1</t>
  </si>
  <si>
    <t>Corporacion Autonoma Regional de Risaralda (Carder)</t>
  </si>
  <si>
    <t>4.2</t>
  </si>
  <si>
    <t>Fondo Nacional del Ganado (FEDEGAN)</t>
  </si>
  <si>
    <t>4.3</t>
  </si>
  <si>
    <t>Instituto Colombiano Agropecuario (ICA)</t>
  </si>
  <si>
    <t>4.4</t>
  </si>
  <si>
    <t>Fondo Nacional de la Porcicultura</t>
  </si>
  <si>
    <t>TOTAL Línea Estratégica C Educación y Adaptación al Cambio</t>
  </si>
  <si>
    <t>Línea Estratégica D</t>
  </si>
  <si>
    <t>PLAN PLURIANUAL DE INVERSIONES  2013</t>
  </si>
  <si>
    <t>PLAN PLURIANUAL DE INVERSIONES  2014</t>
  </si>
  <si>
    <t>PLAN PLURIANUAL DE INVERSIONES  2015</t>
  </si>
  <si>
    <t>PLAN PLURIANUAL DE INVERSIONES</t>
  </si>
  <si>
    <t>S.G.P. Educación</t>
  </si>
  <si>
    <t>S.G.P Salud</t>
  </si>
  <si>
    <t>S.G.P Agua Potable</t>
  </si>
  <si>
    <t>Información en miles de pesos</t>
  </si>
  <si>
    <t>SGP Cultura y deporte</t>
  </si>
  <si>
    <t>SUBPROGRAMA 3.3 Deporte para Todos</t>
  </si>
  <si>
    <t xml:space="preserve">SUBPROGRAMA 14.1 </t>
  </si>
  <si>
    <t xml:space="preserve">Programa 15: Educación con Calidad </t>
  </si>
  <si>
    <t>SUBPROGRAMA 15.1 Marsella Hacia la Universalización</t>
  </si>
  <si>
    <t>SUBPROGRAMA 15.2 hacia la Calidad</t>
  </si>
  <si>
    <t>SUBPROGRAMA 15.4 Marsella en Risaralda Profesional</t>
  </si>
  <si>
    <t>SUBPROGRAMA 15.5 Satisfacción del Servicio en Instituciones Educativas</t>
  </si>
  <si>
    <t>SUBPROGRAMA 15.6 Movilidad y Dotación Educativa</t>
  </si>
  <si>
    <t>SUBPROGRAMA 15.3 Hacia la Innovación Educativa y la Competitividad</t>
  </si>
  <si>
    <t>Programa 16:  Gestión Ambiental y del Territorio</t>
  </si>
  <si>
    <t>SUBPROGRAMA 16.1 Fortalecimiento de Areas Protegidas y Parques Naturales</t>
  </si>
  <si>
    <t>SUBPROGRAMA 16.2 Articulación de la Gestión Ambiental y Territorial</t>
  </si>
  <si>
    <t>SUBPROGRAMA 16.3 Campo Sostenible y Producción Limpia</t>
  </si>
  <si>
    <t>Programa 17: Gestión Integral del Riesgo</t>
  </si>
  <si>
    <t>SUBPROGRAMA 17.1 Manejo Integral de Zonas de Riesgo</t>
  </si>
  <si>
    <t>SUBPROGRAMA 17.2 Institucionalidad para la Prevención y Atención de Desastres</t>
  </si>
  <si>
    <t>Programa 18: Buen manejo del Agua y Cultura de Vida Limpia</t>
  </si>
  <si>
    <t>SUBPROGRAMA 18.1Gestión Integral de Residuos Solidos</t>
  </si>
  <si>
    <t>SUBPROGRAMA 18.2 Gestión Integral del Recurso Hidrico</t>
  </si>
  <si>
    <t>Programa 19: Programa TICS al Servicio de los Marselleses</t>
  </si>
  <si>
    <t xml:space="preserve">Programa 20: Mejoramiento Continuo de la Gestión Pública </t>
  </si>
  <si>
    <t>SUBPROGRAMA 20.1 Sistema de Gestion</t>
  </si>
  <si>
    <t>Programa 21: Gestión Financiera</t>
  </si>
  <si>
    <t>SUBPROGRAMA 21.1 Fomento de la Cultura Tributaria</t>
  </si>
  <si>
    <t>Programa 22: Desarrollo y Cultura Institucional</t>
  </si>
  <si>
    <t>SUBPROGRAMA 22.1 Fortalecimiento Institucional</t>
  </si>
  <si>
    <t xml:space="preserve">SUBPROGRAMA 22.2 Fortalecimiento de las Juntas de Acción Comunal </t>
  </si>
  <si>
    <t>Programa 23: Por un Marsella mas Confiable y Seguro</t>
  </si>
  <si>
    <t xml:space="preserve">SUBPROGRAMA 23.1 Recuperando Valores </t>
  </si>
  <si>
    <t xml:space="preserve">SUBPROGRAMA 19.1 </t>
  </si>
  <si>
    <t>2.3.03.1.03</t>
  </si>
  <si>
    <t>Regimen Subsidiado - Aportes del Departamento</t>
  </si>
  <si>
    <t>2.3.06.3</t>
  </si>
  <si>
    <t>Proteccion del Patrimonio Cultural</t>
  </si>
  <si>
    <t>2.3.06.9</t>
  </si>
  <si>
    <t>Seguridad social del creador y gestor cultural</t>
  </si>
  <si>
    <t>2.3.07.01.1.1</t>
  </si>
  <si>
    <t>Expansion del servicio de alumbrado público</t>
  </si>
  <si>
    <t>2.3.07.02</t>
  </si>
  <si>
    <t>SECTOR VIVIENDA</t>
  </si>
  <si>
    <t>2.3.07.02.3</t>
  </si>
  <si>
    <t>2.3.07.03</t>
  </si>
  <si>
    <t>SECTOR AGROPECUARIO</t>
  </si>
  <si>
    <t>2.3.07.06.3</t>
  </si>
  <si>
    <t>Contratos celebrados con cuerpo de bomberos para la prevención y control de incendios.</t>
  </si>
  <si>
    <t>Tipo</t>
  </si>
  <si>
    <t>Rubro</t>
  </si>
  <si>
    <t>Nombre</t>
  </si>
  <si>
    <t>Inicial</t>
  </si>
  <si>
    <t>Definitivo</t>
  </si>
  <si>
    <t>2</t>
  </si>
  <si>
    <t>PRESUPUESTO DE GASTOS</t>
  </si>
  <si>
    <t>2.1</t>
  </si>
  <si>
    <t>GASTOS DE FUNCIONAMIENTO</t>
  </si>
  <si>
    <t>2.1.1</t>
  </si>
  <si>
    <t>GASTOS DE PERSONAL</t>
  </si>
  <si>
    <t>2.1.1.1</t>
  </si>
  <si>
    <t>Servicios personales asociados a la Nómina</t>
  </si>
  <si>
    <t>2.1.1.1.01</t>
  </si>
  <si>
    <t>Sueldos Personal de Nómina</t>
  </si>
  <si>
    <t>2.1.1.1.02</t>
  </si>
  <si>
    <t>Prima de Navidad</t>
  </si>
  <si>
    <t>2.1.1.1.03</t>
  </si>
  <si>
    <t>Prima de Vacaciones</t>
  </si>
  <si>
    <t>2.1.1.1.04</t>
  </si>
  <si>
    <t>Bonificaciones (Dirección)</t>
  </si>
  <si>
    <t>2.1.1.1.05</t>
  </si>
  <si>
    <t>Indemnizaciones (Maternidad y otras)</t>
  </si>
  <si>
    <t>2.1.1.1.06</t>
  </si>
  <si>
    <t>Intereses Cesantías</t>
  </si>
  <si>
    <t>2.1.1.1.07</t>
  </si>
  <si>
    <t>cesantias</t>
  </si>
  <si>
    <t>2.1.1.1.08</t>
  </si>
  <si>
    <t>Auxilio de Transporte</t>
  </si>
  <si>
    <t>2.1.1.1.09</t>
  </si>
  <si>
    <t>Subsidio de alimentación</t>
  </si>
  <si>
    <t>2.1.1.1.10</t>
  </si>
  <si>
    <t>Dotación de Personal</t>
  </si>
  <si>
    <t>2.1.1.2</t>
  </si>
  <si>
    <t>Servicios personales indirectos</t>
  </si>
  <si>
    <t>2.1.1.2.1</t>
  </si>
  <si>
    <t>Honorarios</t>
  </si>
  <si>
    <t>2.1.1.2.2</t>
  </si>
  <si>
    <t>Honorarios cuota litis</t>
  </si>
  <si>
    <t>2.1.1.2.3</t>
  </si>
  <si>
    <t>Contratos Prestación de Servicios</t>
  </si>
  <si>
    <t>2.1.1.2.4</t>
  </si>
  <si>
    <t>supernumerarios</t>
  </si>
  <si>
    <t>2.1.1.3</t>
  </si>
  <si>
    <t>Contribuciones inherentes a la Nómina</t>
  </si>
  <si>
    <t>2.1.1.3.1</t>
  </si>
  <si>
    <t>Sector Privado</t>
  </si>
  <si>
    <t>2.1.1.3.1.1</t>
  </si>
  <si>
    <t>Aportes a Fondos de Cesantías</t>
  </si>
  <si>
    <t>2.1.1.3.1.2</t>
  </si>
  <si>
    <t>Aportes a Fondos de Seguridad Social (Salud)- Alcaldía</t>
  </si>
  <si>
    <t>2.1.1.3.1.3</t>
  </si>
  <si>
    <t>Aportes a Fondos de Seguridad Social (Salud)- Concejo</t>
  </si>
  <si>
    <t>2.1.1.3.1.4</t>
  </si>
  <si>
    <t>Aportes a Fondos de Pensiones</t>
  </si>
  <si>
    <t>2.1.1.3.1.5</t>
  </si>
  <si>
    <t>Aportes a Administradoras de Riesgos Profesionales</t>
  </si>
  <si>
    <t>2.1.1.3.1.6</t>
  </si>
  <si>
    <t>Aportes a Cajas de Compensación</t>
  </si>
  <si>
    <t>2.1.1.3.2</t>
  </si>
  <si>
    <t>Sector Público</t>
  </si>
  <si>
    <t>2.1.1.3.2.1</t>
  </si>
  <si>
    <t>Aportes al SENA</t>
  </si>
  <si>
    <t>2.1.1.3.2.2</t>
  </si>
  <si>
    <t>Aportes al ESAP</t>
  </si>
  <si>
    <t>2.1.1.3.2.3</t>
  </si>
  <si>
    <t>Aportes a Escuelas Industriales e Institutos Técnicos</t>
  </si>
  <si>
    <t>2.1.1.3.2.4</t>
  </si>
  <si>
    <t>Aportes al ICBF</t>
  </si>
  <si>
    <t>2.1.2</t>
  </si>
  <si>
    <t>GASTOS GENERALES</t>
  </si>
  <si>
    <t>2.1.2.1</t>
  </si>
  <si>
    <t>Adquisición de Bienes</t>
  </si>
  <si>
    <t>2.1.2.1.1</t>
  </si>
  <si>
    <t>Materiales y Suministros</t>
  </si>
  <si>
    <t>2.1.2.1.2</t>
  </si>
  <si>
    <t>Impresos y Publicaciones</t>
  </si>
  <si>
    <t>2.1.2.1.3</t>
  </si>
  <si>
    <t>Aceites y Lubricantes</t>
  </si>
  <si>
    <t>2.1.2.1.4</t>
  </si>
  <si>
    <t>compra de muebles y enseres</t>
  </si>
  <si>
    <t>2.1.2.1.5</t>
  </si>
  <si>
    <t>Suministro de combustible vehículos Alcaldía</t>
  </si>
  <si>
    <t>2.1.2.1.6</t>
  </si>
  <si>
    <t>Suministro de Combustible y Repuestos Vehìculo Alcalde</t>
  </si>
  <si>
    <t>2.1.2.2</t>
  </si>
  <si>
    <t>Adquisición de Servicios</t>
  </si>
  <si>
    <t>2.1.2.2.01</t>
  </si>
  <si>
    <t>Mantenimiento Hardware y adquisicion licencias</t>
  </si>
  <si>
    <t>2.1.2.2.02</t>
  </si>
  <si>
    <t>Servicios Públicos</t>
  </si>
  <si>
    <t>2.1.2.2.02.1</t>
  </si>
  <si>
    <t>2.1.2.2.02.2</t>
  </si>
  <si>
    <t>Acueducto</t>
  </si>
  <si>
    <t>2.1.2.2.02.3</t>
  </si>
  <si>
    <t>Telefono celular</t>
  </si>
  <si>
    <t>2.1.2.2.02.4</t>
  </si>
  <si>
    <t>Telefono fijo</t>
  </si>
  <si>
    <t>2.1.2.2.02.5</t>
  </si>
  <si>
    <t>Gas</t>
  </si>
  <si>
    <t>2.1.2.2.02.6</t>
  </si>
  <si>
    <t>Servicio de Internet</t>
  </si>
  <si>
    <t>2.1.2.2.03</t>
  </si>
  <si>
    <t>Viaticos y Gastos de Viaje</t>
  </si>
  <si>
    <t>2.1.2.2.04</t>
  </si>
  <si>
    <t>Comunicaciones y transporte</t>
  </si>
  <si>
    <t>2.1.2.2.05</t>
  </si>
  <si>
    <t>Primas de Seguros</t>
  </si>
  <si>
    <t>2.1.2.2.05.1</t>
  </si>
  <si>
    <t>Seguros Alcalde</t>
  </si>
  <si>
    <t>2.1.2.2.05.2</t>
  </si>
  <si>
    <t>Seguros Concejales</t>
  </si>
  <si>
    <t>2.1.2.2.05.3</t>
  </si>
  <si>
    <t>Seguros personera</t>
  </si>
  <si>
    <t>2.1.2.2.05.4</t>
  </si>
  <si>
    <t>Seguros generales</t>
  </si>
  <si>
    <t>2.1.2.2.06</t>
  </si>
  <si>
    <t>Fotocopias</t>
  </si>
  <si>
    <t>2.1.2.2.07</t>
  </si>
  <si>
    <t>Varios e imprevistos (Liquidación Terminal)</t>
  </si>
  <si>
    <t>2.1.2.2.08</t>
  </si>
  <si>
    <t>Gastos Bancarios</t>
  </si>
  <si>
    <t>2.1.2.2.09</t>
  </si>
  <si>
    <t>Portes y Correos</t>
  </si>
  <si>
    <t>2.1.2.2.10</t>
  </si>
  <si>
    <t>Edición Gaceta</t>
  </si>
  <si>
    <t>2.1.2.2.11</t>
  </si>
  <si>
    <t>Gastos electorales</t>
  </si>
  <si>
    <t>2.1.2.2.12</t>
  </si>
  <si>
    <t>Impuestos, multas, sanciones, cont.</t>
  </si>
  <si>
    <t>2.1.2.2.13</t>
  </si>
  <si>
    <t>Sentencias Judiciales y Conciliaciones</t>
  </si>
  <si>
    <t>2.1.2.2.14</t>
  </si>
  <si>
    <t>Suscripciones y Afiliaciones (Federación de Municipios GTZ)</t>
  </si>
  <si>
    <t>2.1.2.2.15</t>
  </si>
  <si>
    <t>Sistematización (Mantenimiento y reparacion )</t>
  </si>
  <si>
    <t>2.1.2.2.16</t>
  </si>
  <si>
    <t>Devoluciones y Reintegros por concepto de  Impuestos</t>
  </si>
  <si>
    <t>2.1.2.2.17</t>
  </si>
  <si>
    <t>Arrendamientos</t>
  </si>
  <si>
    <t>2.1.2.2.18</t>
  </si>
  <si>
    <t>Capacitacion</t>
  </si>
  <si>
    <t>2.1.2.2.19</t>
  </si>
  <si>
    <t>Transporte Concejales</t>
  </si>
  <si>
    <t>2.1.2.2.20</t>
  </si>
  <si>
    <t>Gastos varios e Imprevistos</t>
  </si>
  <si>
    <t>2.1.3</t>
  </si>
  <si>
    <t>TRANSFERENCIAS CORRIENTES</t>
  </si>
  <si>
    <t>2.1.3.1</t>
  </si>
  <si>
    <t>NOMINA PENSIONADOS</t>
  </si>
  <si>
    <t>2.1.3.1.1</t>
  </si>
  <si>
    <t>Mesadas Pensionales y Jubilaciones</t>
  </si>
  <si>
    <t>2.1.3.1.2</t>
  </si>
  <si>
    <t>Mesada Adicional  (Junio y Dicbre Ley 100/93)</t>
  </si>
  <si>
    <t>2.1.3.1.3</t>
  </si>
  <si>
    <t>Cuotas partes pensional</t>
  </si>
  <si>
    <t>2.1.3.1.4</t>
  </si>
  <si>
    <t>Auxilio y Servicios Funerarios</t>
  </si>
  <si>
    <t>2.1.3.2</t>
  </si>
  <si>
    <t>OTRAS TRANSFERENCIAS</t>
  </si>
  <si>
    <t>2.1.3.2.1</t>
  </si>
  <si>
    <t>Personeria Municipal</t>
  </si>
  <si>
    <t>2.1.3.2.2</t>
  </si>
  <si>
    <t>Concejo Municipal</t>
  </si>
  <si>
    <t>2.2</t>
  </si>
  <si>
    <t>TOTAL DE LA DEUDA</t>
  </si>
  <si>
    <t>2.2.1</t>
  </si>
  <si>
    <t>DEUDA CON S.G.P. PROPOSITO GENERAL LIBRE INVERSION</t>
  </si>
  <si>
    <t>2.2.1.1</t>
  </si>
  <si>
    <t>Deporte y Recreacion</t>
  </si>
  <si>
    <t>2.2.1.1.1</t>
  </si>
  <si>
    <t>Amortizacion</t>
  </si>
  <si>
    <t>2.2.1.1.2</t>
  </si>
  <si>
    <t>Intereses</t>
  </si>
  <si>
    <t>2.2.1.2</t>
  </si>
  <si>
    <t>Transporte</t>
  </si>
  <si>
    <t>2.2.1.2.1</t>
  </si>
  <si>
    <t>Amortización</t>
  </si>
  <si>
    <t>2.2.1.2.2</t>
  </si>
  <si>
    <t>2.3.01.2</t>
  </si>
  <si>
    <t>EDUCACION - GRATUIDAD</t>
  </si>
  <si>
    <t>Otros gastos en salud - Apoyo a las funciones operativas de la DLS</t>
  </si>
  <si>
    <t>Subsidios para la construccion y  mejoramiento de Vivienda de interés social.</t>
  </si>
  <si>
    <t>2.3.08.7</t>
  </si>
  <si>
    <t>POBLACION VULNERABLE</t>
  </si>
  <si>
    <t>2.3.08.7.1</t>
  </si>
  <si>
    <t>Subsidio servicios funerarios</t>
  </si>
  <si>
    <t>2.3.08.8</t>
  </si>
  <si>
    <t>SECTOR VIAL</t>
  </si>
  <si>
    <t>2.3.08.8.1</t>
  </si>
  <si>
    <t>Mantenimiento vehículos Alcaldia y volquetas</t>
  </si>
  <si>
    <t>2.3.08.9</t>
  </si>
  <si>
    <t>2.3.08.9.1</t>
  </si>
  <si>
    <t>Cofinanciacion de proyectos etnoeducativos (Compra de implementos musicales)</t>
  </si>
  <si>
    <t>3.3</t>
  </si>
  <si>
    <t>RENDIMIENTOS FINANCIEROS RESGUARDOS INDIGENAS</t>
  </si>
  <si>
    <t>3.3.1</t>
  </si>
  <si>
    <t>Rendimientos Financieros Altomira</t>
  </si>
  <si>
    <t>3.3.2</t>
  </si>
  <si>
    <t>Rendimientos Financieros Suratena</t>
  </si>
  <si>
    <t>4.5</t>
  </si>
  <si>
    <t>Estampilla Pro-desarrollo</t>
  </si>
  <si>
    <t>1</t>
  </si>
  <si>
    <t>PRESUPUESTO DE INGRESOS</t>
  </si>
  <si>
    <t>1.1</t>
  </si>
  <si>
    <t>INGRESOS CORRIENTES</t>
  </si>
  <si>
    <t>1.1.1</t>
  </si>
  <si>
    <t>TRIBUTARIOS  (I.C.L.D)</t>
  </si>
  <si>
    <t>1.1.1.1</t>
  </si>
  <si>
    <t>IMPUESTOS DIRECTOS</t>
  </si>
  <si>
    <t>1.1.1.1.1</t>
  </si>
  <si>
    <t>Impuesto Predial Unificado Vigencia Actual</t>
  </si>
  <si>
    <t>1.1.1.1.2</t>
  </si>
  <si>
    <t>Impuesto Predial Unificado Vigencias Anteriores</t>
  </si>
  <si>
    <t>1.1.1.2</t>
  </si>
  <si>
    <t>IMPUESTOS INDIRECTOS</t>
  </si>
  <si>
    <t>1.1.1.2.1</t>
  </si>
  <si>
    <t>Impuesto de Industria y Comercio de la Vigencia Actual</t>
  </si>
  <si>
    <t>1.1.1.2.2</t>
  </si>
  <si>
    <t>Impuesto de Industria y Comercio de la Vigencia Anterior</t>
  </si>
  <si>
    <t>1.1.1.2.3</t>
  </si>
  <si>
    <t>Impuesto de Avisos y Tableros Vigencia actual y anterior</t>
  </si>
  <si>
    <t>1.1.1.2.4</t>
  </si>
  <si>
    <t>Impuesto de Delineación y Urbanismo</t>
  </si>
  <si>
    <t>1.1.1.2.5</t>
  </si>
  <si>
    <t>Impuesto de Espectáculos Públicos</t>
  </si>
  <si>
    <t>1.1.1.2.6</t>
  </si>
  <si>
    <t>Impuesto de Deguello de Ganado Mayor</t>
  </si>
  <si>
    <t>1.1.1.2.7</t>
  </si>
  <si>
    <t>Sobretasa a la Gasolina Motor</t>
  </si>
  <si>
    <t>1.1.1.2.8</t>
  </si>
  <si>
    <t>Otros Ingresos Tributarios</t>
  </si>
  <si>
    <t>1.1.1.2.9</t>
  </si>
  <si>
    <t>Deguello de Ganado Menor</t>
  </si>
  <si>
    <t>1.1.2</t>
  </si>
  <si>
    <t>INGRESOS NO TRIBUTARIOS</t>
  </si>
  <si>
    <t>1.1.2.1</t>
  </si>
  <si>
    <t>TASAS  Y DERECHOS  (I.C.L.D)</t>
  </si>
  <si>
    <t>1.1.2.1.1</t>
  </si>
  <si>
    <t>Publicaciones Gaceta</t>
  </si>
  <si>
    <t>1.1.2.1.2</t>
  </si>
  <si>
    <t>Impuesto  Alumbrado Público</t>
  </si>
  <si>
    <t>1.1.2.1.3</t>
  </si>
  <si>
    <t>Otros Ingresos No Tributarios</t>
  </si>
  <si>
    <t>1.1.2.2</t>
  </si>
  <si>
    <t>MULTAS Y SANCIONES</t>
  </si>
  <si>
    <t>1.1.2.2.1</t>
  </si>
  <si>
    <t>De Tránsito y Transporte</t>
  </si>
  <si>
    <t>1.1.2.2.2</t>
  </si>
  <si>
    <t>De Control Disciplinario</t>
  </si>
  <si>
    <t>1.1.2.2.3</t>
  </si>
  <si>
    <t>Sanciones urbanísticas</t>
  </si>
  <si>
    <t>1.1.2.2.4</t>
  </si>
  <si>
    <t>Intereses Moratorios Impuesto Predial Unificado</t>
  </si>
  <si>
    <t>1.1.2.2.5</t>
  </si>
  <si>
    <t>Intereses moratorios Impuesto de  Industria y Comercio</t>
  </si>
  <si>
    <t>1.1.2.2.6</t>
  </si>
  <si>
    <t xml:space="preserve"> Sanciones Extemporaneidad Industria  y Comercio.</t>
  </si>
  <si>
    <t>1.1.2.3</t>
  </si>
  <si>
    <t>RENTAS CONTRACTUALES</t>
  </si>
  <si>
    <t>1.1.2.3.1</t>
  </si>
  <si>
    <t>Arrendamiento de Bienes Inmuebles</t>
  </si>
  <si>
    <t>1.1.2.3.2</t>
  </si>
  <si>
    <t>Alquiler maquinaria y equipo, diferente a la vial</t>
  </si>
  <si>
    <t>1.1.2.4</t>
  </si>
  <si>
    <t>OTROS INGRESOS (I.C.L.D)</t>
  </si>
  <si>
    <t>1.1.2.4.1</t>
  </si>
  <si>
    <t>Aprovechamientos</t>
  </si>
  <si>
    <t>1.1.2.4.2</t>
  </si>
  <si>
    <t>Reintegros de Funcionamiento</t>
  </si>
  <si>
    <t>1.1.3</t>
  </si>
  <si>
    <t>TRANSFERENCIAS CORRIENTES (I.C.L.D)</t>
  </si>
  <si>
    <t>1.1.3.1</t>
  </si>
  <si>
    <t xml:space="preserve">DEL NIVEL NACIONAL 
</t>
  </si>
  <si>
    <t>1.1.3.1.1</t>
  </si>
  <si>
    <t>S.G.P. Libre Destinacion de participacion de propósito general municipios categorias 4, 5 y 6</t>
  </si>
  <si>
    <t>1.1.3.2</t>
  </si>
  <si>
    <t>DEL NIVEL DEPARTAMENTAL</t>
  </si>
  <si>
    <t>1.1.3.2.1</t>
  </si>
  <si>
    <t>Impuesto Vehículo Automotor Vigencia actual u anterior</t>
  </si>
  <si>
    <t>1.2</t>
  </si>
  <si>
    <t>TRANSFERENCIAS PARA INVERSION</t>
  </si>
  <si>
    <t>1.2.1</t>
  </si>
  <si>
    <t>1.2.1.1</t>
  </si>
  <si>
    <t>Educación Calidad por matricula</t>
  </si>
  <si>
    <t>1.2.1.2</t>
  </si>
  <si>
    <t>Educacion Gratuidad</t>
  </si>
  <si>
    <t>1.2.2</t>
  </si>
  <si>
    <t>S.G.P.Alimentación Escolar</t>
  </si>
  <si>
    <t>1.2.3</t>
  </si>
  <si>
    <t>S.G.P. Participacion para  Agua Potable y Saneamiento Bäsico</t>
  </si>
  <si>
    <t>1.2.4</t>
  </si>
  <si>
    <t>S.G.P. Forzosa Inversión de participacion Propósito General</t>
  </si>
  <si>
    <t>1.2.4.1</t>
  </si>
  <si>
    <t>S.G.P.Deporte y Recreación</t>
  </si>
  <si>
    <t>1.2.4.2</t>
  </si>
  <si>
    <t>S.G.P. Cultura</t>
  </si>
  <si>
    <t>1.2.4.3</t>
  </si>
  <si>
    <t>S.G.P. Libre Inversión</t>
  </si>
  <si>
    <t>1.2.5</t>
  </si>
  <si>
    <t>FONDO LOCAL DE SALUD</t>
  </si>
  <si>
    <t>1.2.5.1</t>
  </si>
  <si>
    <t>REGIMEN SUBSIDIADO</t>
  </si>
  <si>
    <t>1.2.5.1.1</t>
  </si>
  <si>
    <t>S.G.P. Salud Regimen Subsidiado - Continuidad</t>
  </si>
  <si>
    <t>1.2.5.1.2</t>
  </si>
  <si>
    <t>S.G.P. Salud Regimen Subsidiado - Ampliacion Cobertura</t>
  </si>
  <si>
    <t>1.2.5.1.3</t>
  </si>
  <si>
    <t>S.G.P. Propósito General Libre Inversion</t>
  </si>
  <si>
    <t>1.2.5.1.4</t>
  </si>
  <si>
    <t>Fondo de Solidaridad y Garantias-  FOSYGA</t>
  </si>
  <si>
    <t>1.2.5.1.5</t>
  </si>
  <si>
    <t>Aportes Departamentales para Regimen Subsidiado</t>
  </si>
  <si>
    <t>1.2.5.1.6</t>
  </si>
  <si>
    <t>Empresa Territorial para la salud ( ETESA)</t>
  </si>
  <si>
    <t>1.2.5.1.7</t>
  </si>
  <si>
    <t>Juegos de Suerte y Azar - Rifas (Ley 643 de 2001)</t>
  </si>
  <si>
    <t>1.2.5.2</t>
  </si>
  <si>
    <t>INGRESOS DE CAPITAL</t>
  </si>
  <si>
    <t>1.2.5.2.1</t>
  </si>
  <si>
    <t>RENDIMIENTOS POR OPERACIONES FINANCIERAS</t>
  </si>
  <si>
    <t>1.2.5.2.1.1</t>
  </si>
  <si>
    <t>Rendimientos Financieros S.G.P. Regimen Subsidiado</t>
  </si>
  <si>
    <t>1.2.5.2.1.2</t>
  </si>
  <si>
    <t>Rendimientos Financieros ETESA</t>
  </si>
  <si>
    <t>1.2.5.2.1.3</t>
  </si>
  <si>
    <t>Rendimientos Financieros Juegos de Suerte y Azar - Rifas (Ley 643 de 2001)</t>
  </si>
  <si>
    <t>1.2.5.2.2</t>
  </si>
  <si>
    <t>REINTEGROS</t>
  </si>
  <si>
    <t>1.2.5.2.2.1</t>
  </si>
  <si>
    <t>Reintegros del S.G.P. Regimen Subsidiado</t>
  </si>
  <si>
    <t>1.2.5.2.2.2</t>
  </si>
  <si>
    <t>Reintegros de Etesa</t>
  </si>
  <si>
    <t>1.2.5.2.2.3</t>
  </si>
  <si>
    <t>Reintegros de Juegos de Suerte y Azar - Rifas (Ley 643 de 2001)</t>
  </si>
  <si>
    <t>1.2.5.2.3</t>
  </si>
  <si>
    <t>RECURSOS DEL BALANCE</t>
  </si>
  <si>
    <t>1.2.5.2.3.1</t>
  </si>
  <si>
    <t>Recursos del Balance S.G.P. Regimen Subsidiado</t>
  </si>
  <si>
    <t>1.2.5.2.3.2</t>
  </si>
  <si>
    <t>Recursos del Balance Etesa</t>
  </si>
  <si>
    <t>1.2.5.2.3.3</t>
  </si>
  <si>
    <t>Recursos del Balance Juegos de Suerte y Azar -Rifas (Ley 643 de 2001)</t>
  </si>
  <si>
    <t>1.2.5.2.3.4</t>
  </si>
  <si>
    <t>Recursos del Balance - Aportes Departamentales por cobrar</t>
  </si>
  <si>
    <t>1.2.5.3</t>
  </si>
  <si>
    <t>1.2.5.3.1</t>
  </si>
  <si>
    <t>S.G.P. Salud Pública</t>
  </si>
  <si>
    <t>1.2.5.3.2</t>
  </si>
  <si>
    <t>Rendimientos Financieros S.G.P. Salud Pública</t>
  </si>
  <si>
    <t>1.2.5.3.3</t>
  </si>
  <si>
    <t>Recursos del Balance de S.G.P. Salud Pública</t>
  </si>
  <si>
    <t>1.2.5.4</t>
  </si>
  <si>
    <t>OTROS INGRESOS DEL SECTOR SALUD</t>
  </si>
  <si>
    <t>1.2.5.4.1</t>
  </si>
  <si>
    <t>PARA FUNCIONAMIENTO</t>
  </si>
  <si>
    <t>1.2.5.4.1.1</t>
  </si>
  <si>
    <t>Impuesto de Rifas y Apuestas</t>
  </si>
  <si>
    <t>1.2.5.4.1.2</t>
  </si>
  <si>
    <t>Impuesto de Juegos de Suerte y Azar Juegos Permitidos</t>
  </si>
  <si>
    <t>1.2.5.4.1.3</t>
  </si>
  <si>
    <t>Empresa Territorial para la Salud  (ETESA 25%)</t>
  </si>
  <si>
    <t>1.2.5.4.1.4</t>
  </si>
  <si>
    <t>1.2.5.4.1.5</t>
  </si>
  <si>
    <t>1.2.6</t>
  </si>
  <si>
    <t>RENTAS CON DESTINACION ESPECIFICA</t>
  </si>
  <si>
    <t>1.2.6.1</t>
  </si>
  <si>
    <t>ESTAMPILLAS</t>
  </si>
  <si>
    <t>1.2.6.1.1</t>
  </si>
  <si>
    <t>Estampilla Procultura</t>
  </si>
  <si>
    <t>1.2.6.1.2</t>
  </si>
  <si>
    <t>Estampilla Pro dotación y funcionamiento de los centros de bienestar del anciano.</t>
  </si>
  <si>
    <t>1.2.6.2</t>
  </si>
  <si>
    <t>CONTRIBUCIONES</t>
  </si>
  <si>
    <t>1.2.6.2.1</t>
  </si>
  <si>
    <t>Contribución sobre Contratos de Obra Pública (5%) Fondo Pro seguridad</t>
  </si>
  <si>
    <t>1.2.6.2.2</t>
  </si>
  <si>
    <t>Licencias Transporte de Ganado (ICA 50%)</t>
  </si>
  <si>
    <t>1.2.6.2.3</t>
  </si>
  <si>
    <t>Transporte de Energía Ley 99/93</t>
  </si>
  <si>
    <t>1.2.6.2.4</t>
  </si>
  <si>
    <t>Transferencia 30% del Tabaco año 2012</t>
  </si>
  <si>
    <t>1.2.6.3</t>
  </si>
  <si>
    <t>SOBRE-TASAS</t>
  </si>
  <si>
    <t>1.2.6.3.1</t>
  </si>
  <si>
    <t>Sobre tasa para financiar la actividad  Bomberil</t>
  </si>
  <si>
    <t>1.2.6.4</t>
  </si>
  <si>
    <t>JARDIN BOTANICO</t>
  </si>
  <si>
    <t>1.2.6.4.1</t>
  </si>
  <si>
    <t>Ingresos Jardín Botánico</t>
  </si>
  <si>
    <t>1.2.7</t>
  </si>
  <si>
    <t>RECURSOS DEL BALANCE SUPERAVIT FISCAL VIGENCIA ANTERIOR</t>
  </si>
  <si>
    <t>1.2.7.1</t>
  </si>
  <si>
    <t>Recursos de Libre destinación</t>
  </si>
  <si>
    <t>1.2.7.2</t>
  </si>
  <si>
    <t>Recursos de Forzosa Inversión (Con Destinacion Especifica)</t>
  </si>
  <si>
    <t>1.2.7.2.1</t>
  </si>
  <si>
    <t>1.2.7.2.2</t>
  </si>
  <si>
    <t>1.2.7.2.3</t>
  </si>
  <si>
    <t>Agua Potable y Saneamiento Básico</t>
  </si>
  <si>
    <t>1.2.7.2.6</t>
  </si>
  <si>
    <t>1.2.7.2.6.1</t>
  </si>
  <si>
    <t>1.2.7.2.6.2</t>
  </si>
  <si>
    <t>1.2.7.2.6.3</t>
  </si>
  <si>
    <t>Libre Inversión</t>
  </si>
  <si>
    <t>1.2.7.2.7</t>
  </si>
  <si>
    <t>CRECIMIENTO DE LA ECONOMIA</t>
  </si>
  <si>
    <t>1.2.7.2.7.1</t>
  </si>
  <si>
    <t>1.2.7.2.7.2</t>
  </si>
  <si>
    <t>1.2.7.2.8</t>
  </si>
  <si>
    <t>Otros recursos de forzosa inversion diferentes al S.G.P. con destinacion especifica</t>
  </si>
  <si>
    <t>1.2.7.3</t>
  </si>
  <si>
    <t>1.2.7.3.1</t>
  </si>
  <si>
    <t>Convenio Invias Nro 466-2011 (Mejoramiento y mantenimiento vía a Marsella - El Rayo - La Convención, Municipio de Marsella Risaralda)</t>
  </si>
  <si>
    <t>1.2.7.3.2</t>
  </si>
  <si>
    <t>Convenio Invias Nro 466-2011 (Por Cobrar) (Mejoramiento y mantenimiento via a Marsella - El Rayo - La Convencion Municipio de Marsella Risaralda)</t>
  </si>
  <si>
    <t>1.2.8</t>
  </si>
  <si>
    <t>VENTA DE ACTIVOS</t>
  </si>
  <si>
    <t>1.2.8.1</t>
  </si>
  <si>
    <t>AL SECTOR PRIVADO</t>
  </si>
  <si>
    <t>1.2.8.1.1</t>
  </si>
  <si>
    <t>Venta de Terrenos</t>
  </si>
  <si>
    <t>1.2.9</t>
  </si>
  <si>
    <t>1.2.9.1</t>
  </si>
  <si>
    <t>Provenientes de recursos de Libre Destinación</t>
  </si>
  <si>
    <t>1.2.9.1.1</t>
  </si>
  <si>
    <t>S.G.P. Recursos de Libre Destinación</t>
  </si>
  <si>
    <t>1.2.9.1.2</t>
  </si>
  <si>
    <t>Ingresos corrientes de libre destinacion diferentes al S.G.P.</t>
  </si>
  <si>
    <t>1.2.9.2</t>
  </si>
  <si>
    <t>Provenientes de Recursos con destinación específica</t>
  </si>
  <si>
    <t>1.2.9.2.1</t>
  </si>
  <si>
    <t>Rendimientos Financieros S.G.P. Educación</t>
  </si>
  <si>
    <t>1.2.9.2.2</t>
  </si>
  <si>
    <t>Rendimientos Financieros S.G.P. Alimentación Escolar</t>
  </si>
  <si>
    <t>1.2.9.2.3</t>
  </si>
  <si>
    <t>Rendimientos Financieros S.G.P. Agua Potable y Saneamiento Básico</t>
  </si>
  <si>
    <t>1.2.9.2.4</t>
  </si>
  <si>
    <t>S.G.P. Propósito General Forzosa Inversión</t>
  </si>
  <si>
    <t>1.2.9.2.4.1</t>
  </si>
  <si>
    <t>Rendimientos Financieros S.G.P.deportes</t>
  </si>
  <si>
    <t>1.2.9.2.4.2</t>
  </si>
  <si>
    <t>Rendimientos Financieros S.G.P. Cultura</t>
  </si>
  <si>
    <t>1.2.9.2.4.3</t>
  </si>
  <si>
    <t>Rendimientos Financieros S.G.P. Libre Inversión</t>
  </si>
  <si>
    <t>1.2.9.2.5</t>
  </si>
  <si>
    <t>Rendimientos Financieros provenientes de otros recursos con destinacion especifica diferentes al S.G.P.</t>
  </si>
  <si>
    <t>2.3.1</t>
  </si>
  <si>
    <t>2.3.2</t>
  </si>
  <si>
    <t>RECAUDO PARA OTRAS ENTIDADES</t>
  </si>
  <si>
    <t>Ingresos CARDER</t>
  </si>
  <si>
    <t>Ingresos FEDEGAN</t>
  </si>
  <si>
    <t>Ingresos PORCICULTURA</t>
  </si>
  <si>
    <t>3.4</t>
  </si>
  <si>
    <t>Ingresos ICA (50%)</t>
  </si>
  <si>
    <t>3.5</t>
  </si>
  <si>
    <t>PLAN FINANCIERO</t>
  </si>
  <si>
    <t>TOTAL INGRESOS</t>
  </si>
  <si>
    <t>Ingresos de la vigencia</t>
  </si>
  <si>
    <t>Otros Ingresos</t>
  </si>
  <si>
    <t>Gastos de Personal</t>
  </si>
  <si>
    <t>Gastos Generales</t>
  </si>
  <si>
    <t>Transferencias</t>
  </si>
  <si>
    <t>AHORRO OPERACIONAL</t>
  </si>
  <si>
    <t>SERVICIO DE LA DEUDA PUBLICA</t>
  </si>
  <si>
    <t>Deuda publica</t>
  </si>
  <si>
    <t>Mas nuevos creditos</t>
  </si>
  <si>
    <t>Menos Amortizaciones</t>
  </si>
  <si>
    <t>Menos Intereses</t>
  </si>
  <si>
    <t>Bonos Pensionales</t>
  </si>
  <si>
    <t>RECURSOS PARA INVERSION</t>
  </si>
  <si>
    <t>SGP Otros Sectores</t>
  </si>
  <si>
    <t>SUBPROGRAMA 4.2  Una Cultura de Derechos para la Primera Infancia, Infancia, Adolescencia y juventudes</t>
  </si>
  <si>
    <t>Fuente Secretaria Hacienda Municipal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</si>
</sst>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 * #,##0.00_ ;_ * \-#,##0.00_ ;_ * &quot;-&quot;??_ ;_ @_ "/>
    <numFmt numFmtId="172" formatCode="_ * #,##0_ ;_ * \-#,##0_ ;_ * &quot;-&quot;??_ ;_ @_ "/>
    <numFmt numFmtId="181" formatCode="#,##0_);\-#,##0"/>
  </numFmts>
  <fonts count="21">
    <font>
      <sz val="10"/>
      <name val="Arial"/>
    </font>
    <font>
      <sz val="10"/>
      <name val="Arial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Tahoma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7">
    <xf numFmtId="0" fontId="0" fillId="0" borderId="0" xfId="0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justify" vertical="center"/>
    </xf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justify" vertical="center"/>
    </xf>
    <xf numFmtId="3" fontId="4" fillId="3" borderId="2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172" fontId="3" fillId="0" borderId="2" xfId="1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justify" vertical="center"/>
    </xf>
    <xf numFmtId="3" fontId="4" fillId="0" borderId="2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justify" vertical="center"/>
    </xf>
    <xf numFmtId="3" fontId="4" fillId="4" borderId="2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justify" vertical="center"/>
    </xf>
    <xf numFmtId="3" fontId="3" fillId="3" borderId="2" xfId="0" applyNumberFormat="1" applyFont="1" applyFill="1" applyBorder="1" applyAlignment="1">
      <alignment vertical="center" wrapText="1"/>
    </xf>
    <xf numFmtId="0" fontId="0" fillId="6" borderId="0" xfId="0" applyFill="1"/>
    <xf numFmtId="3" fontId="0" fillId="6" borderId="0" xfId="0" applyNumberFormat="1" applyFill="1"/>
    <xf numFmtId="3" fontId="7" fillId="0" borderId="1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0" fillId="0" borderId="0" xfId="0" applyNumberFormat="1"/>
    <xf numFmtId="3" fontId="5" fillId="0" borderId="1" xfId="0" applyNumberFormat="1" applyFont="1" applyFill="1" applyBorder="1" applyAlignment="1">
      <alignment horizontal="justify" vertical="center"/>
    </xf>
    <xf numFmtId="3" fontId="4" fillId="0" borderId="7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5" borderId="2" xfId="0" applyNumberFormat="1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justify" vertical="center"/>
    </xf>
    <xf numFmtId="3" fontId="0" fillId="0" borderId="2" xfId="0" applyNumberFormat="1" applyBorder="1"/>
    <xf numFmtId="0" fontId="18" fillId="7" borderId="2" xfId="0" applyFont="1" applyFill="1" applyBorder="1" applyAlignment="1">
      <alignment horizontal="center"/>
    </xf>
    <xf numFmtId="3" fontId="18" fillId="8" borderId="2" xfId="0" applyNumberFormat="1" applyFont="1" applyFill="1" applyBorder="1" applyAlignment="1"/>
    <xf numFmtId="3" fontId="4" fillId="3" borderId="2" xfId="0" applyNumberFormat="1" applyFont="1" applyFill="1" applyBorder="1" applyAlignment="1">
      <alignment horizontal="justify" vertical="center"/>
    </xf>
    <xf numFmtId="0" fontId="8" fillId="9" borderId="0" xfId="0" applyFont="1" applyFill="1"/>
    <xf numFmtId="3" fontId="8" fillId="9" borderId="0" xfId="0" applyNumberFormat="1" applyFont="1" applyFill="1"/>
    <xf numFmtId="0" fontId="14" fillId="0" borderId="0" xfId="0" applyFont="1"/>
    <xf numFmtId="3" fontId="14" fillId="0" borderId="0" xfId="0" applyNumberFormat="1" applyFont="1"/>
    <xf numFmtId="0" fontId="16" fillId="10" borderId="0" xfId="0" applyNumberFormat="1" applyFont="1" applyFill="1" applyBorder="1" applyAlignment="1" applyProtection="1"/>
    <xf numFmtId="0" fontId="0" fillId="10" borderId="0" xfId="0" applyNumberFormat="1" applyFill="1" applyBorder="1" applyAlignment="1" applyProtection="1"/>
    <xf numFmtId="0" fontId="17" fillId="10" borderId="2" xfId="0" applyNumberFormat="1" applyFont="1" applyFill="1" applyBorder="1" applyAlignment="1" applyProtection="1"/>
    <xf numFmtId="3" fontId="17" fillId="10" borderId="2" xfId="0" applyNumberFormat="1" applyFont="1" applyFill="1" applyBorder="1" applyAlignment="1" applyProtection="1"/>
    <xf numFmtId="0" fontId="16" fillId="10" borderId="2" xfId="0" applyNumberFormat="1" applyFont="1" applyFill="1" applyBorder="1" applyAlignment="1" applyProtection="1">
      <alignment horizontal="left" indent="2"/>
    </xf>
    <xf numFmtId="181" fontId="0" fillId="10" borderId="2" xfId="0" applyNumberFormat="1" applyFill="1" applyBorder="1" applyAlignment="1" applyProtection="1"/>
    <xf numFmtId="3" fontId="16" fillId="10" borderId="2" xfId="0" applyNumberFormat="1" applyFont="1" applyFill="1" applyBorder="1" applyAlignment="1" applyProtection="1"/>
    <xf numFmtId="181" fontId="17" fillId="10" borderId="2" xfId="0" applyNumberFormat="1" applyFont="1" applyFill="1" applyBorder="1" applyAlignment="1">
      <alignment horizontal="right" vertical="center"/>
    </xf>
    <xf numFmtId="0" fontId="16" fillId="10" borderId="2" xfId="0" applyNumberFormat="1" applyFont="1" applyFill="1" applyBorder="1" applyAlignment="1" applyProtection="1">
      <alignment horizontal="left"/>
    </xf>
    <xf numFmtId="181" fontId="17" fillId="10" borderId="2" xfId="0" applyNumberFormat="1" applyFont="1" applyFill="1" applyBorder="1" applyAlignment="1" applyProtection="1"/>
    <xf numFmtId="43" fontId="0" fillId="10" borderId="0" xfId="0" applyNumberFormat="1" applyFill="1" applyBorder="1" applyAlignment="1" applyProtection="1"/>
    <xf numFmtId="181" fontId="14" fillId="10" borderId="2" xfId="0" applyNumberFormat="1" applyFont="1" applyFill="1" applyBorder="1" applyAlignment="1" applyProtection="1"/>
    <xf numFmtId="0" fontId="15" fillId="10" borderId="2" xfId="0" applyNumberFormat="1" applyFont="1" applyFill="1" applyBorder="1" applyAlignment="1" applyProtection="1">
      <alignment wrapText="1"/>
    </xf>
    <xf numFmtId="0" fontId="17" fillId="10" borderId="2" xfId="0" applyNumberFormat="1" applyFont="1" applyFill="1" applyBorder="1" applyAlignment="1" applyProtection="1">
      <alignment horizontal="center" wrapText="1"/>
    </xf>
    <xf numFmtId="0" fontId="0" fillId="11" borderId="0" xfId="0" applyFill="1"/>
    <xf numFmtId="3" fontId="0" fillId="11" borderId="0" xfId="0" applyNumberFormat="1" applyFill="1"/>
    <xf numFmtId="0" fontId="0" fillId="12" borderId="0" xfId="0" applyFill="1"/>
    <xf numFmtId="3" fontId="0" fillId="12" borderId="0" xfId="0" applyNumberFormat="1" applyFill="1"/>
    <xf numFmtId="3" fontId="8" fillId="0" borderId="0" xfId="0" applyNumberFormat="1" applyFont="1"/>
    <xf numFmtId="0" fontId="0" fillId="0" borderId="0" xfId="0" applyAlignment="1"/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3" fontId="19" fillId="8" borderId="7" xfId="0" applyNumberFormat="1" applyFont="1" applyFill="1" applyBorder="1" applyAlignment="1">
      <alignment horizontal="left" vertical="center" wrapText="1"/>
    </xf>
    <xf numFmtId="3" fontId="19" fillId="8" borderId="8" xfId="0" applyNumberFormat="1" applyFont="1" applyFill="1" applyBorder="1" applyAlignment="1">
      <alignment horizontal="left" vertical="center" wrapText="1"/>
    </xf>
    <xf numFmtId="3" fontId="19" fillId="8" borderId="9" xfId="0" applyNumberFormat="1" applyFont="1" applyFill="1" applyBorder="1" applyAlignment="1">
      <alignment horizontal="left" vertical="center" wrapText="1"/>
    </xf>
    <xf numFmtId="0" fontId="15" fillId="10" borderId="2" xfId="0" applyNumberFormat="1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="93" zoomScaleNormal="93" workbookViewId="0">
      <selection activeCell="D82" sqref="D82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140625" style="2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9.42578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C7+C28+C47+C51+C70+C76+C101+#REF!+#REF!+#REF!+#REF!+#REF!+#REF!+#REF!</f>
        <v>#REF!</v>
      </c>
      <c r="D5" s="6" t="s">
        <v>1</v>
      </c>
      <c r="E5" s="6" t="e">
        <f>E7+E28+E47+E51+E70+E76+E101+#REF!+#REF!+#REF!+#REF!+#REF!+#REF!+#REF!</f>
        <v>#REF!</v>
      </c>
      <c r="F5" s="6" t="s">
        <v>3</v>
      </c>
      <c r="G5" s="6" t="e">
        <f>G7+G28+G47+G51+G70+G76+G101+#REF!+#REF!+#REF!+#REF!+#REF!+#REF!+#REF!</f>
        <v>#REF!</v>
      </c>
      <c r="H5" s="6" t="s">
        <v>4</v>
      </c>
      <c r="I5" s="6" t="s">
        <v>5</v>
      </c>
      <c r="J5" s="6" t="e">
        <f>J7+J28+J47+J51+J70+J76+J101+#REF!+#REF!+#REF!+#REF!+#REF!+#REF!+#REF!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s="14" customFormat="1" ht="28.5">
      <c r="A7" s="11" t="s">
        <v>118</v>
      </c>
      <c r="B7" s="12">
        <f t="shared" ref="B7:I7" si="0">SUM(B8:B16)</f>
        <v>0</v>
      </c>
      <c r="C7" s="12">
        <f t="shared" si="0"/>
        <v>0</v>
      </c>
      <c r="D7" s="12">
        <f t="shared" si="0"/>
        <v>2415903423</v>
      </c>
      <c r="E7" s="12">
        <f t="shared" si="0"/>
        <v>0</v>
      </c>
      <c r="F7" s="12">
        <f t="shared" si="0"/>
        <v>92657320</v>
      </c>
      <c r="G7" s="12">
        <f t="shared" si="0"/>
        <v>0</v>
      </c>
      <c r="H7" s="12">
        <f t="shared" si="0"/>
        <v>0</v>
      </c>
      <c r="I7" s="12">
        <f t="shared" si="0"/>
        <v>2480296860</v>
      </c>
      <c r="J7" s="12"/>
      <c r="K7" s="13">
        <f t="shared" ref="K7:K31" si="1">+B7+D7+F7+H7+I7</f>
        <v>4988857603</v>
      </c>
    </row>
    <row r="8" spans="1:11" ht="28.5">
      <c r="A8" s="8" t="s">
        <v>119</v>
      </c>
      <c r="B8" s="9"/>
      <c r="C8" s="9"/>
      <c r="D8" s="9">
        <v>20000000</v>
      </c>
      <c r="E8" s="9"/>
      <c r="F8" s="9">
        <v>10000000</v>
      </c>
      <c r="G8" s="9"/>
      <c r="H8" s="9"/>
      <c r="I8" s="9"/>
      <c r="J8" s="9"/>
      <c r="K8" s="15">
        <f t="shared" si="1"/>
        <v>30000000</v>
      </c>
    </row>
    <row r="9" spans="1:11" ht="28.5">
      <c r="A9" s="8" t="s">
        <v>120</v>
      </c>
      <c r="B9" s="9"/>
      <c r="C9" s="9"/>
      <c r="D9" s="9">
        <f>30000000+11889320-10000000</f>
        <v>31889320</v>
      </c>
      <c r="E9" s="9"/>
      <c r="F9" s="9">
        <v>10000000</v>
      </c>
      <c r="G9" s="9"/>
      <c r="H9" s="9"/>
      <c r="I9" s="9"/>
      <c r="J9" s="9"/>
      <c r="K9" s="15">
        <f t="shared" si="1"/>
        <v>41889320</v>
      </c>
    </row>
    <row r="10" spans="1:11" ht="27.75" customHeight="1">
      <c r="A10" s="8" t="s">
        <v>121</v>
      </c>
      <c r="B10" s="9"/>
      <c r="C10" s="9"/>
      <c r="D10" s="9">
        <v>20000000</v>
      </c>
      <c r="E10" s="9"/>
      <c r="F10" s="9"/>
      <c r="G10" s="9"/>
      <c r="H10" s="9"/>
      <c r="I10" s="9"/>
      <c r="J10" s="9"/>
      <c r="K10" s="15">
        <f t="shared" si="1"/>
        <v>20000000</v>
      </c>
    </row>
    <row r="11" spans="1:11" ht="21" customHeight="1">
      <c r="A11" s="8" t="s">
        <v>122</v>
      </c>
      <c r="B11" s="9"/>
      <c r="C11" s="9"/>
      <c r="D11" s="9"/>
      <c r="E11" s="9"/>
      <c r="F11" s="9">
        <v>10000000</v>
      </c>
      <c r="G11" s="9"/>
      <c r="H11" s="9"/>
      <c r="I11" s="9"/>
      <c r="J11" s="9"/>
      <c r="K11" s="15">
        <f t="shared" si="1"/>
        <v>10000000</v>
      </c>
    </row>
    <row r="12" spans="1:11" ht="18.75" customHeight="1">
      <c r="A12" s="8" t="s">
        <v>123</v>
      </c>
      <c r="B12" s="9"/>
      <c r="C12" s="9"/>
      <c r="D12" s="9">
        <f>20490998-3654820</f>
        <v>16836178</v>
      </c>
      <c r="E12" s="9"/>
      <c r="F12" s="9">
        <v>3654820</v>
      </c>
      <c r="G12" s="9"/>
      <c r="H12" s="9"/>
      <c r="I12" s="9"/>
      <c r="J12" s="9"/>
      <c r="K12" s="15">
        <f t="shared" si="1"/>
        <v>20490998</v>
      </c>
    </row>
    <row r="13" spans="1:11" ht="42.75">
      <c r="A13" s="8" t="s">
        <v>128</v>
      </c>
      <c r="B13" s="9"/>
      <c r="C13" s="9"/>
      <c r="D13" s="9">
        <v>30000000</v>
      </c>
      <c r="E13" s="9"/>
      <c r="F13" s="9"/>
      <c r="G13" s="9"/>
      <c r="H13" s="9"/>
      <c r="I13" s="9"/>
      <c r="J13" s="9"/>
      <c r="K13" s="15">
        <f t="shared" si="1"/>
        <v>30000000</v>
      </c>
    </row>
    <row r="14" spans="1:11" ht="31.5" customHeight="1">
      <c r="A14" s="8" t="s">
        <v>124</v>
      </c>
      <c r="B14" s="9"/>
      <c r="C14" s="9"/>
      <c r="D14" s="9">
        <v>10000000</v>
      </c>
      <c r="E14" s="9"/>
      <c r="F14" s="9"/>
      <c r="G14" s="9"/>
      <c r="H14" s="9"/>
      <c r="I14" s="9"/>
      <c r="J14" s="9"/>
      <c r="K14" s="15">
        <f t="shared" si="1"/>
        <v>10000000</v>
      </c>
    </row>
    <row r="15" spans="1:11" ht="28.5">
      <c r="A15" s="8" t="s">
        <v>125</v>
      </c>
      <c r="B15" s="9"/>
      <c r="C15" s="9"/>
      <c r="D15" s="9">
        <v>13000000</v>
      </c>
      <c r="E15" s="9"/>
      <c r="F15" s="9"/>
      <c r="G15" s="9"/>
      <c r="H15" s="9"/>
      <c r="I15" s="9"/>
      <c r="J15" s="9"/>
      <c r="K15" s="15">
        <f t="shared" si="1"/>
        <v>13000000</v>
      </c>
    </row>
    <row r="16" spans="1:11" ht="28.5">
      <c r="A16" s="8" t="s">
        <v>126</v>
      </c>
      <c r="B16" s="9"/>
      <c r="C16" s="9"/>
      <c r="D16" s="9">
        <f>2274177925</f>
        <v>2274177925</v>
      </c>
      <c r="E16" s="9"/>
      <c r="F16" s="9">
        <v>59002500</v>
      </c>
      <c r="G16" s="9"/>
      <c r="H16" s="9"/>
      <c r="I16" s="9">
        <f>2453403311+26893549</f>
        <v>2480296860</v>
      </c>
      <c r="J16" s="9"/>
      <c r="K16" s="15">
        <f t="shared" si="1"/>
        <v>4813477285</v>
      </c>
    </row>
    <row r="17" spans="1:11" ht="28.5">
      <c r="A17" s="11" t="s">
        <v>127</v>
      </c>
      <c r="B17" s="12">
        <f t="shared" ref="B17:I17" si="2">SUM(B18:B19)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24000000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25"/>
      <c r="K17" s="13">
        <f t="shared" si="1"/>
        <v>24000000</v>
      </c>
    </row>
    <row r="18" spans="1:11" ht="28.5">
      <c r="A18" s="8" t="s">
        <v>129</v>
      </c>
      <c r="B18" s="9"/>
      <c r="C18" s="9"/>
      <c r="D18" s="9"/>
      <c r="E18" s="16"/>
      <c r="F18" s="9">
        <v>16000000</v>
      </c>
      <c r="G18" s="9"/>
      <c r="H18" s="9"/>
      <c r="I18" s="9"/>
      <c r="J18" s="9"/>
      <c r="K18" s="15">
        <f t="shared" si="1"/>
        <v>16000000</v>
      </c>
    </row>
    <row r="19" spans="1:11" ht="45.75" customHeight="1">
      <c r="A19" s="8" t="s">
        <v>130</v>
      </c>
      <c r="B19" s="9"/>
      <c r="C19" s="9"/>
      <c r="D19" s="9"/>
      <c r="E19" s="9"/>
      <c r="F19" s="16">
        <v>8000000</v>
      </c>
      <c r="G19" s="16"/>
      <c r="H19" s="16"/>
      <c r="I19" s="9"/>
      <c r="J19" s="9"/>
      <c r="K19" s="15">
        <f t="shared" si="1"/>
        <v>8000000</v>
      </c>
    </row>
    <row r="20" spans="1:11" ht="18" customHeight="1">
      <c r="A20" s="11" t="s">
        <v>131</v>
      </c>
      <c r="B20" s="12">
        <f>SUM(B21:B23)</f>
        <v>0</v>
      </c>
      <c r="C20" s="12"/>
      <c r="D20" s="12">
        <f>SUM(D21:D23)</f>
        <v>42363133</v>
      </c>
      <c r="E20" s="25"/>
      <c r="F20" s="12">
        <f>SUM(F21:F23)</f>
        <v>18770000</v>
      </c>
      <c r="G20" s="25"/>
      <c r="H20" s="12">
        <f>SUM(H21:H23)</f>
        <v>0</v>
      </c>
      <c r="I20" s="12">
        <f>SUM(I21:I23)</f>
        <v>105000000</v>
      </c>
      <c r="J20" s="25"/>
      <c r="K20" s="13">
        <f t="shared" si="1"/>
        <v>166133133</v>
      </c>
    </row>
    <row r="21" spans="1:11" ht="42.75">
      <c r="A21" s="8" t="s">
        <v>132</v>
      </c>
      <c r="B21" s="9"/>
      <c r="C21" s="9"/>
      <c r="D21" s="9">
        <v>26680000</v>
      </c>
      <c r="E21" s="9"/>
      <c r="F21" s="9">
        <f>20000000+4500000-4336867-3000000-6000000</f>
        <v>11163133</v>
      </c>
      <c r="G21" s="9"/>
      <c r="H21" s="9"/>
      <c r="I21" s="9">
        <v>52500000</v>
      </c>
      <c r="J21" s="9"/>
      <c r="K21" s="15">
        <f t="shared" si="1"/>
        <v>90343133</v>
      </c>
    </row>
    <row r="22" spans="1:11" ht="28.5">
      <c r="A22" s="8" t="s">
        <v>133</v>
      </c>
      <c r="B22" s="9"/>
      <c r="C22" s="9"/>
      <c r="D22" s="9">
        <f>5000000+8230000-3000000-4000000+623133+1000000</f>
        <v>7853133</v>
      </c>
      <c r="E22" s="9"/>
      <c r="F22" s="9">
        <f>4500000+106867+3000000</f>
        <v>7606867</v>
      </c>
      <c r="G22" s="9"/>
      <c r="H22" s="9"/>
      <c r="I22" s="9">
        <v>49500000</v>
      </c>
      <c r="J22" s="9"/>
      <c r="K22" s="15">
        <f t="shared" si="1"/>
        <v>64960000</v>
      </c>
    </row>
    <row r="23" spans="1:11" ht="28.5">
      <c r="A23" s="8" t="s">
        <v>517</v>
      </c>
      <c r="B23" s="9"/>
      <c r="C23" s="9"/>
      <c r="D23" s="9">
        <f>5000000+8230000-3000000-4000000+1000000+600000</f>
        <v>7830000</v>
      </c>
      <c r="E23" s="9"/>
      <c r="F23" s="9"/>
      <c r="G23" s="9"/>
      <c r="H23" s="9"/>
      <c r="I23" s="9">
        <v>3000000</v>
      </c>
      <c r="J23" s="9"/>
      <c r="K23" s="15">
        <f t="shared" si="1"/>
        <v>10830000</v>
      </c>
    </row>
    <row r="24" spans="1:11" ht="28.5">
      <c r="A24" s="11" t="s">
        <v>134</v>
      </c>
      <c r="B24" s="12">
        <f>SUM(B25:B28)</f>
        <v>2000000</v>
      </c>
      <c r="C24" s="25"/>
      <c r="D24" s="12">
        <f>SUM(D25:D28)</f>
        <v>20592350</v>
      </c>
      <c r="E24" s="25"/>
      <c r="F24" s="12">
        <f>SUM(F25:F28)</f>
        <v>40000000</v>
      </c>
      <c r="G24" s="25"/>
      <c r="H24" s="12">
        <f>SUM(H25:H28)</f>
        <v>0</v>
      </c>
      <c r="I24" s="12">
        <v>105000000</v>
      </c>
      <c r="J24" s="25"/>
      <c r="K24" s="13">
        <f t="shared" si="1"/>
        <v>167592350</v>
      </c>
    </row>
    <row r="25" spans="1:11" ht="28.5">
      <c r="A25" s="8" t="s">
        <v>135</v>
      </c>
      <c r="B25" s="9"/>
      <c r="C25" s="9"/>
      <c r="D25" s="9">
        <v>8000000</v>
      </c>
      <c r="E25" s="9"/>
      <c r="F25" s="9">
        <v>16000000</v>
      </c>
      <c r="G25" s="9"/>
      <c r="H25" s="9"/>
      <c r="I25" s="9">
        <v>52500000</v>
      </c>
      <c r="J25" s="9"/>
      <c r="K25" s="15">
        <f t="shared" si="1"/>
        <v>76500000</v>
      </c>
    </row>
    <row r="26" spans="1:11" ht="57">
      <c r="A26" s="8" t="s">
        <v>1034</v>
      </c>
      <c r="B26" s="9"/>
      <c r="C26" s="9"/>
      <c r="D26" s="9">
        <f>8000000+220000</f>
        <v>8220000</v>
      </c>
      <c r="E26" s="9"/>
      <c r="F26" s="9">
        <f>16000000-2000000</f>
        <v>14000000</v>
      </c>
      <c r="G26" s="9"/>
      <c r="H26" s="9"/>
      <c r="I26" s="9">
        <f>30000000+3000000</f>
        <v>33000000</v>
      </c>
      <c r="J26" s="9"/>
      <c r="K26" s="15">
        <f t="shared" si="1"/>
        <v>55220000</v>
      </c>
    </row>
    <row r="27" spans="1:11" ht="31.5" customHeight="1">
      <c r="A27" s="8" t="s">
        <v>136</v>
      </c>
      <c r="B27" s="9">
        <v>2000000</v>
      </c>
      <c r="C27" s="9"/>
      <c r="D27" s="9">
        <v>4372350</v>
      </c>
      <c r="E27" s="9"/>
      <c r="F27" s="9">
        <v>6000000</v>
      </c>
      <c r="G27" s="9"/>
      <c r="H27" s="9"/>
      <c r="I27" s="9">
        <v>20000000</v>
      </c>
      <c r="J27" s="9"/>
      <c r="K27" s="15">
        <f t="shared" si="1"/>
        <v>32372350</v>
      </c>
    </row>
    <row r="28" spans="1:11" s="14" customFormat="1" ht="28.5">
      <c r="A28" s="8" t="s">
        <v>137</v>
      </c>
      <c r="B28" s="9"/>
      <c r="C28" s="9"/>
      <c r="D28" s="9"/>
      <c r="E28" s="9"/>
      <c r="F28" s="9">
        <v>4000000</v>
      </c>
      <c r="G28" s="9"/>
      <c r="H28" s="9"/>
      <c r="I28" s="9"/>
      <c r="J28" s="19"/>
      <c r="K28" s="15">
        <f t="shared" si="1"/>
        <v>4000000</v>
      </c>
    </row>
    <row r="29" spans="1:11" s="14" customFormat="1" ht="28.5">
      <c r="A29" s="11" t="s">
        <v>138</v>
      </c>
      <c r="B29" s="12">
        <f t="shared" ref="B29:I29" si="3">SUM(B30)</f>
        <v>0</v>
      </c>
      <c r="C29" s="12">
        <f t="shared" si="3"/>
        <v>0</v>
      </c>
      <c r="D29" s="12">
        <f t="shared" si="3"/>
        <v>30000000</v>
      </c>
      <c r="E29" s="12">
        <f t="shared" si="3"/>
        <v>0</v>
      </c>
      <c r="F29" s="12">
        <f t="shared" si="3"/>
        <v>12000000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25"/>
      <c r="K29" s="13">
        <f t="shared" si="1"/>
        <v>42000000</v>
      </c>
    </row>
    <row r="30" spans="1:11" s="14" customFormat="1">
      <c r="A30" s="8" t="s">
        <v>139</v>
      </c>
      <c r="B30" s="9">
        <v>0</v>
      </c>
      <c r="C30" s="20"/>
      <c r="D30" s="9">
        <v>30000000</v>
      </c>
      <c r="E30" s="19"/>
      <c r="F30" s="9">
        <v>12000000</v>
      </c>
      <c r="G30" s="19"/>
      <c r="H30" s="19"/>
      <c r="I30" s="19"/>
      <c r="J30" s="19"/>
      <c r="K30" s="15">
        <f t="shared" si="1"/>
        <v>42000000</v>
      </c>
    </row>
    <row r="31" spans="1:11" s="14" customFormat="1" ht="57">
      <c r="A31" s="11" t="s">
        <v>146</v>
      </c>
      <c r="B31" s="12">
        <f t="shared" ref="B31:I31" si="4">SUM(B32)</f>
        <v>0</v>
      </c>
      <c r="C31" s="12">
        <f t="shared" si="4"/>
        <v>0</v>
      </c>
      <c r="D31" s="12">
        <f t="shared" si="4"/>
        <v>10000000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25"/>
      <c r="K31" s="13">
        <f t="shared" si="1"/>
        <v>10000000</v>
      </c>
    </row>
    <row r="32" spans="1:11" s="14" customFormat="1">
      <c r="A32" s="8" t="s">
        <v>147</v>
      </c>
      <c r="B32" s="19"/>
      <c r="C32" s="20"/>
      <c r="D32" s="9">
        <v>10000000</v>
      </c>
      <c r="E32" s="19"/>
      <c r="F32" s="9"/>
      <c r="G32" s="19"/>
      <c r="H32" s="19"/>
      <c r="I32" s="19"/>
      <c r="J32" s="19"/>
      <c r="K32" s="15">
        <f>SUM(B32:I32)</f>
        <v>10000000</v>
      </c>
    </row>
    <row r="33" spans="1:11" s="14" customFormat="1" ht="28.5">
      <c r="A33" s="11" t="s">
        <v>148</v>
      </c>
      <c r="B33" s="12">
        <f t="shared" ref="B33:K33" si="5">SUM(B34)</f>
        <v>3000000</v>
      </c>
      <c r="C33" s="12">
        <f t="shared" si="5"/>
        <v>0</v>
      </c>
      <c r="D33" s="12">
        <f t="shared" si="5"/>
        <v>26347400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29347400</v>
      </c>
    </row>
    <row r="34" spans="1:11" s="14" customFormat="1" ht="28.5">
      <c r="A34" s="8" t="s">
        <v>149</v>
      </c>
      <c r="B34" s="9">
        <v>3000000</v>
      </c>
      <c r="C34" s="20"/>
      <c r="D34" s="9">
        <v>26347400</v>
      </c>
      <c r="E34" s="19"/>
      <c r="F34" s="19"/>
      <c r="G34" s="19"/>
      <c r="H34" s="19"/>
      <c r="I34" s="19"/>
      <c r="J34" s="19"/>
      <c r="K34" s="15">
        <f>SUM(B34:I34)</f>
        <v>29347400</v>
      </c>
    </row>
    <row r="35" spans="1:11" s="14" customFormat="1" ht="28.5">
      <c r="A35" s="11" t="s">
        <v>150</v>
      </c>
      <c r="B35" s="12">
        <f t="shared" ref="B35:K35" si="6">SUM(B36:B38)</f>
        <v>0</v>
      </c>
      <c r="C35" s="12">
        <f t="shared" si="6"/>
        <v>0</v>
      </c>
      <c r="D35" s="12">
        <f t="shared" si="6"/>
        <v>51930185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51930185</v>
      </c>
    </row>
    <row r="36" spans="1:11" s="14" customFormat="1" ht="28.5">
      <c r="A36" s="8" t="s">
        <v>151</v>
      </c>
      <c r="B36" s="19"/>
      <c r="C36" s="20"/>
      <c r="D36" s="9">
        <v>18000000</v>
      </c>
      <c r="E36" s="19"/>
      <c r="F36" s="19"/>
      <c r="G36" s="19"/>
      <c r="H36" s="19"/>
      <c r="I36" s="19"/>
      <c r="J36" s="19"/>
      <c r="K36" s="15">
        <f>SUM(B36:I36)</f>
        <v>18000000</v>
      </c>
    </row>
    <row r="37" spans="1:11" s="14" customFormat="1" ht="42.75">
      <c r="A37" s="8" t="s">
        <v>152</v>
      </c>
      <c r="B37" s="19"/>
      <c r="C37" s="20"/>
      <c r="D37" s="9">
        <v>25223685</v>
      </c>
      <c r="E37" s="19"/>
      <c r="F37" s="19"/>
      <c r="G37" s="19"/>
      <c r="H37" s="19"/>
      <c r="I37" s="19"/>
      <c r="J37" s="19"/>
      <c r="K37" s="15">
        <f>SUM(B37:I37)</f>
        <v>25223685</v>
      </c>
    </row>
    <row r="38" spans="1:11" s="14" customFormat="1" ht="42.75">
      <c r="A38" s="8" t="s">
        <v>153</v>
      </c>
      <c r="B38" s="19"/>
      <c r="C38" s="20"/>
      <c r="D38" s="9">
        <v>8706500</v>
      </c>
      <c r="E38" s="19"/>
      <c r="F38" s="19"/>
      <c r="G38" s="19"/>
      <c r="H38" s="19"/>
      <c r="I38" s="19"/>
      <c r="J38" s="19"/>
      <c r="K38" s="15">
        <f>SUM(B38:I38)</f>
        <v>8706500</v>
      </c>
    </row>
    <row r="39" spans="1:11" s="14" customFormat="1" ht="54">
      <c r="A39" s="22" t="s">
        <v>140</v>
      </c>
      <c r="B39" s="23">
        <f t="shared" ref="B39:K39" si="7">+B35+B33+B31+B29+B24+B20+B17+B7</f>
        <v>5000000</v>
      </c>
      <c r="C39" s="23">
        <f t="shared" si="7"/>
        <v>0</v>
      </c>
      <c r="D39" s="23">
        <f t="shared" si="7"/>
        <v>2597136491</v>
      </c>
      <c r="E39" s="23">
        <f t="shared" si="7"/>
        <v>0</v>
      </c>
      <c r="F39" s="23">
        <f t="shared" si="7"/>
        <v>187427320</v>
      </c>
      <c r="G39" s="23">
        <f t="shared" si="7"/>
        <v>0</v>
      </c>
      <c r="H39" s="23">
        <f t="shared" si="7"/>
        <v>0</v>
      </c>
      <c r="I39" s="23">
        <f t="shared" si="7"/>
        <v>2690296860</v>
      </c>
      <c r="J39" s="23">
        <f t="shared" si="7"/>
        <v>0</v>
      </c>
      <c r="K39" s="23">
        <f t="shared" si="7"/>
        <v>5479860671</v>
      </c>
    </row>
    <row r="40" spans="1:11">
      <c r="A40" s="8"/>
      <c r="B40" s="9"/>
      <c r="C40" s="17"/>
      <c r="D40" s="9"/>
      <c r="E40" s="9"/>
      <c r="F40" s="9"/>
      <c r="G40" s="9"/>
      <c r="H40" s="9"/>
      <c r="I40" s="9"/>
      <c r="J40" s="9"/>
      <c r="K40" s="15"/>
    </row>
    <row r="41" spans="1:11" ht="57">
      <c r="A41" s="5" t="s">
        <v>6</v>
      </c>
      <c r="B41" s="6" t="s">
        <v>2</v>
      </c>
      <c r="C41" s="6" t="e">
        <f>C43+C53+C75+C80+#REF!+#REF!+#REF!+#REF!+#REF!+#REF!+#REF!+#REF!+#REF!+#REF!</f>
        <v>#REF!</v>
      </c>
      <c r="D41" s="6" t="s">
        <v>1</v>
      </c>
      <c r="E41" s="6" t="e">
        <f>E43+E53+E75+E80+#REF!+#REF!+#REF!+#REF!+#REF!+#REF!+#REF!+#REF!+#REF!+#REF!</f>
        <v>#REF!</v>
      </c>
      <c r="F41" s="6" t="s">
        <v>3</v>
      </c>
      <c r="G41" s="6" t="e">
        <f>G43+G53+G75+G80+#REF!+#REF!+#REF!+#REF!+#REF!+#REF!+#REF!+#REF!+#REF!+#REF!</f>
        <v>#REF!</v>
      </c>
      <c r="H41" s="6" t="s">
        <v>4</v>
      </c>
      <c r="I41" s="6" t="s">
        <v>5</v>
      </c>
      <c r="J41" s="9">
        <v>200000</v>
      </c>
      <c r="K41" s="7" t="s">
        <v>0</v>
      </c>
    </row>
    <row r="42" spans="1:11" ht="25.5">
      <c r="A42" s="29" t="s">
        <v>141</v>
      </c>
      <c r="B42" s="9"/>
      <c r="C42" s="9"/>
      <c r="D42" s="9"/>
      <c r="E42" s="9"/>
      <c r="F42" s="9"/>
      <c r="G42" s="9"/>
      <c r="H42" s="9"/>
      <c r="I42" s="9"/>
      <c r="J42" s="9"/>
      <c r="K42" s="15"/>
    </row>
    <row r="43" spans="1:11" ht="29.25" customHeight="1">
      <c r="A43" s="11" t="s">
        <v>154</v>
      </c>
      <c r="B43" s="12">
        <f t="shared" ref="B43:I43" si="8">SUM(B44:B46)</f>
        <v>12000000</v>
      </c>
      <c r="C43" s="12">
        <f t="shared" si="8"/>
        <v>0</v>
      </c>
      <c r="D43" s="12">
        <f t="shared" si="8"/>
        <v>10000000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200000000</v>
      </c>
      <c r="I43" s="12">
        <f t="shared" si="8"/>
        <v>0</v>
      </c>
      <c r="J43" s="12"/>
      <c r="K43" s="13">
        <f>SUM(B43:I43)</f>
        <v>222000000</v>
      </c>
    </row>
    <row r="44" spans="1:11" ht="42.75">
      <c r="A44" s="8" t="s">
        <v>155</v>
      </c>
      <c r="B44" s="9">
        <v>0</v>
      </c>
      <c r="C44" s="9"/>
      <c r="D44" s="9">
        <v>10000000</v>
      </c>
      <c r="E44" s="9"/>
      <c r="F44" s="9">
        <v>0</v>
      </c>
      <c r="G44" s="9"/>
      <c r="H44" s="9">
        <v>100000000</v>
      </c>
      <c r="I44" s="9"/>
      <c r="J44" s="9"/>
      <c r="K44" s="15">
        <f>SUM(B44:I44)</f>
        <v>110000000</v>
      </c>
    </row>
    <row r="45" spans="1:11" ht="28.5">
      <c r="A45" s="8" t="s">
        <v>156</v>
      </c>
      <c r="B45" s="9">
        <v>12000000</v>
      </c>
      <c r="C45" s="9"/>
      <c r="D45" s="9"/>
      <c r="E45" s="9"/>
      <c r="F45" s="9"/>
      <c r="G45" s="9"/>
      <c r="H45" s="9">
        <v>75000000</v>
      </c>
      <c r="I45" s="9"/>
      <c r="J45" s="9"/>
      <c r="K45" s="15">
        <f>SUM(B45:I45)</f>
        <v>87000000</v>
      </c>
    </row>
    <row r="46" spans="1:11" ht="28.5">
      <c r="A46" s="8" t="s">
        <v>157</v>
      </c>
      <c r="B46" s="9"/>
      <c r="C46" s="9"/>
      <c r="D46" s="9"/>
      <c r="E46" s="9"/>
      <c r="F46" s="9"/>
      <c r="G46" s="9"/>
      <c r="H46" s="9">
        <v>25000000</v>
      </c>
      <c r="I46" s="9"/>
      <c r="J46" s="9"/>
      <c r="K46" s="15">
        <f>SUM(B46:I46)</f>
        <v>25000000</v>
      </c>
    </row>
    <row r="47" spans="1:11" s="14" customFormat="1" ht="28.5">
      <c r="A47" s="11" t="s">
        <v>158</v>
      </c>
      <c r="B47" s="12">
        <f t="shared" ref="B47:K47" si="9">SUM(B48:B49)</f>
        <v>8000000</v>
      </c>
      <c r="C47" s="12">
        <f t="shared" si="9"/>
        <v>0</v>
      </c>
      <c r="D47" s="12">
        <f t="shared" si="9"/>
        <v>165293500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9"/>
        <v>154902778</v>
      </c>
      <c r="J47" s="12">
        <f t="shared" si="9"/>
        <v>0</v>
      </c>
      <c r="K47" s="12">
        <f t="shared" si="9"/>
        <v>328196278</v>
      </c>
    </row>
    <row r="48" spans="1:11" ht="28.5">
      <c r="A48" s="8" t="s">
        <v>159</v>
      </c>
      <c r="B48" s="9">
        <v>4000000</v>
      </c>
      <c r="C48" s="9"/>
      <c r="D48" s="9">
        <f>45388050+7000000</f>
        <v>52388050</v>
      </c>
      <c r="E48" s="9"/>
      <c r="F48" s="9"/>
      <c r="G48" s="9"/>
      <c r="H48" s="9"/>
      <c r="I48" s="9"/>
      <c r="J48" s="9"/>
      <c r="K48" s="15">
        <f t="shared" ref="K48:K53" si="10">SUM(B48:I48)</f>
        <v>56388050</v>
      </c>
    </row>
    <row r="49" spans="1:11">
      <c r="A49" s="8" t="s">
        <v>160</v>
      </c>
      <c r="B49" s="9">
        <v>4000000</v>
      </c>
      <c r="C49" s="9"/>
      <c r="D49" s="9">
        <f>105905450+7000000</f>
        <v>112905450</v>
      </c>
      <c r="E49" s="9"/>
      <c r="F49" s="9"/>
      <c r="G49" s="9"/>
      <c r="H49" s="9"/>
      <c r="I49" s="9">
        <v>154902778</v>
      </c>
      <c r="J49" s="9"/>
      <c r="K49" s="15">
        <f t="shared" si="10"/>
        <v>271808228</v>
      </c>
    </row>
    <row r="50" spans="1:11" ht="28.5">
      <c r="A50" s="11" t="s">
        <v>143</v>
      </c>
      <c r="B50" s="12">
        <f>SUM(B51:B53)</f>
        <v>26308388</v>
      </c>
      <c r="C50" s="25"/>
      <c r="D50" s="12">
        <f>11410000+10000000+31400000+6000000</f>
        <v>58810000</v>
      </c>
      <c r="E50" s="25"/>
      <c r="F50" s="12">
        <f>SUM(F51:F53)</f>
        <v>0</v>
      </c>
      <c r="G50" s="12">
        <f>SUM(G51:G53)</f>
        <v>0</v>
      </c>
      <c r="H50" s="12">
        <f>SUM(H51:H53)</f>
        <v>0</v>
      </c>
      <c r="I50" s="12">
        <f>SUM(I51:I53)</f>
        <v>0</v>
      </c>
      <c r="J50" s="25"/>
      <c r="K50" s="13">
        <f t="shared" si="10"/>
        <v>85118388</v>
      </c>
    </row>
    <row r="51" spans="1:11" s="14" customFormat="1" ht="28.5">
      <c r="A51" s="8" t="s">
        <v>161</v>
      </c>
      <c r="B51" s="9">
        <v>5000000</v>
      </c>
      <c r="C51" s="9"/>
      <c r="D51" s="9"/>
      <c r="E51" s="19"/>
      <c r="F51" s="9"/>
      <c r="G51" s="19"/>
      <c r="H51" s="19"/>
      <c r="I51" s="19"/>
      <c r="J51" s="19"/>
      <c r="K51" s="15">
        <f t="shared" si="10"/>
        <v>5000000</v>
      </c>
    </row>
    <row r="52" spans="1:11" ht="28.5">
      <c r="A52" s="8" t="s">
        <v>144</v>
      </c>
      <c r="B52" s="9">
        <v>20000000</v>
      </c>
      <c r="C52" s="9"/>
      <c r="D52" s="9">
        <v>11410000</v>
      </c>
      <c r="E52" s="9"/>
      <c r="F52" s="9"/>
      <c r="G52" s="9"/>
      <c r="H52" s="9"/>
      <c r="I52" s="9"/>
      <c r="J52" s="9"/>
      <c r="K52" s="15">
        <f t="shared" si="10"/>
        <v>31410000</v>
      </c>
    </row>
    <row r="53" spans="1:11" ht="28.5">
      <c r="A53" s="8" t="s">
        <v>145</v>
      </c>
      <c r="B53" s="9">
        <v>1308388</v>
      </c>
      <c r="C53" s="9"/>
      <c r="D53" s="9">
        <v>31400000</v>
      </c>
      <c r="E53" s="9"/>
      <c r="F53" s="9"/>
      <c r="G53" s="9"/>
      <c r="H53" s="9"/>
      <c r="I53" s="9"/>
      <c r="J53" s="9"/>
      <c r="K53" s="15">
        <f t="shared" si="10"/>
        <v>32708388</v>
      </c>
    </row>
    <row r="54" spans="1:11" ht="28.5">
      <c r="A54" s="11" t="s">
        <v>162</v>
      </c>
      <c r="B54" s="12">
        <f t="shared" ref="B54:K54" si="11">SUM(B55:B58)</f>
        <v>16956352</v>
      </c>
      <c r="C54" s="12">
        <f t="shared" si="11"/>
        <v>0</v>
      </c>
      <c r="D54" s="12">
        <f t="shared" si="11"/>
        <v>51469076</v>
      </c>
      <c r="E54" s="12">
        <f t="shared" si="11"/>
        <v>0</v>
      </c>
      <c r="F54" s="12">
        <f t="shared" si="11"/>
        <v>5000000</v>
      </c>
      <c r="G54" s="12">
        <f t="shared" si="11"/>
        <v>0</v>
      </c>
      <c r="H54" s="12">
        <f t="shared" si="11"/>
        <v>0</v>
      </c>
      <c r="I54" s="12">
        <f t="shared" si="11"/>
        <v>42000000</v>
      </c>
      <c r="J54" s="12">
        <f t="shared" si="11"/>
        <v>0</v>
      </c>
      <c r="K54" s="12">
        <f t="shared" si="11"/>
        <v>115425428</v>
      </c>
    </row>
    <row r="55" spans="1:11" ht="28.5">
      <c r="A55" s="8" t="s">
        <v>163</v>
      </c>
      <c r="B55" s="9"/>
      <c r="C55" s="9"/>
      <c r="D55" s="9">
        <v>10469076</v>
      </c>
      <c r="E55" s="9"/>
      <c r="F55" s="9"/>
      <c r="G55" s="9"/>
      <c r="H55" s="9"/>
      <c r="I55" s="9"/>
      <c r="J55" s="9"/>
      <c r="K55" s="15">
        <f>SUM(B55:I55)</f>
        <v>10469076</v>
      </c>
    </row>
    <row r="56" spans="1:11" ht="28.5">
      <c r="A56" s="8" t="s">
        <v>164</v>
      </c>
      <c r="B56" s="9"/>
      <c r="C56" s="9"/>
      <c r="D56" s="9">
        <v>13000000</v>
      </c>
      <c r="E56" s="9"/>
      <c r="F56" s="9">
        <v>5000000</v>
      </c>
      <c r="G56" s="9"/>
      <c r="H56" s="9"/>
      <c r="I56" s="9">
        <v>26000000</v>
      </c>
      <c r="J56" s="9"/>
      <c r="K56" s="15">
        <f>SUM(B56:I56)</f>
        <v>44000000</v>
      </c>
    </row>
    <row r="57" spans="1:11" ht="28.5">
      <c r="A57" s="8" t="s">
        <v>165</v>
      </c>
      <c r="B57" s="9"/>
      <c r="C57" s="9"/>
      <c r="D57" s="9">
        <v>11000000</v>
      </c>
      <c r="E57" s="9"/>
      <c r="F57" s="9"/>
      <c r="G57" s="9"/>
      <c r="H57" s="9"/>
      <c r="I57" s="9"/>
      <c r="J57" s="9"/>
      <c r="K57" s="15">
        <f>SUM(B57:I57)</f>
        <v>11000000</v>
      </c>
    </row>
    <row r="58" spans="1:11" ht="28.5">
      <c r="A58" s="8" t="s">
        <v>166</v>
      </c>
      <c r="B58" s="9">
        <f>25000000-8043648</f>
        <v>16956352</v>
      </c>
      <c r="C58" s="9"/>
      <c r="D58" s="9">
        <v>17000000</v>
      </c>
      <c r="E58" s="9"/>
      <c r="F58" s="9"/>
      <c r="G58" s="9"/>
      <c r="H58" s="9"/>
      <c r="I58" s="9">
        <v>16000000</v>
      </c>
      <c r="J58" s="9"/>
      <c r="K58" s="15">
        <f>SUM(B58:I58)</f>
        <v>49956352</v>
      </c>
    </row>
    <row r="59" spans="1:11" ht="42.75">
      <c r="A59" s="11" t="s">
        <v>167</v>
      </c>
      <c r="B59" s="12">
        <f t="shared" ref="B59:K59" si="12">SUM(B60:B61)</f>
        <v>0</v>
      </c>
      <c r="C59" s="12">
        <f t="shared" si="12"/>
        <v>0</v>
      </c>
      <c r="D59" s="12">
        <f t="shared" si="12"/>
        <v>9820000</v>
      </c>
      <c r="E59" s="12">
        <f t="shared" si="12"/>
        <v>0</v>
      </c>
      <c r="F59" s="12">
        <f t="shared" si="12"/>
        <v>3000000</v>
      </c>
      <c r="G59" s="12">
        <f t="shared" si="12"/>
        <v>0</v>
      </c>
      <c r="H59" s="12">
        <f t="shared" si="12"/>
        <v>0</v>
      </c>
      <c r="I59" s="12">
        <f t="shared" si="12"/>
        <v>0</v>
      </c>
      <c r="J59" s="12">
        <f t="shared" si="12"/>
        <v>0</v>
      </c>
      <c r="K59" s="12">
        <f t="shared" si="12"/>
        <v>12820000</v>
      </c>
    </row>
    <row r="60" spans="1:11" ht="28.5">
      <c r="A60" s="8" t="s">
        <v>168</v>
      </c>
      <c r="B60" s="9"/>
      <c r="C60" s="9"/>
      <c r="D60" s="9">
        <v>9820000</v>
      </c>
      <c r="E60" s="9"/>
      <c r="F60" s="9"/>
      <c r="G60" s="9"/>
      <c r="H60" s="9"/>
      <c r="I60" s="9"/>
      <c r="J60" s="9"/>
      <c r="K60" s="15">
        <f>SUM(B60:I60)</f>
        <v>9820000</v>
      </c>
    </row>
    <row r="61" spans="1:11" ht="28.5">
      <c r="A61" s="8" t="s">
        <v>169</v>
      </c>
      <c r="B61" s="9"/>
      <c r="C61" s="9"/>
      <c r="D61" s="9"/>
      <c r="E61" s="9"/>
      <c r="F61" s="9">
        <v>3000000</v>
      </c>
      <c r="G61" s="9"/>
      <c r="H61" s="9"/>
      <c r="I61" s="9"/>
      <c r="J61" s="9"/>
      <c r="K61" s="15">
        <f>SUM(B61:I61)</f>
        <v>3000000</v>
      </c>
    </row>
    <row r="62" spans="1:11" ht="42.75">
      <c r="A62" s="11" t="s">
        <v>170</v>
      </c>
      <c r="B62" s="12">
        <f t="shared" ref="B62:K62" si="13">SUM(B63)</f>
        <v>0</v>
      </c>
      <c r="C62" s="12">
        <f t="shared" si="13"/>
        <v>0</v>
      </c>
      <c r="D62" s="12">
        <f t="shared" si="13"/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</row>
    <row r="63" spans="1:11">
      <c r="A63" s="8" t="s">
        <v>518</v>
      </c>
      <c r="B63" s="9"/>
      <c r="C63" s="9"/>
      <c r="D63" s="9"/>
      <c r="E63" s="9"/>
      <c r="F63" s="9"/>
      <c r="G63" s="9"/>
      <c r="H63" s="9"/>
      <c r="I63" s="9"/>
      <c r="J63" s="9"/>
      <c r="K63" s="15">
        <f>SUM(B63:I63)</f>
        <v>0</v>
      </c>
    </row>
    <row r="64" spans="1:11" ht="72">
      <c r="A64" s="22" t="s">
        <v>142</v>
      </c>
      <c r="B64" s="23">
        <f t="shared" ref="B64:K64" si="14">+B62+B59+B54+B50+B47+B43</f>
        <v>63264740</v>
      </c>
      <c r="C64" s="23">
        <f t="shared" si="14"/>
        <v>0</v>
      </c>
      <c r="D64" s="23">
        <f t="shared" si="14"/>
        <v>295392576</v>
      </c>
      <c r="E64" s="23">
        <f t="shared" si="14"/>
        <v>0</v>
      </c>
      <c r="F64" s="23">
        <f t="shared" si="14"/>
        <v>8000000</v>
      </c>
      <c r="G64" s="23">
        <f t="shared" si="14"/>
        <v>0</v>
      </c>
      <c r="H64" s="23">
        <f t="shared" si="14"/>
        <v>200000000</v>
      </c>
      <c r="I64" s="23">
        <f t="shared" si="14"/>
        <v>196902778</v>
      </c>
      <c r="J64" s="23">
        <f t="shared" si="14"/>
        <v>0</v>
      </c>
      <c r="K64" s="23">
        <f t="shared" si="14"/>
        <v>763560094</v>
      </c>
    </row>
    <row r="65" spans="1:11" ht="22.5" customHeight="1">
      <c r="A65" s="21"/>
      <c r="B65" s="9"/>
      <c r="C65" s="9"/>
      <c r="D65" s="9"/>
      <c r="E65" s="9"/>
      <c r="F65" s="9"/>
      <c r="G65" s="9"/>
      <c r="H65" s="9"/>
      <c r="I65" s="9"/>
      <c r="J65" s="9"/>
      <c r="K65" s="15"/>
    </row>
    <row r="66" spans="1:11" ht="57">
      <c r="A66" s="5" t="s">
        <v>7</v>
      </c>
      <c r="B66" s="6" t="s">
        <v>2</v>
      </c>
      <c r="C66" s="6" t="e">
        <f>C68+#REF!+#REF!+#REF!+#REF!+#REF!+#REF!+#REF!+#REF!+#REF!+#REF!+#REF!+#REF!+#REF!</f>
        <v>#REF!</v>
      </c>
      <c r="D66" s="6" t="s">
        <v>1</v>
      </c>
      <c r="E66" s="6" t="e">
        <f>E68+#REF!+#REF!+#REF!+#REF!+#REF!+#REF!+#REF!+#REF!+#REF!+#REF!+#REF!+#REF!+#REF!</f>
        <v>#REF!</v>
      </c>
      <c r="F66" s="6" t="s">
        <v>3</v>
      </c>
      <c r="G66" s="6" t="e">
        <f>G68+#REF!+#REF!+#REF!+#REF!+#REF!+#REF!+#REF!+#REF!+#REF!+#REF!+#REF!+#REF!+#REF!</f>
        <v>#REF!</v>
      </c>
      <c r="H66" s="6" t="s">
        <v>4</v>
      </c>
      <c r="I66" s="6" t="s">
        <v>5</v>
      </c>
      <c r="J66" s="9">
        <v>200000</v>
      </c>
      <c r="K66" s="7" t="s">
        <v>0</v>
      </c>
    </row>
    <row r="67" spans="1:11" ht="28.5">
      <c r="A67" s="33" t="s">
        <v>116</v>
      </c>
      <c r="B67" s="9"/>
      <c r="C67" s="9"/>
      <c r="D67" s="9"/>
      <c r="E67" s="9"/>
      <c r="F67" s="9"/>
      <c r="G67" s="9"/>
      <c r="H67" s="9"/>
      <c r="I67" s="9"/>
      <c r="J67" s="9"/>
      <c r="K67" s="15"/>
    </row>
    <row r="68" spans="1:11" ht="28.5">
      <c r="A68" s="11" t="s">
        <v>519</v>
      </c>
      <c r="B68" s="12">
        <f t="shared" ref="B68:I68" si="15">SUM(B69:B74)</f>
        <v>24000000</v>
      </c>
      <c r="C68" s="12">
        <f t="shared" si="15"/>
        <v>0</v>
      </c>
      <c r="D68" s="12">
        <f t="shared" si="15"/>
        <v>646410979</v>
      </c>
      <c r="E68" s="12">
        <f t="shared" si="15"/>
        <v>0</v>
      </c>
      <c r="F68" s="12">
        <f t="shared" si="15"/>
        <v>0</v>
      </c>
      <c r="G68" s="12">
        <f t="shared" si="15"/>
        <v>0</v>
      </c>
      <c r="H68" s="12">
        <f t="shared" si="15"/>
        <v>0</v>
      </c>
      <c r="I68" s="12">
        <f t="shared" si="15"/>
        <v>6000000</v>
      </c>
      <c r="J68" s="25"/>
      <c r="K68" s="13">
        <f>SUM(K69:K74)</f>
        <v>676410979</v>
      </c>
    </row>
    <row r="69" spans="1:11" ht="28.5">
      <c r="A69" s="8" t="s">
        <v>520</v>
      </c>
      <c r="B69" s="9"/>
      <c r="C69" s="9"/>
      <c r="D69" s="9"/>
      <c r="E69" s="9"/>
      <c r="F69" s="9"/>
      <c r="G69" s="9"/>
      <c r="H69" s="9"/>
      <c r="I69" s="9">
        <v>500000</v>
      </c>
      <c r="J69" s="9"/>
      <c r="K69" s="15">
        <f t="shared" ref="K69:K74" si="16">SUM(B69:I69)</f>
        <v>500000</v>
      </c>
    </row>
    <row r="70" spans="1:11" s="14" customFormat="1" ht="28.5">
      <c r="A70" s="8" t="s">
        <v>521</v>
      </c>
      <c r="B70" s="19"/>
      <c r="C70" s="19"/>
      <c r="D70" s="19"/>
      <c r="E70" s="19"/>
      <c r="F70" s="19"/>
      <c r="G70" s="19"/>
      <c r="H70" s="19"/>
      <c r="I70" s="9">
        <v>500000</v>
      </c>
      <c r="J70" s="19"/>
      <c r="K70" s="15">
        <f t="shared" si="16"/>
        <v>500000</v>
      </c>
    </row>
    <row r="71" spans="1:11" s="14" customFormat="1" ht="42.75">
      <c r="A71" s="8" t="s">
        <v>525</v>
      </c>
      <c r="B71" s="9">
        <v>4000000</v>
      </c>
      <c r="C71" s="19"/>
      <c r="D71" s="19"/>
      <c r="E71" s="19"/>
      <c r="F71" s="9"/>
      <c r="G71" s="19"/>
      <c r="H71" s="19"/>
      <c r="I71" s="9"/>
      <c r="J71" s="19"/>
      <c r="K71" s="15">
        <f t="shared" si="16"/>
        <v>4000000</v>
      </c>
    </row>
    <row r="72" spans="1:11" ht="28.5">
      <c r="A72" s="8" t="s">
        <v>522</v>
      </c>
      <c r="B72" s="9">
        <v>20000000</v>
      </c>
      <c r="C72" s="9"/>
      <c r="D72" s="9"/>
      <c r="E72" s="9"/>
      <c r="F72" s="9"/>
      <c r="G72" s="9"/>
      <c r="H72" s="9"/>
      <c r="I72" s="9">
        <v>5000000</v>
      </c>
      <c r="J72" s="9"/>
      <c r="K72" s="15">
        <f t="shared" si="16"/>
        <v>25000000</v>
      </c>
    </row>
    <row r="73" spans="1:11" ht="42.75">
      <c r="A73" s="8" t="s">
        <v>523</v>
      </c>
      <c r="B73" s="9"/>
      <c r="C73" s="9"/>
      <c r="D73" s="9">
        <f>286774000+58328930+600000</f>
        <v>345702930</v>
      </c>
      <c r="E73" s="9"/>
      <c r="F73" s="9"/>
      <c r="G73" s="9"/>
      <c r="H73" s="9"/>
      <c r="I73" s="9"/>
      <c r="J73" s="9"/>
      <c r="K73" s="15">
        <f t="shared" si="16"/>
        <v>345702930</v>
      </c>
    </row>
    <row r="74" spans="1:11" ht="28.5">
      <c r="A74" s="8" t="s">
        <v>524</v>
      </c>
      <c r="B74" s="9"/>
      <c r="C74" s="9"/>
      <c r="D74" s="9">
        <v>300708049</v>
      </c>
      <c r="E74" s="9"/>
      <c r="F74" s="9"/>
      <c r="G74" s="9"/>
      <c r="H74" s="9"/>
      <c r="I74" s="9"/>
      <c r="J74" s="9"/>
      <c r="K74" s="15">
        <f t="shared" si="16"/>
        <v>300708049</v>
      </c>
    </row>
    <row r="75" spans="1:11" ht="28.5">
      <c r="A75" s="11" t="s">
        <v>526</v>
      </c>
      <c r="B75" s="12">
        <f t="shared" ref="B75:I75" si="17">SUM(B76:B78)</f>
        <v>62699658</v>
      </c>
      <c r="C75" s="12">
        <f t="shared" si="17"/>
        <v>0</v>
      </c>
      <c r="D75" s="12">
        <f t="shared" si="17"/>
        <v>20800000</v>
      </c>
      <c r="E75" s="12">
        <f t="shared" si="17"/>
        <v>0</v>
      </c>
      <c r="F75" s="12">
        <f t="shared" si="17"/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25"/>
      <c r="K75" s="13">
        <f>SUM(B75:J75)</f>
        <v>83499658</v>
      </c>
    </row>
    <row r="76" spans="1:11" s="14" customFormat="1" ht="42.75">
      <c r="A76" s="8" t="s">
        <v>527</v>
      </c>
      <c r="B76" s="9">
        <v>30000000</v>
      </c>
      <c r="C76" s="19"/>
      <c r="D76" s="9">
        <v>10000000</v>
      </c>
      <c r="E76" s="19"/>
      <c r="F76" s="9"/>
      <c r="G76" s="19"/>
      <c r="H76" s="19"/>
      <c r="I76" s="19"/>
      <c r="J76" s="19"/>
      <c r="K76" s="15">
        <f>SUM(B76:J76)</f>
        <v>40000000</v>
      </c>
    </row>
    <row r="77" spans="1:11" ht="28.5">
      <c r="A77" s="8" t="s">
        <v>528</v>
      </c>
      <c r="B77" s="9">
        <v>2699658</v>
      </c>
      <c r="C77" s="9"/>
      <c r="D77" s="9">
        <v>10800000</v>
      </c>
      <c r="E77" s="9"/>
      <c r="F77" s="9"/>
      <c r="G77" s="9"/>
      <c r="H77" s="9"/>
      <c r="I77" s="9"/>
      <c r="J77" s="9"/>
      <c r="K77" s="15">
        <f>SUM(B77:J77)</f>
        <v>13499658</v>
      </c>
    </row>
    <row r="78" spans="1:11" ht="28.5">
      <c r="A78" s="8" t="s">
        <v>529</v>
      </c>
      <c r="B78" s="9">
        <v>30000000</v>
      </c>
      <c r="C78" s="9"/>
      <c r="D78" s="9"/>
      <c r="E78" s="9"/>
      <c r="F78" s="9"/>
      <c r="G78" s="9"/>
      <c r="H78" s="9"/>
      <c r="I78" s="9"/>
      <c r="J78" s="9"/>
      <c r="K78" s="15">
        <f>SUM(B78:J78)</f>
        <v>30000000</v>
      </c>
    </row>
    <row r="79" spans="1:11" ht="28.5">
      <c r="A79" s="11" t="s">
        <v>530</v>
      </c>
      <c r="B79" s="12">
        <f t="shared" ref="B79:I79" si="18">SUM(B80:B81)</f>
        <v>0</v>
      </c>
      <c r="C79" s="12">
        <f t="shared" si="18"/>
        <v>0</v>
      </c>
      <c r="D79" s="12">
        <f t="shared" si="18"/>
        <v>57800000</v>
      </c>
      <c r="E79" s="12">
        <f t="shared" si="18"/>
        <v>0</v>
      </c>
      <c r="F79" s="12">
        <f t="shared" si="18"/>
        <v>18000000</v>
      </c>
      <c r="G79" s="12">
        <f t="shared" si="18"/>
        <v>0</v>
      </c>
      <c r="H79" s="12">
        <f t="shared" si="18"/>
        <v>0</v>
      </c>
      <c r="I79" s="12">
        <f t="shared" si="18"/>
        <v>0</v>
      </c>
      <c r="J79" s="25"/>
      <c r="K79" s="13">
        <f t="shared" ref="K79:K84" si="19">SUM(B79:I79)</f>
        <v>75800000</v>
      </c>
    </row>
    <row r="80" spans="1:11" ht="28.5">
      <c r="A80" s="8" t="s">
        <v>531</v>
      </c>
      <c r="B80" s="9"/>
      <c r="C80" s="9"/>
      <c r="D80" s="9">
        <v>2200000</v>
      </c>
      <c r="E80" s="9"/>
      <c r="F80" s="9">
        <f>12000000</f>
        <v>12000000</v>
      </c>
      <c r="G80" s="9"/>
      <c r="H80" s="9"/>
      <c r="I80" s="9"/>
      <c r="J80" s="9"/>
      <c r="K80" s="15">
        <f t="shared" si="19"/>
        <v>14200000</v>
      </c>
    </row>
    <row r="81" spans="1:11" ht="42.75">
      <c r="A81" s="8" t="s">
        <v>532</v>
      </c>
      <c r="B81" s="9"/>
      <c r="C81" s="9"/>
      <c r="D81" s="9">
        <v>55600000</v>
      </c>
      <c r="E81" s="9"/>
      <c r="F81" s="9">
        <v>6000000</v>
      </c>
      <c r="G81" s="9"/>
      <c r="H81" s="9"/>
      <c r="I81" s="9"/>
      <c r="J81" s="9"/>
      <c r="K81" s="15">
        <f t="shared" si="19"/>
        <v>61600000</v>
      </c>
    </row>
    <row r="82" spans="1:11" ht="30.75" customHeight="1">
      <c r="A82" s="11" t="s">
        <v>533</v>
      </c>
      <c r="B82" s="12">
        <f t="shared" ref="B82:I82" si="20">SUM(B83:B84)</f>
        <v>0</v>
      </c>
      <c r="C82" s="12">
        <f t="shared" si="20"/>
        <v>0</v>
      </c>
      <c r="D82" s="12">
        <f t="shared" si="20"/>
        <v>595278012</v>
      </c>
      <c r="E82" s="12">
        <f t="shared" si="20"/>
        <v>0</v>
      </c>
      <c r="F82" s="12">
        <f t="shared" si="20"/>
        <v>0</v>
      </c>
      <c r="G82" s="12">
        <f t="shared" si="20"/>
        <v>0</v>
      </c>
      <c r="H82" s="12">
        <f t="shared" si="20"/>
        <v>0</v>
      </c>
      <c r="I82" s="12">
        <f t="shared" si="20"/>
        <v>0</v>
      </c>
      <c r="J82" s="25"/>
      <c r="K82" s="13">
        <f t="shared" si="19"/>
        <v>595278012</v>
      </c>
    </row>
    <row r="83" spans="1:11" ht="28.5">
      <c r="A83" s="8" t="s">
        <v>534</v>
      </c>
      <c r="B83" s="9"/>
      <c r="C83" s="9"/>
      <c r="D83" s="9">
        <v>383665330</v>
      </c>
      <c r="E83" s="9"/>
      <c r="F83" s="9"/>
      <c r="G83" s="9"/>
      <c r="H83" s="9"/>
      <c r="I83" s="9"/>
      <c r="J83" s="9"/>
      <c r="K83" s="15">
        <f t="shared" si="19"/>
        <v>383665330</v>
      </c>
    </row>
    <row r="84" spans="1:11" ht="28.5">
      <c r="A84" s="8" t="s">
        <v>535</v>
      </c>
      <c r="B84" s="9"/>
      <c r="C84" s="9"/>
      <c r="D84" s="9">
        <f>201374935+10237747</f>
        <v>211612682</v>
      </c>
      <c r="E84" s="9"/>
      <c r="F84" s="9"/>
      <c r="G84" s="9"/>
      <c r="H84" s="9"/>
      <c r="I84" s="9"/>
      <c r="J84" s="9"/>
      <c r="K84" s="15">
        <f t="shared" si="19"/>
        <v>211612682</v>
      </c>
    </row>
    <row r="85" spans="1:11" ht="30.75" customHeight="1">
      <c r="A85" s="39" t="s">
        <v>536</v>
      </c>
      <c r="B85" s="12">
        <f>SUM(B86)</f>
        <v>1000000</v>
      </c>
      <c r="C85" s="12">
        <f t="shared" ref="C85:J85" si="21">SUM(C86)</f>
        <v>0</v>
      </c>
      <c r="D85" s="12">
        <f t="shared" si="21"/>
        <v>0</v>
      </c>
      <c r="E85" s="12">
        <f t="shared" si="21"/>
        <v>0</v>
      </c>
      <c r="F85" s="12">
        <f t="shared" si="21"/>
        <v>0</v>
      </c>
      <c r="G85" s="12">
        <f t="shared" si="21"/>
        <v>0</v>
      </c>
      <c r="H85" s="12">
        <f t="shared" si="21"/>
        <v>0</v>
      </c>
      <c r="I85" s="12">
        <f t="shared" si="21"/>
        <v>0</v>
      </c>
      <c r="J85" s="12">
        <f t="shared" si="21"/>
        <v>0</v>
      </c>
      <c r="K85" s="12">
        <f>SUM(K86)</f>
        <v>1000000</v>
      </c>
    </row>
    <row r="86" spans="1:11" ht="24.75" customHeight="1">
      <c r="A86" s="9" t="s">
        <v>546</v>
      </c>
      <c r="B86" s="9">
        <v>1000000</v>
      </c>
      <c r="C86" s="19"/>
      <c r="D86" s="19">
        <v>0</v>
      </c>
      <c r="E86" s="19"/>
      <c r="F86" s="9">
        <v>0</v>
      </c>
      <c r="G86" s="19"/>
      <c r="H86" s="19">
        <v>0</v>
      </c>
      <c r="I86" s="19">
        <v>0</v>
      </c>
      <c r="J86" s="9"/>
      <c r="K86" s="19">
        <f>SUM(B86:I86)</f>
        <v>1000000</v>
      </c>
    </row>
    <row r="87" spans="1:11" ht="54">
      <c r="A87" s="22" t="s">
        <v>506</v>
      </c>
      <c r="B87" s="23">
        <f>+B85+B82+B79+B75+B68</f>
        <v>87699658</v>
      </c>
      <c r="C87" s="23">
        <f t="shared" ref="C87:K87" si="22">+C85+C82+C79+C75+C68</f>
        <v>0</v>
      </c>
      <c r="D87" s="23">
        <f t="shared" si="22"/>
        <v>1320288991</v>
      </c>
      <c r="E87" s="23">
        <f t="shared" si="22"/>
        <v>0</v>
      </c>
      <c r="F87" s="23">
        <f t="shared" si="22"/>
        <v>18000000</v>
      </c>
      <c r="G87" s="23">
        <f t="shared" si="22"/>
        <v>0</v>
      </c>
      <c r="H87" s="23">
        <f t="shared" si="22"/>
        <v>0</v>
      </c>
      <c r="I87" s="23">
        <f t="shared" si="22"/>
        <v>6000000</v>
      </c>
      <c r="J87" s="23">
        <f t="shared" si="22"/>
        <v>0</v>
      </c>
      <c r="K87" s="23">
        <f t="shared" si="22"/>
        <v>1431988649</v>
      </c>
    </row>
    <row r="88" spans="1:11" ht="18">
      <c r="A88" s="31"/>
      <c r="B88" s="19"/>
      <c r="C88" s="19"/>
      <c r="D88" s="19"/>
      <c r="E88" s="19"/>
      <c r="F88" s="19"/>
      <c r="G88" s="19"/>
      <c r="H88" s="19"/>
      <c r="I88" s="19"/>
      <c r="J88" s="19"/>
      <c r="K88" s="32"/>
    </row>
    <row r="89" spans="1:11" ht="57">
      <c r="A89" s="5" t="s">
        <v>507</v>
      </c>
      <c r="B89" s="6" t="s">
        <v>2</v>
      </c>
      <c r="C89" s="6" t="e">
        <f>C91+#REF!+#REF!+#REF!+#REF!+#REF!+#REF!+#REF!+#REF!+#REF!+#REF!+#REF!+#REF!+#REF!</f>
        <v>#REF!</v>
      </c>
      <c r="D89" s="6" t="s">
        <v>1</v>
      </c>
      <c r="E89" s="6" t="e">
        <f>E91+#REF!+#REF!+#REF!+#REF!+#REF!+#REF!+#REF!+#REF!+#REF!+#REF!+#REF!+#REF!+#REF!</f>
        <v>#REF!</v>
      </c>
      <c r="F89" s="6" t="s">
        <v>3</v>
      </c>
      <c r="G89" s="6" t="e">
        <f>G91+#REF!+#REF!+#REF!+#REF!+#REF!+#REF!+#REF!+#REF!+#REF!+#REF!+#REF!+#REF!+#REF!</f>
        <v>#REF!</v>
      </c>
      <c r="H89" s="6" t="s">
        <v>4</v>
      </c>
      <c r="I89" s="6" t="s">
        <v>5</v>
      </c>
      <c r="J89" s="9">
        <v>200000</v>
      </c>
      <c r="K89" s="7" t="s">
        <v>0</v>
      </c>
    </row>
    <row r="90" spans="1:11" ht="28.5">
      <c r="A90" s="33" t="s">
        <v>117</v>
      </c>
      <c r="B90" s="9"/>
      <c r="C90" s="9"/>
      <c r="D90" s="9"/>
      <c r="E90" s="9"/>
      <c r="F90" s="9"/>
      <c r="G90" s="9"/>
      <c r="H90" s="9"/>
      <c r="I90" s="9"/>
      <c r="J90" s="9"/>
      <c r="K90" s="15"/>
    </row>
    <row r="91" spans="1:11" ht="31.5" customHeight="1">
      <c r="A91" s="11" t="s">
        <v>537</v>
      </c>
      <c r="B91" s="12">
        <f t="shared" ref="B91:K91" si="23">SUM(B92)</f>
        <v>0</v>
      </c>
      <c r="C91" s="12">
        <f t="shared" si="23"/>
        <v>0</v>
      </c>
      <c r="D91" s="12">
        <f t="shared" si="23"/>
        <v>8000000</v>
      </c>
      <c r="E91" s="12">
        <f t="shared" si="23"/>
        <v>0</v>
      </c>
      <c r="F91" s="12">
        <f t="shared" si="23"/>
        <v>0</v>
      </c>
      <c r="G91" s="12">
        <f t="shared" si="23"/>
        <v>0</v>
      </c>
      <c r="H91" s="12">
        <f t="shared" si="23"/>
        <v>0</v>
      </c>
      <c r="I91" s="12">
        <f t="shared" si="23"/>
        <v>0</v>
      </c>
      <c r="J91" s="12">
        <f t="shared" si="23"/>
        <v>0</v>
      </c>
      <c r="K91" s="12">
        <f t="shared" si="23"/>
        <v>8000000</v>
      </c>
    </row>
    <row r="92" spans="1:11" ht="28.5">
      <c r="A92" s="8" t="s">
        <v>538</v>
      </c>
      <c r="B92" s="9"/>
      <c r="C92" s="19"/>
      <c r="D92" s="9">
        <v>8000000</v>
      </c>
      <c r="E92" s="19"/>
      <c r="F92" s="9"/>
      <c r="G92" s="19"/>
      <c r="H92" s="19"/>
      <c r="I92" s="19"/>
      <c r="J92" s="9"/>
      <c r="K92" s="15">
        <f>SUM(B92:I92)</f>
        <v>8000000</v>
      </c>
    </row>
    <row r="93" spans="1:11" ht="28.5">
      <c r="A93" s="11" t="s">
        <v>539</v>
      </c>
      <c r="B93" s="12">
        <f t="shared" ref="B93:K93" si="24">SUM(B94)</f>
        <v>0</v>
      </c>
      <c r="C93" s="12">
        <f t="shared" si="24"/>
        <v>0</v>
      </c>
      <c r="D93" s="12">
        <f t="shared" si="24"/>
        <v>8000000</v>
      </c>
      <c r="E93" s="12">
        <f t="shared" si="24"/>
        <v>0</v>
      </c>
      <c r="F93" s="12">
        <f t="shared" si="24"/>
        <v>0</v>
      </c>
      <c r="G93" s="12">
        <f t="shared" si="24"/>
        <v>0</v>
      </c>
      <c r="H93" s="12">
        <f t="shared" si="24"/>
        <v>0</v>
      </c>
      <c r="I93" s="12">
        <f t="shared" si="24"/>
        <v>0</v>
      </c>
      <c r="J93" s="12">
        <f t="shared" si="24"/>
        <v>0</v>
      </c>
      <c r="K93" s="12">
        <f t="shared" si="24"/>
        <v>8000000</v>
      </c>
    </row>
    <row r="94" spans="1:11" ht="28.5">
      <c r="A94" s="8" t="s">
        <v>540</v>
      </c>
      <c r="B94" s="19"/>
      <c r="C94" s="19"/>
      <c r="D94" s="9">
        <v>8000000</v>
      </c>
      <c r="E94" s="19"/>
      <c r="F94" s="9"/>
      <c r="G94" s="19"/>
      <c r="H94" s="19"/>
      <c r="I94" s="19"/>
      <c r="J94" s="9"/>
      <c r="K94" s="15">
        <f>SUM(B94:I94)</f>
        <v>8000000</v>
      </c>
    </row>
    <row r="95" spans="1:11" ht="28.5">
      <c r="A95" s="11" t="s">
        <v>541</v>
      </c>
      <c r="B95" s="12">
        <f t="shared" ref="B95:K95" si="25">SUM(B96:B97)</f>
        <v>0</v>
      </c>
      <c r="C95" s="12">
        <f t="shared" si="25"/>
        <v>0</v>
      </c>
      <c r="D95" s="12">
        <f t="shared" si="25"/>
        <v>69400000</v>
      </c>
      <c r="E95" s="12">
        <f t="shared" si="25"/>
        <v>0</v>
      </c>
      <c r="F95" s="12">
        <f t="shared" si="25"/>
        <v>0</v>
      </c>
      <c r="G95" s="12">
        <f t="shared" si="25"/>
        <v>0</v>
      </c>
      <c r="H95" s="12">
        <f t="shared" si="25"/>
        <v>0</v>
      </c>
      <c r="I95" s="12">
        <f t="shared" si="25"/>
        <v>0</v>
      </c>
      <c r="J95" s="12">
        <f t="shared" si="25"/>
        <v>0</v>
      </c>
      <c r="K95" s="12">
        <f t="shared" si="25"/>
        <v>69400000</v>
      </c>
    </row>
    <row r="96" spans="1:11" ht="28.5">
      <c r="A96" s="8" t="s">
        <v>542</v>
      </c>
      <c r="B96" s="9"/>
      <c r="C96" s="9"/>
      <c r="D96" s="9">
        <v>60400000</v>
      </c>
      <c r="E96" s="9"/>
      <c r="F96" s="9"/>
      <c r="G96" s="19"/>
      <c r="H96" s="19"/>
      <c r="I96" s="19"/>
      <c r="J96" s="9"/>
      <c r="K96" s="15">
        <f>SUM(B96:I96)</f>
        <v>60400000</v>
      </c>
    </row>
    <row r="97" spans="1:11" ht="42.75">
      <c r="A97" s="8" t="s">
        <v>543</v>
      </c>
      <c r="B97" s="9"/>
      <c r="C97" s="9"/>
      <c r="D97" s="9">
        <v>9000000</v>
      </c>
      <c r="E97" s="9"/>
      <c r="F97" s="9"/>
      <c r="G97" s="19"/>
      <c r="H97" s="19"/>
      <c r="I97" s="19"/>
      <c r="J97" s="9"/>
      <c r="K97" s="15">
        <f>SUM(B97:I97)</f>
        <v>9000000</v>
      </c>
    </row>
    <row r="98" spans="1:11" ht="28.5">
      <c r="A98" s="11" t="s">
        <v>544</v>
      </c>
      <c r="B98" s="12">
        <f>SUM(B99)</f>
        <v>0</v>
      </c>
      <c r="C98" s="12">
        <f t="shared" ref="C98:K98" si="26">SUM(C99)</f>
        <v>0</v>
      </c>
      <c r="D98" s="12">
        <f t="shared" si="26"/>
        <v>144884856</v>
      </c>
      <c r="E98" s="12">
        <f t="shared" si="26"/>
        <v>0</v>
      </c>
      <c r="F98" s="12">
        <f t="shared" si="26"/>
        <v>20319139</v>
      </c>
      <c r="G98" s="12">
        <f t="shared" si="26"/>
        <v>0</v>
      </c>
      <c r="H98" s="12">
        <f t="shared" si="26"/>
        <v>0</v>
      </c>
      <c r="I98" s="12">
        <f t="shared" si="26"/>
        <v>0</v>
      </c>
      <c r="J98" s="12">
        <f t="shared" si="26"/>
        <v>0</v>
      </c>
      <c r="K98" s="12">
        <f t="shared" si="26"/>
        <v>165203995</v>
      </c>
    </row>
    <row r="99" spans="1:11" ht="28.5">
      <c r="A99" s="8" t="s">
        <v>545</v>
      </c>
      <c r="B99" s="2">
        <v>0</v>
      </c>
      <c r="C99" s="19"/>
      <c r="D99" s="9">
        <v>144884856</v>
      </c>
      <c r="E99" s="19"/>
      <c r="F99" s="9">
        <f>20000000+319139</f>
        <v>20319139</v>
      </c>
      <c r="G99" s="19"/>
      <c r="H99" s="19"/>
      <c r="I99" s="19"/>
      <c r="J99" s="9"/>
      <c r="K99" s="15">
        <f>SUM(B99:I99)</f>
        <v>165203995</v>
      </c>
    </row>
    <row r="100" spans="1:11" ht="36">
      <c r="A100" s="22" t="s">
        <v>9</v>
      </c>
      <c r="B100" s="23">
        <f t="shared" ref="B100:K100" si="27">+B98+B95+B93+B91</f>
        <v>0</v>
      </c>
      <c r="C100" s="23">
        <f t="shared" si="27"/>
        <v>0</v>
      </c>
      <c r="D100" s="23">
        <f t="shared" si="27"/>
        <v>230284856</v>
      </c>
      <c r="E100" s="23">
        <f t="shared" si="27"/>
        <v>0</v>
      </c>
      <c r="F100" s="23">
        <f t="shared" si="27"/>
        <v>20319139</v>
      </c>
      <c r="G100" s="23">
        <f t="shared" si="27"/>
        <v>0</v>
      </c>
      <c r="H100" s="23">
        <f t="shared" si="27"/>
        <v>0</v>
      </c>
      <c r="I100" s="23">
        <f t="shared" si="27"/>
        <v>0</v>
      </c>
      <c r="J100" s="23">
        <f t="shared" si="27"/>
        <v>0</v>
      </c>
      <c r="K100" s="23">
        <f t="shared" si="27"/>
        <v>250603995</v>
      </c>
    </row>
    <row r="101" spans="1:11" s="14" customForma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5"/>
    </row>
    <row r="102" spans="1:11" ht="18">
      <c r="A102" s="24" t="s">
        <v>8</v>
      </c>
      <c r="B102" s="34">
        <f t="shared" ref="B102:K102" si="28">+B100+B87+B64+B39</f>
        <v>155964398</v>
      </c>
      <c r="C102" s="34">
        <f t="shared" si="28"/>
        <v>0</v>
      </c>
      <c r="D102" s="34">
        <f t="shared" si="28"/>
        <v>4443102914</v>
      </c>
      <c r="E102" s="34">
        <f t="shared" si="28"/>
        <v>0</v>
      </c>
      <c r="F102" s="34">
        <f t="shared" si="28"/>
        <v>233746459</v>
      </c>
      <c r="G102" s="34">
        <f t="shared" si="28"/>
        <v>0</v>
      </c>
      <c r="H102" s="34">
        <f t="shared" si="28"/>
        <v>200000000</v>
      </c>
      <c r="I102" s="34">
        <f t="shared" si="28"/>
        <v>2893199638</v>
      </c>
      <c r="J102" s="34">
        <f t="shared" si="28"/>
        <v>0</v>
      </c>
      <c r="K102" s="34">
        <f t="shared" si="28"/>
        <v>7926013409</v>
      </c>
    </row>
  </sheetData>
  <mergeCells count="2">
    <mergeCell ref="A1:K1"/>
    <mergeCell ref="A3:K3"/>
  </mergeCells>
  <phoneticPr fontId="6" type="noConversion"/>
  <pageMargins left="0.75" right="0.75" top="1" bottom="1" header="0" footer="0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6" sqref="D16"/>
    </sheetView>
  </sheetViews>
  <sheetFormatPr baseColWidth="10" defaultRowHeight="12.75"/>
  <cols>
    <col min="3" max="3" width="3.85546875" customWidth="1"/>
    <col min="4" max="4" width="14.28515625" customWidth="1"/>
    <col min="5" max="5" width="14.140625" customWidth="1"/>
    <col min="6" max="7" width="13.42578125" customWidth="1"/>
    <col min="8" max="8" width="14.7109375" customWidth="1"/>
  </cols>
  <sheetData>
    <row r="1" spans="1:8">
      <c r="A1" s="66" t="s">
        <v>511</v>
      </c>
      <c r="B1" s="67"/>
      <c r="C1" s="67"/>
      <c r="D1" s="67"/>
      <c r="E1" s="67"/>
      <c r="F1" s="67"/>
      <c r="G1" s="67"/>
      <c r="H1" s="68"/>
    </row>
    <row r="2" spans="1:8">
      <c r="A2" s="66"/>
      <c r="B2" s="67"/>
      <c r="C2" s="68"/>
      <c r="D2" s="37">
        <v>2012</v>
      </c>
      <c r="E2" s="37">
        <v>2013</v>
      </c>
      <c r="F2" s="37">
        <v>2014</v>
      </c>
      <c r="G2" s="37">
        <v>2015</v>
      </c>
      <c r="H2" s="37" t="s">
        <v>0</v>
      </c>
    </row>
    <row r="3" spans="1:8" ht="26.25" customHeight="1">
      <c r="A3" s="69" t="s">
        <v>2</v>
      </c>
      <c r="B3" s="70"/>
      <c r="C3" s="71"/>
      <c r="D3" s="36">
        <f>+'2012'!B10</f>
        <v>155964398</v>
      </c>
      <c r="E3" s="36">
        <f>+'2013'!B10</f>
        <v>162042974.95999998</v>
      </c>
      <c r="F3" s="36">
        <f>+'2014'!B10</f>
        <v>162802796.95499998</v>
      </c>
      <c r="G3" s="36">
        <f>+'2015'!B10</f>
        <v>163562618.94999999</v>
      </c>
      <c r="H3" s="36">
        <f>SUM(D3:G3)</f>
        <v>644372788.86500001</v>
      </c>
    </row>
    <row r="4" spans="1:8" ht="14.25">
      <c r="A4" s="69" t="s">
        <v>512</v>
      </c>
      <c r="B4" s="70"/>
      <c r="C4" s="71"/>
      <c r="D4" s="36">
        <f>+'POAI 2012'!D68</f>
        <v>646410979</v>
      </c>
      <c r="E4" s="36">
        <f>+'POAI 2013'!D68</f>
        <v>672267418.16000009</v>
      </c>
      <c r="F4" s="36">
        <f>+'POAI 2014'!D68</f>
        <v>675499473.05499995</v>
      </c>
      <c r="G4" s="36">
        <f>+'POAI 2015'!D68</f>
        <v>678731527.95000005</v>
      </c>
      <c r="H4" s="36">
        <f t="shared" ref="H4:H11" si="0">SUM(D4:G4)</f>
        <v>2672909398.165</v>
      </c>
    </row>
    <row r="5" spans="1:8" ht="18.75" customHeight="1">
      <c r="A5" s="69" t="s">
        <v>513</v>
      </c>
      <c r="B5" s="70"/>
      <c r="C5" s="71"/>
      <c r="D5" s="36">
        <f>+'POAI 2012'!D7</f>
        <v>2415903423</v>
      </c>
      <c r="E5" s="36">
        <f>+'POAI 2013'!D7</f>
        <v>2512539559.9200001</v>
      </c>
      <c r="F5" s="36">
        <f>+'POAI 2014'!D7</f>
        <v>2524619077.0349998</v>
      </c>
      <c r="G5" s="36">
        <f>+'POAI 2015'!D7</f>
        <v>2536698594.1500001</v>
      </c>
      <c r="H5" s="36">
        <f t="shared" si="0"/>
        <v>9989760654.1049995</v>
      </c>
    </row>
    <row r="6" spans="1:8" ht="14.25" customHeight="1">
      <c r="A6" s="69" t="s">
        <v>514</v>
      </c>
      <c r="B6" s="70"/>
      <c r="C6" s="71"/>
      <c r="D6" s="36">
        <f>+'POAI 2012'!D82</f>
        <v>595278012</v>
      </c>
      <c r="E6" s="36">
        <f>+'POAI 2013'!D82</f>
        <v>619089132.48000002</v>
      </c>
      <c r="F6" s="36">
        <f>+'POAI 2014'!D82</f>
        <v>622065522.53999996</v>
      </c>
      <c r="G6" s="36">
        <f>+'POAI 2015'!D82</f>
        <v>625041912.60000002</v>
      </c>
      <c r="H6" s="36">
        <f t="shared" si="0"/>
        <v>2461474579.6199999</v>
      </c>
    </row>
    <row r="7" spans="1:8" ht="14.25" customHeight="1">
      <c r="A7" s="69" t="s">
        <v>516</v>
      </c>
      <c r="B7" s="70"/>
      <c r="C7" s="71"/>
      <c r="D7" s="36">
        <f>+'POAI 2012'!D20+'POAI 2012'!D24</f>
        <v>62955483</v>
      </c>
      <c r="E7" s="36">
        <f>+'POAI 2013'!D20+'POAI 2013'!D24</f>
        <v>65473702.32</v>
      </c>
      <c r="F7" s="36">
        <f>+'POAI 2014'!D20+'POAI 2014'!D24</f>
        <v>65788479.734999999</v>
      </c>
      <c r="G7" s="36">
        <f>+'POAI 2015'!D20+'POAI 2015'!D24</f>
        <v>66103257.149999999</v>
      </c>
      <c r="H7" s="36">
        <f t="shared" si="0"/>
        <v>260320922.20500001</v>
      </c>
    </row>
    <row r="8" spans="1:8" ht="14.25" customHeight="1">
      <c r="A8" s="69" t="s">
        <v>1033</v>
      </c>
      <c r="B8" s="70"/>
      <c r="C8" s="71"/>
      <c r="D8" s="36">
        <v>722555017</v>
      </c>
      <c r="E8" s="36">
        <v>744588601</v>
      </c>
      <c r="F8" s="36">
        <v>747342799</v>
      </c>
      <c r="G8" s="36">
        <v>750096996</v>
      </c>
      <c r="H8" s="36">
        <f t="shared" si="0"/>
        <v>2964583413</v>
      </c>
    </row>
    <row r="9" spans="1:8" ht="29.25" customHeight="1">
      <c r="A9" s="69" t="s">
        <v>3</v>
      </c>
      <c r="B9" s="70"/>
      <c r="C9" s="71"/>
      <c r="D9" s="36">
        <f>+'2012'!F10</f>
        <v>233746459</v>
      </c>
      <c r="E9" s="36">
        <f>+'2013'!F10</f>
        <v>243096317.36000001</v>
      </c>
      <c r="F9" s="36">
        <f>+'2014'!F10</f>
        <v>244265049.65499997</v>
      </c>
      <c r="G9" s="36">
        <f>+'2015'!F10</f>
        <v>245433781.94999999</v>
      </c>
      <c r="H9" s="36">
        <f t="shared" si="0"/>
        <v>966541607.96499991</v>
      </c>
    </row>
    <row r="10" spans="1:8" ht="14.25">
      <c r="A10" s="69" t="s">
        <v>4</v>
      </c>
      <c r="B10" s="70"/>
      <c r="C10" s="71"/>
      <c r="D10" s="36">
        <f>+'2012'!H10</f>
        <v>200000000</v>
      </c>
      <c r="E10" s="36">
        <f>+'2013'!H10</f>
        <v>300000000</v>
      </c>
      <c r="F10" s="36">
        <f>+'2014'!H10</f>
        <v>300000000</v>
      </c>
      <c r="G10" s="36">
        <f>+'2015'!H10</f>
        <v>300000000</v>
      </c>
      <c r="H10" s="36">
        <f t="shared" si="0"/>
        <v>1100000000</v>
      </c>
    </row>
    <row r="11" spans="1:8" ht="14.25">
      <c r="A11" s="69" t="s">
        <v>5</v>
      </c>
      <c r="B11" s="70"/>
      <c r="C11" s="71"/>
      <c r="D11" s="36">
        <f>+'2012'!I10</f>
        <v>2893199638</v>
      </c>
      <c r="E11" s="36">
        <f>+'2013'!I10</f>
        <v>2799948734.4000001</v>
      </c>
      <c r="F11" s="36">
        <f>+'2014'!I10</f>
        <v>2812905218.6999998</v>
      </c>
      <c r="G11" s="36">
        <f>+'2015'!I10</f>
        <v>2825861703</v>
      </c>
      <c r="H11" s="36">
        <f t="shared" si="0"/>
        <v>11331915294.099998</v>
      </c>
    </row>
    <row r="12" spans="1:8" ht="14.25">
      <c r="A12" s="73" t="s">
        <v>0</v>
      </c>
      <c r="B12" s="74"/>
      <c r="C12" s="75"/>
      <c r="D12" s="38">
        <f>SUM(D3:D11)</f>
        <v>7926013409</v>
      </c>
      <c r="E12" s="38">
        <f>SUM(E3:E11)</f>
        <v>8119046440.6000004</v>
      </c>
      <c r="F12" s="38">
        <f>SUM(F3:F11)</f>
        <v>8155288416.6749992</v>
      </c>
      <c r="G12" s="38">
        <f>SUM(G3:G11)</f>
        <v>8191530391.75</v>
      </c>
      <c r="H12" s="38">
        <f>SUM(H3:H11)</f>
        <v>32391878658.024998</v>
      </c>
    </row>
    <row r="13" spans="1:8">
      <c r="A13" s="72" t="s">
        <v>515</v>
      </c>
      <c r="B13" s="72"/>
      <c r="C13" s="72"/>
    </row>
    <row r="14" spans="1:8">
      <c r="A14" s="63" t="s">
        <v>1035</v>
      </c>
      <c r="B14" s="63"/>
      <c r="C14" s="63"/>
    </row>
    <row r="15" spans="1:8">
      <c r="D15" s="30"/>
      <c r="E15" s="30"/>
      <c r="F15" s="30"/>
      <c r="G15" s="30"/>
    </row>
    <row r="16" spans="1:8">
      <c r="D16" s="30"/>
      <c r="E16" s="30"/>
      <c r="F16" s="30"/>
      <c r="G16" s="30"/>
    </row>
  </sheetData>
  <mergeCells count="13">
    <mergeCell ref="A8:C8"/>
    <mergeCell ref="A10:C10"/>
    <mergeCell ref="A5:C5"/>
    <mergeCell ref="A1:H1"/>
    <mergeCell ref="A2:C2"/>
    <mergeCell ref="A7:C7"/>
    <mergeCell ref="A6:C6"/>
    <mergeCell ref="A13:C13"/>
    <mergeCell ref="A12:C12"/>
    <mergeCell ref="A11:C11"/>
    <mergeCell ref="A3:C3"/>
    <mergeCell ref="A4:C4"/>
    <mergeCell ref="A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3"/>
  <sheetViews>
    <sheetView topLeftCell="A103" workbookViewId="0">
      <selection activeCell="F105" sqref="F105"/>
    </sheetView>
  </sheetViews>
  <sheetFormatPr baseColWidth="10" defaultRowHeight="12.75"/>
  <cols>
    <col min="1" max="1" width="4" bestFit="1" customWidth="1"/>
    <col min="3" max="3" width="64" customWidth="1"/>
    <col min="4" max="4" width="15.42578125" style="30" customWidth="1"/>
    <col min="5" max="5" width="13.7109375" style="30" customWidth="1"/>
    <col min="6" max="7" width="12.7109375" bestFit="1" customWidth="1"/>
  </cols>
  <sheetData>
    <row r="1" spans="1:8">
      <c r="A1" s="42" t="s">
        <v>562</v>
      </c>
      <c r="B1" s="42" t="s">
        <v>563</v>
      </c>
      <c r="C1" s="42" t="s">
        <v>564</v>
      </c>
      <c r="D1" s="43" t="s">
        <v>565</v>
      </c>
      <c r="E1" s="43" t="s">
        <v>566</v>
      </c>
    </row>
    <row r="2" spans="1:8">
      <c r="A2">
        <v>2</v>
      </c>
      <c r="B2" t="s">
        <v>567</v>
      </c>
      <c r="C2" t="s">
        <v>568</v>
      </c>
      <c r="D2" s="30">
        <v>7365537385</v>
      </c>
      <c r="E2" s="30">
        <v>9530365551</v>
      </c>
    </row>
    <row r="3" spans="1:8">
      <c r="A3">
        <v>2</v>
      </c>
      <c r="B3" t="s">
        <v>569</v>
      </c>
      <c r="C3" t="s">
        <v>570</v>
      </c>
      <c r="D3" s="30">
        <v>1902822484</v>
      </c>
      <c r="E3" s="30">
        <v>1902822484</v>
      </c>
      <c r="F3" s="30">
        <f>+E3/1.058</f>
        <v>1798508964.0831757</v>
      </c>
      <c r="G3" s="30">
        <f>+F3*1.04</f>
        <v>1870449322.6465027</v>
      </c>
    </row>
    <row r="4" spans="1:8">
      <c r="A4">
        <v>2</v>
      </c>
      <c r="B4" t="s">
        <v>571</v>
      </c>
      <c r="C4" t="s">
        <v>572</v>
      </c>
      <c r="D4" s="30">
        <v>927618387</v>
      </c>
      <c r="E4" s="30">
        <v>894036578</v>
      </c>
      <c r="F4" s="30">
        <f t="shared" ref="F4:F33" si="0">+E4/1.058</f>
        <v>845025120.98298669</v>
      </c>
      <c r="G4" s="30">
        <f t="shared" ref="G4:G33" si="1">+F4*1.04</f>
        <v>878826125.82230616</v>
      </c>
      <c r="H4" s="30">
        <f>+E4-G4</f>
        <v>15210452.177693844</v>
      </c>
    </row>
    <row r="5" spans="1:8">
      <c r="A5">
        <v>2</v>
      </c>
      <c r="B5" t="s">
        <v>573</v>
      </c>
      <c r="C5" t="s">
        <v>574</v>
      </c>
      <c r="D5" s="30">
        <v>677018387</v>
      </c>
      <c r="E5" s="30">
        <v>647518387</v>
      </c>
      <c r="F5" s="30">
        <f t="shared" si="0"/>
        <v>612021159.73534966</v>
      </c>
      <c r="G5" s="30">
        <f t="shared" si="1"/>
        <v>636502006.12476361</v>
      </c>
    </row>
    <row r="6" spans="1:8">
      <c r="A6">
        <v>2</v>
      </c>
      <c r="B6" t="s">
        <v>575</v>
      </c>
      <c r="C6" t="s">
        <v>576</v>
      </c>
      <c r="D6" s="30">
        <v>522000000</v>
      </c>
      <c r="E6" s="30">
        <v>492500000</v>
      </c>
      <c r="F6" s="30">
        <f t="shared" si="0"/>
        <v>465500945.17958409</v>
      </c>
      <c r="G6" s="30">
        <f t="shared" si="1"/>
        <v>484120982.98676747</v>
      </c>
    </row>
    <row r="7" spans="1:8">
      <c r="A7">
        <v>2</v>
      </c>
      <c r="B7" t="s">
        <v>577</v>
      </c>
      <c r="C7" t="s">
        <v>578</v>
      </c>
      <c r="D7" s="30">
        <v>45300000</v>
      </c>
      <c r="E7" s="30">
        <v>45300000</v>
      </c>
      <c r="F7" s="30">
        <f t="shared" si="0"/>
        <v>42816635.160680525</v>
      </c>
      <c r="G7" s="30">
        <f t="shared" si="1"/>
        <v>44529300.567107745</v>
      </c>
    </row>
    <row r="8" spans="1:8">
      <c r="A8">
        <v>2</v>
      </c>
      <c r="B8" t="s">
        <v>579</v>
      </c>
      <c r="C8" t="s">
        <v>580</v>
      </c>
      <c r="D8" s="30">
        <v>22000000</v>
      </c>
      <c r="E8" s="30">
        <v>22000000</v>
      </c>
      <c r="F8" s="30">
        <f t="shared" si="0"/>
        <v>20793950.850661624</v>
      </c>
      <c r="G8" s="30">
        <f t="shared" si="1"/>
        <v>21625708.884688091</v>
      </c>
    </row>
    <row r="9" spans="1:8">
      <c r="A9">
        <v>2</v>
      </c>
      <c r="B9" t="s">
        <v>581</v>
      </c>
      <c r="C9" t="s">
        <v>582</v>
      </c>
      <c r="D9" s="30">
        <v>24031168</v>
      </c>
      <c r="E9" s="30">
        <v>24031168</v>
      </c>
      <c r="F9" s="30">
        <f t="shared" si="0"/>
        <v>22713769.376181472</v>
      </c>
      <c r="G9" s="30">
        <f t="shared" si="1"/>
        <v>23622320.151228733</v>
      </c>
    </row>
    <row r="10" spans="1:8">
      <c r="A10">
        <v>2</v>
      </c>
      <c r="B10" t="s">
        <v>583</v>
      </c>
      <c r="C10" t="s">
        <v>584</v>
      </c>
      <c r="D10" s="30">
        <v>3000000</v>
      </c>
      <c r="E10" s="30">
        <v>3000000</v>
      </c>
      <c r="F10" s="30">
        <f t="shared" si="0"/>
        <v>2835538.7523629488</v>
      </c>
      <c r="G10" s="30">
        <f t="shared" si="1"/>
        <v>2948960.3024574667</v>
      </c>
    </row>
    <row r="11" spans="1:8">
      <c r="A11">
        <v>2</v>
      </c>
      <c r="B11" t="s">
        <v>585</v>
      </c>
      <c r="C11" t="s">
        <v>586</v>
      </c>
      <c r="D11" s="30">
        <v>6554200</v>
      </c>
      <c r="E11" s="30">
        <v>6554200</v>
      </c>
      <c r="F11" s="30">
        <f t="shared" si="0"/>
        <v>6194896.0302457465</v>
      </c>
      <c r="G11" s="30">
        <f t="shared" si="1"/>
        <v>6442691.8714555763</v>
      </c>
    </row>
    <row r="12" spans="1:8">
      <c r="A12">
        <v>2</v>
      </c>
      <c r="B12" t="s">
        <v>587</v>
      </c>
      <c r="C12" t="s">
        <v>588</v>
      </c>
      <c r="D12" s="30">
        <v>25000000</v>
      </c>
      <c r="E12" s="30">
        <v>25000000</v>
      </c>
      <c r="F12" s="30">
        <f t="shared" si="0"/>
        <v>23629489.603024572</v>
      </c>
      <c r="G12" s="30">
        <f t="shared" si="1"/>
        <v>24574669.187145557</v>
      </c>
    </row>
    <row r="13" spans="1:8">
      <c r="A13">
        <v>2</v>
      </c>
      <c r="B13" t="s">
        <v>589</v>
      </c>
      <c r="C13" t="s">
        <v>590</v>
      </c>
      <c r="D13" s="30">
        <v>10133019</v>
      </c>
      <c r="E13" s="30">
        <v>10133019</v>
      </c>
      <c r="F13" s="30">
        <f t="shared" si="0"/>
        <v>9577522.684310019</v>
      </c>
      <c r="G13" s="30">
        <f t="shared" si="1"/>
        <v>9960623.591682421</v>
      </c>
    </row>
    <row r="14" spans="1:8">
      <c r="A14">
        <v>2</v>
      </c>
      <c r="B14" t="s">
        <v>591</v>
      </c>
      <c r="C14" t="s">
        <v>592</v>
      </c>
      <c r="D14" s="30">
        <v>9000000</v>
      </c>
      <c r="E14" s="30">
        <v>9000000</v>
      </c>
      <c r="F14" s="30">
        <f t="shared" si="0"/>
        <v>8506616.2570888456</v>
      </c>
      <c r="G14" s="30">
        <f t="shared" si="1"/>
        <v>8846880.9073724002</v>
      </c>
    </row>
    <row r="15" spans="1:8">
      <c r="A15">
        <v>2</v>
      </c>
      <c r="B15" t="s">
        <v>593</v>
      </c>
      <c r="C15" t="s">
        <v>594</v>
      </c>
      <c r="D15" s="30">
        <v>10000000</v>
      </c>
      <c r="E15" s="30">
        <v>10000000</v>
      </c>
      <c r="F15" s="30">
        <f t="shared" si="0"/>
        <v>9451795.8412098289</v>
      </c>
      <c r="G15" s="30">
        <f t="shared" si="1"/>
        <v>9829867.6748582218</v>
      </c>
    </row>
    <row r="16" spans="1:8">
      <c r="A16">
        <v>2</v>
      </c>
      <c r="B16" t="s">
        <v>595</v>
      </c>
      <c r="C16" t="s">
        <v>596</v>
      </c>
      <c r="D16" s="30">
        <v>50000000</v>
      </c>
      <c r="E16" s="30">
        <v>50000000</v>
      </c>
      <c r="F16" s="30">
        <f t="shared" si="0"/>
        <v>47258979.206049144</v>
      </c>
      <c r="G16" s="30">
        <f t="shared" si="1"/>
        <v>49149338.374291115</v>
      </c>
    </row>
    <row r="17" spans="1:7">
      <c r="A17">
        <v>2</v>
      </c>
      <c r="B17" t="s">
        <v>597</v>
      </c>
      <c r="C17" t="s">
        <v>598</v>
      </c>
      <c r="D17" s="30">
        <v>40000000</v>
      </c>
      <c r="E17" s="30">
        <v>27160000</v>
      </c>
      <c r="F17" s="30">
        <f t="shared" si="0"/>
        <v>25671077.504725896</v>
      </c>
      <c r="G17" s="30">
        <f t="shared" si="1"/>
        <v>26697920.604914933</v>
      </c>
    </row>
    <row r="18" spans="1:7">
      <c r="A18">
        <v>2</v>
      </c>
      <c r="B18" t="s">
        <v>599</v>
      </c>
      <c r="C18" t="s">
        <v>600</v>
      </c>
      <c r="D18" s="30">
        <v>0</v>
      </c>
      <c r="E18" s="30">
        <v>0</v>
      </c>
      <c r="F18" s="30">
        <f t="shared" si="0"/>
        <v>0</v>
      </c>
      <c r="G18" s="30">
        <f t="shared" si="1"/>
        <v>0</v>
      </c>
    </row>
    <row r="19" spans="1:7">
      <c r="A19">
        <v>2</v>
      </c>
      <c r="B19" t="s">
        <v>601</v>
      </c>
      <c r="C19" t="s">
        <v>602</v>
      </c>
      <c r="D19" s="30">
        <v>0</v>
      </c>
      <c r="E19" s="30">
        <v>11440000</v>
      </c>
      <c r="F19" s="30">
        <f t="shared" si="0"/>
        <v>10812854.442344045</v>
      </c>
      <c r="G19" s="30">
        <f t="shared" si="1"/>
        <v>11245368.620037807</v>
      </c>
    </row>
    <row r="20" spans="1:7">
      <c r="A20">
        <v>2</v>
      </c>
      <c r="B20" t="s">
        <v>603</v>
      </c>
      <c r="C20" t="s">
        <v>604</v>
      </c>
      <c r="D20" s="30">
        <v>10000000</v>
      </c>
      <c r="E20" s="30">
        <v>11400000</v>
      </c>
      <c r="F20" s="30">
        <f t="shared" si="0"/>
        <v>10775047.258979205</v>
      </c>
      <c r="G20" s="30">
        <f t="shared" si="1"/>
        <v>11206049.149338374</v>
      </c>
    </row>
    <row r="21" spans="1:7">
      <c r="A21">
        <v>2</v>
      </c>
      <c r="B21" t="s">
        <v>605</v>
      </c>
      <c r="C21" t="s">
        <v>606</v>
      </c>
      <c r="D21" s="30">
        <v>200600000</v>
      </c>
      <c r="E21" s="30">
        <v>196518191</v>
      </c>
      <c r="F21" s="30">
        <f t="shared" si="0"/>
        <v>185744982.04158789</v>
      </c>
      <c r="G21" s="30">
        <f t="shared" si="1"/>
        <v>193174781.32325143</v>
      </c>
    </row>
    <row r="22" spans="1:7">
      <c r="A22">
        <v>2</v>
      </c>
      <c r="B22" t="s">
        <v>607</v>
      </c>
      <c r="C22" t="s">
        <v>608</v>
      </c>
      <c r="D22" s="30">
        <v>174200000</v>
      </c>
      <c r="E22" s="30">
        <v>170118191</v>
      </c>
      <c r="F22" s="30">
        <f t="shared" si="0"/>
        <v>160792241.02079394</v>
      </c>
      <c r="G22" s="30">
        <f t="shared" si="1"/>
        <v>167223930.66162571</v>
      </c>
    </row>
    <row r="23" spans="1:7">
      <c r="A23">
        <v>2</v>
      </c>
      <c r="B23" t="s">
        <v>609</v>
      </c>
      <c r="C23" t="s">
        <v>610</v>
      </c>
      <c r="D23" s="30">
        <v>30000000</v>
      </c>
      <c r="E23" s="30">
        <v>30000000</v>
      </c>
      <c r="F23" s="30">
        <f t="shared" si="0"/>
        <v>28355387.523629487</v>
      </c>
      <c r="G23" s="30">
        <f t="shared" si="1"/>
        <v>29489603.024574667</v>
      </c>
    </row>
    <row r="24" spans="1:7">
      <c r="A24">
        <v>2</v>
      </c>
      <c r="B24" t="s">
        <v>611</v>
      </c>
      <c r="C24" t="s">
        <v>612</v>
      </c>
      <c r="D24" s="30">
        <v>44500000</v>
      </c>
      <c r="E24" s="30">
        <v>43918070</v>
      </c>
      <c r="F24" s="30">
        <f t="shared" si="0"/>
        <v>41510463.137996219</v>
      </c>
      <c r="G24" s="30">
        <f t="shared" si="1"/>
        <v>43170881.663516067</v>
      </c>
    </row>
    <row r="25" spans="1:7">
      <c r="A25">
        <v>2</v>
      </c>
      <c r="B25" t="s">
        <v>613</v>
      </c>
      <c r="C25" t="s">
        <v>614</v>
      </c>
      <c r="D25" s="30">
        <v>11100000</v>
      </c>
      <c r="E25" s="30">
        <v>11100000</v>
      </c>
      <c r="F25" s="30">
        <f t="shared" si="0"/>
        <v>10491493.38374291</v>
      </c>
      <c r="G25" s="30">
        <f t="shared" si="1"/>
        <v>10911153.119092626</v>
      </c>
    </row>
    <row r="26" spans="1:7">
      <c r="A26">
        <v>2</v>
      </c>
      <c r="B26" t="s">
        <v>615</v>
      </c>
      <c r="C26" t="s">
        <v>616</v>
      </c>
      <c r="D26" s="30">
        <v>62700000</v>
      </c>
      <c r="E26" s="30">
        <v>59200121</v>
      </c>
      <c r="F26" s="30">
        <f t="shared" si="0"/>
        <v>55954745.746691868</v>
      </c>
      <c r="G26" s="30">
        <f t="shared" si="1"/>
        <v>58192935.576559544</v>
      </c>
    </row>
    <row r="27" spans="1:7">
      <c r="A27">
        <v>2</v>
      </c>
      <c r="B27" t="s">
        <v>617</v>
      </c>
      <c r="C27" t="s">
        <v>618</v>
      </c>
      <c r="D27" s="30">
        <v>5000000</v>
      </c>
      <c r="E27" s="30">
        <v>5000000</v>
      </c>
      <c r="F27" s="30">
        <f t="shared" si="0"/>
        <v>4725897.9206049144</v>
      </c>
      <c r="G27" s="30">
        <f t="shared" si="1"/>
        <v>4914933.8374291109</v>
      </c>
    </row>
    <row r="28" spans="1:7">
      <c r="A28">
        <v>2</v>
      </c>
      <c r="B28" t="s">
        <v>619</v>
      </c>
      <c r="C28" t="s">
        <v>620</v>
      </c>
      <c r="D28" s="30">
        <v>20900000</v>
      </c>
      <c r="E28" s="30">
        <v>20900000</v>
      </c>
      <c r="F28" s="30">
        <f t="shared" si="0"/>
        <v>19754253.308128543</v>
      </c>
      <c r="G28" s="30">
        <f t="shared" si="1"/>
        <v>20544423.440453686</v>
      </c>
    </row>
    <row r="29" spans="1:7">
      <c r="A29">
        <v>2</v>
      </c>
      <c r="B29" t="s">
        <v>621</v>
      </c>
      <c r="C29" t="s">
        <v>622</v>
      </c>
      <c r="D29" s="30">
        <v>26400000</v>
      </c>
      <c r="E29" s="30">
        <v>26400000</v>
      </c>
      <c r="F29" s="30">
        <f t="shared" si="0"/>
        <v>24952741.020793948</v>
      </c>
      <c r="G29" s="30">
        <f t="shared" si="1"/>
        <v>25950850.661625706</v>
      </c>
    </row>
    <row r="30" spans="1:7">
      <c r="A30">
        <v>2</v>
      </c>
      <c r="B30" t="s">
        <v>623</v>
      </c>
      <c r="C30" t="s">
        <v>624</v>
      </c>
      <c r="D30" s="30">
        <v>2700000</v>
      </c>
      <c r="E30" s="30">
        <v>2700000</v>
      </c>
      <c r="F30" s="30">
        <f t="shared" si="0"/>
        <v>2551984.8771266541</v>
      </c>
      <c r="G30" s="30">
        <f t="shared" si="1"/>
        <v>2654064.2722117202</v>
      </c>
    </row>
    <row r="31" spans="1:7">
      <c r="A31">
        <v>2</v>
      </c>
      <c r="B31" t="s">
        <v>625</v>
      </c>
      <c r="C31" t="s">
        <v>626</v>
      </c>
      <c r="D31" s="30">
        <v>2700000</v>
      </c>
      <c r="E31" s="30">
        <v>2700000</v>
      </c>
      <c r="F31" s="30">
        <f t="shared" si="0"/>
        <v>2551984.8771266541</v>
      </c>
      <c r="G31" s="30">
        <f t="shared" si="1"/>
        <v>2654064.2722117202</v>
      </c>
    </row>
    <row r="32" spans="1:7">
      <c r="A32">
        <v>2</v>
      </c>
      <c r="B32" t="s">
        <v>627</v>
      </c>
      <c r="C32" t="s">
        <v>628</v>
      </c>
      <c r="D32" s="30">
        <v>5300000</v>
      </c>
      <c r="E32" s="30">
        <v>5300000</v>
      </c>
      <c r="F32" s="30">
        <f t="shared" si="0"/>
        <v>5009451.7958412096</v>
      </c>
      <c r="G32" s="30">
        <f t="shared" si="1"/>
        <v>5209829.8676748583</v>
      </c>
    </row>
    <row r="33" spans="1:7">
      <c r="A33">
        <v>2</v>
      </c>
      <c r="B33" t="s">
        <v>629</v>
      </c>
      <c r="C33" t="s">
        <v>630</v>
      </c>
      <c r="D33" s="30">
        <v>15700000</v>
      </c>
      <c r="E33" s="30">
        <v>15700000</v>
      </c>
      <c r="F33" s="30">
        <f t="shared" si="0"/>
        <v>14839319.470699431</v>
      </c>
      <c r="G33" s="30">
        <f t="shared" si="1"/>
        <v>15432892.24952741</v>
      </c>
    </row>
    <row r="34" spans="1:7">
      <c r="A34">
        <v>2</v>
      </c>
      <c r="B34" t="s">
        <v>631</v>
      </c>
      <c r="C34" t="s">
        <v>632</v>
      </c>
      <c r="D34" s="30">
        <v>372183800</v>
      </c>
      <c r="E34" s="30">
        <v>413190386</v>
      </c>
    </row>
    <row r="35" spans="1:7">
      <c r="A35">
        <v>2</v>
      </c>
      <c r="B35" t="s">
        <v>633</v>
      </c>
      <c r="C35" t="s">
        <v>634</v>
      </c>
      <c r="D35" s="30">
        <v>34438000</v>
      </c>
      <c r="E35" s="30">
        <v>33438000</v>
      </c>
    </row>
    <row r="36" spans="1:7">
      <c r="A36">
        <v>2</v>
      </c>
      <c r="B36" t="s">
        <v>635</v>
      </c>
      <c r="C36" t="s">
        <v>636</v>
      </c>
      <c r="D36" s="30">
        <v>14721000</v>
      </c>
      <c r="E36" s="30">
        <v>13438000</v>
      </c>
    </row>
    <row r="37" spans="1:7">
      <c r="A37">
        <v>2</v>
      </c>
      <c r="B37" t="s">
        <v>637</v>
      </c>
      <c r="C37" t="s">
        <v>638</v>
      </c>
      <c r="D37" s="30">
        <v>5000000</v>
      </c>
      <c r="E37" s="30">
        <v>8000000</v>
      </c>
    </row>
    <row r="38" spans="1:7">
      <c r="A38">
        <v>2</v>
      </c>
      <c r="B38" t="s">
        <v>639</v>
      </c>
      <c r="C38" t="s">
        <v>640</v>
      </c>
      <c r="D38" s="30">
        <v>14717000</v>
      </c>
      <c r="E38" s="30">
        <v>2000000</v>
      </c>
    </row>
    <row r="39" spans="1:7">
      <c r="A39">
        <v>2</v>
      </c>
      <c r="B39" t="s">
        <v>641</v>
      </c>
      <c r="C39" t="s">
        <v>642</v>
      </c>
      <c r="D39" s="30">
        <v>0</v>
      </c>
      <c r="E39" s="30">
        <v>0</v>
      </c>
    </row>
    <row r="40" spans="1:7">
      <c r="A40">
        <v>2</v>
      </c>
      <c r="B40" t="s">
        <v>643</v>
      </c>
      <c r="C40" t="s">
        <v>644</v>
      </c>
      <c r="D40" s="30">
        <v>0</v>
      </c>
      <c r="E40" s="30">
        <v>10000000</v>
      </c>
    </row>
    <row r="41" spans="1:7">
      <c r="A41">
        <v>2</v>
      </c>
      <c r="B41" t="s">
        <v>645</v>
      </c>
      <c r="C41" t="s">
        <v>646</v>
      </c>
      <c r="D41" s="30">
        <v>0</v>
      </c>
      <c r="E41" s="30">
        <v>0</v>
      </c>
    </row>
    <row r="42" spans="1:7">
      <c r="A42">
        <v>2</v>
      </c>
      <c r="B42" t="s">
        <v>647</v>
      </c>
      <c r="C42" t="s">
        <v>648</v>
      </c>
      <c r="D42" s="30">
        <v>337745800</v>
      </c>
      <c r="E42" s="30">
        <v>379752386</v>
      </c>
    </row>
    <row r="43" spans="1:7">
      <c r="A43">
        <v>2</v>
      </c>
      <c r="B43" t="s">
        <v>649</v>
      </c>
      <c r="C43" t="s">
        <v>650</v>
      </c>
      <c r="D43" s="30">
        <v>0</v>
      </c>
      <c r="E43" s="30">
        <v>19000000</v>
      </c>
    </row>
    <row r="44" spans="1:7">
      <c r="A44">
        <v>2</v>
      </c>
      <c r="B44" t="s">
        <v>651</v>
      </c>
      <c r="C44" t="s">
        <v>652</v>
      </c>
      <c r="D44" s="30">
        <v>52000000</v>
      </c>
      <c r="E44" s="30">
        <v>52000000</v>
      </c>
    </row>
    <row r="45" spans="1:7">
      <c r="A45">
        <v>2</v>
      </c>
      <c r="B45" t="s">
        <v>653</v>
      </c>
      <c r="C45" t="s">
        <v>180</v>
      </c>
      <c r="D45" s="30">
        <v>25000000</v>
      </c>
      <c r="E45" s="30">
        <v>25000000</v>
      </c>
    </row>
    <row r="46" spans="1:7">
      <c r="A46">
        <v>2</v>
      </c>
      <c r="B46" t="s">
        <v>654</v>
      </c>
      <c r="C46" t="s">
        <v>655</v>
      </c>
      <c r="D46" s="30">
        <v>4000000</v>
      </c>
      <c r="E46" s="30">
        <v>1850000</v>
      </c>
    </row>
    <row r="47" spans="1:7">
      <c r="A47">
        <v>2</v>
      </c>
      <c r="B47" t="s">
        <v>656</v>
      </c>
      <c r="C47" t="s">
        <v>657</v>
      </c>
      <c r="D47" s="30">
        <v>13000000</v>
      </c>
      <c r="E47" s="30">
        <v>13000000</v>
      </c>
    </row>
    <row r="48" spans="1:7">
      <c r="A48">
        <v>2</v>
      </c>
      <c r="B48" t="s">
        <v>658</v>
      </c>
      <c r="C48" t="s">
        <v>659</v>
      </c>
      <c r="D48" s="30">
        <v>9000000</v>
      </c>
      <c r="E48" s="30">
        <v>9000000</v>
      </c>
    </row>
    <row r="49" spans="1:5">
      <c r="A49">
        <v>2</v>
      </c>
      <c r="B49" t="s">
        <v>660</v>
      </c>
      <c r="C49" t="s">
        <v>661</v>
      </c>
      <c r="D49" s="30">
        <v>1000000</v>
      </c>
      <c r="E49" s="30">
        <v>1000000</v>
      </c>
    </row>
    <row r="50" spans="1:5">
      <c r="A50">
        <v>2</v>
      </c>
      <c r="B50" t="s">
        <v>662</v>
      </c>
      <c r="C50" t="s">
        <v>663</v>
      </c>
      <c r="D50" s="30">
        <v>0</v>
      </c>
      <c r="E50" s="30">
        <v>2150000</v>
      </c>
    </row>
    <row r="51" spans="1:5">
      <c r="A51">
        <v>2</v>
      </c>
      <c r="B51" t="s">
        <v>664</v>
      </c>
      <c r="C51" t="s">
        <v>665</v>
      </c>
      <c r="D51" s="30">
        <v>7000000</v>
      </c>
      <c r="E51" s="30">
        <v>7000000</v>
      </c>
    </row>
    <row r="52" spans="1:5">
      <c r="A52">
        <v>2</v>
      </c>
      <c r="B52" t="s">
        <v>666</v>
      </c>
      <c r="C52" t="s">
        <v>667</v>
      </c>
      <c r="D52" s="30">
        <v>0</v>
      </c>
      <c r="E52" s="30">
        <v>0</v>
      </c>
    </row>
    <row r="53" spans="1:5">
      <c r="A53">
        <v>2</v>
      </c>
      <c r="B53" t="s">
        <v>668</v>
      </c>
      <c r="C53" t="s">
        <v>669</v>
      </c>
      <c r="D53" s="30">
        <v>78800000</v>
      </c>
      <c r="E53" s="30">
        <v>90306586</v>
      </c>
    </row>
    <row r="54" spans="1:5">
      <c r="A54">
        <v>2</v>
      </c>
      <c r="B54" t="s">
        <v>670</v>
      </c>
      <c r="C54" t="s">
        <v>671</v>
      </c>
      <c r="D54" s="30">
        <v>900000</v>
      </c>
      <c r="E54" s="30">
        <v>1190965</v>
      </c>
    </row>
    <row r="55" spans="1:5">
      <c r="A55">
        <v>2</v>
      </c>
      <c r="B55" t="s">
        <v>672</v>
      </c>
      <c r="C55" t="s">
        <v>673</v>
      </c>
      <c r="D55" s="30">
        <v>12000000</v>
      </c>
      <c r="E55" s="30">
        <v>15499879</v>
      </c>
    </row>
    <row r="56" spans="1:5">
      <c r="A56">
        <v>2</v>
      </c>
      <c r="B56" t="s">
        <v>674</v>
      </c>
      <c r="C56" t="s">
        <v>675</v>
      </c>
      <c r="D56" s="30">
        <v>900000</v>
      </c>
      <c r="E56" s="30">
        <v>1190965</v>
      </c>
    </row>
    <row r="57" spans="1:5">
      <c r="A57">
        <v>2</v>
      </c>
      <c r="B57" t="s">
        <v>676</v>
      </c>
      <c r="C57" t="s">
        <v>677</v>
      </c>
      <c r="D57" s="30">
        <v>65000000</v>
      </c>
      <c r="E57" s="30">
        <v>72424777</v>
      </c>
    </row>
    <row r="58" spans="1:5">
      <c r="A58">
        <v>2</v>
      </c>
      <c r="B58" t="s">
        <v>678</v>
      </c>
      <c r="C58" t="s">
        <v>679</v>
      </c>
      <c r="D58" s="30">
        <v>0</v>
      </c>
      <c r="E58" s="30">
        <v>2000000</v>
      </c>
    </row>
    <row r="59" spans="1:5">
      <c r="A59">
        <v>2</v>
      </c>
      <c r="B59" t="s">
        <v>680</v>
      </c>
      <c r="C59" t="s">
        <v>681</v>
      </c>
      <c r="D59" s="30">
        <v>0</v>
      </c>
      <c r="E59" s="30">
        <v>0</v>
      </c>
    </row>
    <row r="60" spans="1:5">
      <c r="A60">
        <v>2</v>
      </c>
      <c r="B60" t="s">
        <v>682</v>
      </c>
      <c r="C60" t="s">
        <v>683</v>
      </c>
      <c r="D60" s="30">
        <v>4000000</v>
      </c>
      <c r="E60" s="30">
        <v>4000000</v>
      </c>
    </row>
    <row r="61" spans="1:5">
      <c r="A61">
        <v>2</v>
      </c>
      <c r="B61" t="s">
        <v>684</v>
      </c>
      <c r="C61" t="s">
        <v>685</v>
      </c>
      <c r="D61" s="30">
        <v>0</v>
      </c>
      <c r="E61" s="30">
        <v>3000000</v>
      </c>
    </row>
    <row r="62" spans="1:5">
      <c r="A62">
        <v>2</v>
      </c>
      <c r="B62" t="s">
        <v>686</v>
      </c>
      <c r="C62" t="s">
        <v>687</v>
      </c>
      <c r="D62" s="30">
        <v>0</v>
      </c>
      <c r="E62" s="30">
        <v>0</v>
      </c>
    </row>
    <row r="63" spans="1:5">
      <c r="A63">
        <v>2</v>
      </c>
      <c r="B63" t="s">
        <v>688</v>
      </c>
      <c r="C63" t="s">
        <v>689</v>
      </c>
      <c r="D63" s="30">
        <v>5000000</v>
      </c>
      <c r="E63" s="30">
        <v>0</v>
      </c>
    </row>
    <row r="64" spans="1:5">
      <c r="A64">
        <v>2</v>
      </c>
      <c r="B64" t="s">
        <v>690</v>
      </c>
      <c r="C64" t="s">
        <v>691</v>
      </c>
      <c r="D64" s="30">
        <v>3000000</v>
      </c>
      <c r="E64" s="30">
        <v>1000000</v>
      </c>
    </row>
    <row r="65" spans="1:5">
      <c r="A65">
        <v>2</v>
      </c>
      <c r="B65" t="s">
        <v>692</v>
      </c>
      <c r="C65" t="s">
        <v>693</v>
      </c>
      <c r="D65" s="30">
        <v>170000000</v>
      </c>
      <c r="E65" s="30">
        <v>170000000</v>
      </c>
    </row>
    <row r="66" spans="1:5">
      <c r="A66">
        <v>2</v>
      </c>
      <c r="B66" t="s">
        <v>694</v>
      </c>
      <c r="C66" t="s">
        <v>695</v>
      </c>
      <c r="D66" s="30">
        <v>2945800</v>
      </c>
      <c r="E66" s="30">
        <v>2945800</v>
      </c>
    </row>
    <row r="67" spans="1:5">
      <c r="A67">
        <v>2</v>
      </c>
      <c r="B67" t="s">
        <v>696</v>
      </c>
      <c r="C67" t="s">
        <v>697</v>
      </c>
      <c r="D67" s="30">
        <v>0</v>
      </c>
      <c r="E67" s="30">
        <v>0</v>
      </c>
    </row>
    <row r="68" spans="1:5">
      <c r="A68">
        <v>2</v>
      </c>
      <c r="B68" t="s">
        <v>698</v>
      </c>
      <c r="C68" t="s">
        <v>699</v>
      </c>
      <c r="D68" s="30">
        <v>0</v>
      </c>
      <c r="E68" s="30">
        <v>0</v>
      </c>
    </row>
    <row r="69" spans="1:5">
      <c r="A69">
        <v>2</v>
      </c>
      <c r="B69" t="s">
        <v>700</v>
      </c>
      <c r="C69" t="s">
        <v>701</v>
      </c>
      <c r="D69" s="30">
        <v>0</v>
      </c>
      <c r="E69" s="30">
        <v>0</v>
      </c>
    </row>
    <row r="70" spans="1:5">
      <c r="A70">
        <v>2</v>
      </c>
      <c r="B70" t="s">
        <v>702</v>
      </c>
      <c r="C70" t="s">
        <v>703</v>
      </c>
      <c r="D70" s="30">
        <v>0</v>
      </c>
      <c r="E70" s="30">
        <v>0</v>
      </c>
    </row>
    <row r="71" spans="1:5">
      <c r="A71">
        <v>2</v>
      </c>
      <c r="B71" t="s">
        <v>704</v>
      </c>
      <c r="C71" t="s">
        <v>705</v>
      </c>
      <c r="D71" s="30">
        <v>15000000</v>
      </c>
      <c r="E71" s="30">
        <v>15000000</v>
      </c>
    </row>
    <row r="72" spans="1:5">
      <c r="A72">
        <v>2</v>
      </c>
      <c r="B72" t="s">
        <v>706</v>
      </c>
      <c r="C72" t="s">
        <v>707</v>
      </c>
      <c r="D72" s="30">
        <v>0</v>
      </c>
      <c r="E72" s="30">
        <v>13500000</v>
      </c>
    </row>
    <row r="73" spans="1:5">
      <c r="A73">
        <v>2</v>
      </c>
      <c r="B73" t="s">
        <v>708</v>
      </c>
      <c r="C73" t="s">
        <v>709</v>
      </c>
      <c r="D73" s="30">
        <v>603020297</v>
      </c>
      <c r="E73" s="30">
        <v>595595520</v>
      </c>
    </row>
    <row r="74" spans="1:5">
      <c r="A74">
        <v>2</v>
      </c>
      <c r="B74" t="s">
        <v>710</v>
      </c>
      <c r="C74" t="s">
        <v>711</v>
      </c>
      <c r="D74" s="30">
        <v>374000000</v>
      </c>
      <c r="E74" s="30">
        <v>366575223</v>
      </c>
    </row>
    <row r="75" spans="1:5">
      <c r="A75">
        <v>2</v>
      </c>
      <c r="B75" t="s">
        <v>712</v>
      </c>
      <c r="C75" t="s">
        <v>713</v>
      </c>
      <c r="D75" s="30">
        <v>312000000</v>
      </c>
      <c r="E75" s="30">
        <v>307495223</v>
      </c>
    </row>
    <row r="76" spans="1:5">
      <c r="A76">
        <v>2</v>
      </c>
      <c r="B76" t="s">
        <v>714</v>
      </c>
      <c r="C76" t="s">
        <v>715</v>
      </c>
      <c r="D76" s="30">
        <v>52000000</v>
      </c>
      <c r="E76" s="30">
        <v>52000000</v>
      </c>
    </row>
    <row r="77" spans="1:5">
      <c r="A77">
        <v>2</v>
      </c>
      <c r="B77" t="s">
        <v>716</v>
      </c>
      <c r="C77" t="s">
        <v>717</v>
      </c>
      <c r="D77" s="30">
        <v>0</v>
      </c>
      <c r="E77" s="30">
        <v>0</v>
      </c>
    </row>
    <row r="78" spans="1:5">
      <c r="A78">
        <v>2</v>
      </c>
      <c r="B78" t="s">
        <v>718</v>
      </c>
      <c r="C78" t="s">
        <v>719</v>
      </c>
      <c r="D78" s="30">
        <v>10000000</v>
      </c>
      <c r="E78" s="30">
        <v>7080000</v>
      </c>
    </row>
    <row r="79" spans="1:5">
      <c r="A79">
        <v>2</v>
      </c>
      <c r="B79" t="s">
        <v>720</v>
      </c>
      <c r="C79" t="s">
        <v>721</v>
      </c>
      <c r="D79" s="30">
        <v>229020297</v>
      </c>
      <c r="E79" s="30">
        <v>229020297</v>
      </c>
    </row>
    <row r="80" spans="1:5">
      <c r="A80">
        <v>2</v>
      </c>
      <c r="B80" t="s">
        <v>722</v>
      </c>
      <c r="C80" t="s">
        <v>723</v>
      </c>
      <c r="D80" s="30">
        <v>85005000</v>
      </c>
      <c r="E80" s="30">
        <v>85005000</v>
      </c>
    </row>
    <row r="81" spans="1:7">
      <c r="A81">
        <v>2</v>
      </c>
      <c r="B81" t="s">
        <v>724</v>
      </c>
      <c r="C81" t="s">
        <v>725</v>
      </c>
      <c r="D81" s="30">
        <v>144015297</v>
      </c>
      <c r="E81" s="30">
        <v>144015297</v>
      </c>
    </row>
    <row r="82" spans="1:7">
      <c r="A82">
        <v>2</v>
      </c>
      <c r="B82" t="s">
        <v>726</v>
      </c>
      <c r="C82" t="s">
        <v>727</v>
      </c>
      <c r="D82" s="30">
        <v>190699658</v>
      </c>
      <c r="E82" s="30">
        <v>190699658</v>
      </c>
      <c r="G82" s="30"/>
    </row>
    <row r="83" spans="1:7">
      <c r="A83">
        <v>2</v>
      </c>
      <c r="B83" t="s">
        <v>728</v>
      </c>
      <c r="C83" t="s">
        <v>729</v>
      </c>
      <c r="D83" s="30">
        <v>190699658</v>
      </c>
      <c r="E83" s="30">
        <v>190699658</v>
      </c>
    </row>
    <row r="84" spans="1:7">
      <c r="A84">
        <v>2</v>
      </c>
      <c r="B84" t="s">
        <v>730</v>
      </c>
      <c r="C84" t="s">
        <v>731</v>
      </c>
      <c r="D84" s="30">
        <v>64263269</v>
      </c>
      <c r="E84" s="30">
        <v>64263269</v>
      </c>
    </row>
    <row r="85" spans="1:7">
      <c r="A85">
        <v>2</v>
      </c>
      <c r="B85" t="s">
        <v>732</v>
      </c>
      <c r="C85" t="s">
        <v>733</v>
      </c>
      <c r="D85" s="30">
        <v>52307692</v>
      </c>
      <c r="E85" s="30">
        <v>52307692</v>
      </c>
    </row>
    <row r="86" spans="1:7">
      <c r="A86">
        <v>2</v>
      </c>
      <c r="B86" t="s">
        <v>734</v>
      </c>
      <c r="C86" t="s">
        <v>735</v>
      </c>
      <c r="D86" s="30">
        <v>11955577</v>
      </c>
      <c r="E86" s="30">
        <v>11955577</v>
      </c>
    </row>
    <row r="87" spans="1:7">
      <c r="A87">
        <v>2</v>
      </c>
      <c r="B87" t="s">
        <v>736</v>
      </c>
      <c r="C87" t="s">
        <v>737</v>
      </c>
      <c r="D87" s="30">
        <v>126436389</v>
      </c>
      <c r="E87" s="30">
        <v>126436389</v>
      </c>
    </row>
    <row r="88" spans="1:7">
      <c r="A88">
        <v>2</v>
      </c>
      <c r="B88" t="s">
        <v>738</v>
      </c>
      <c r="C88" t="s">
        <v>739</v>
      </c>
      <c r="D88" s="30">
        <v>109102571</v>
      </c>
      <c r="E88" s="30">
        <v>109102571</v>
      </c>
    </row>
    <row r="89" spans="1:7">
      <c r="A89">
        <v>2</v>
      </c>
      <c r="B89" t="s">
        <v>740</v>
      </c>
      <c r="C89" t="s">
        <v>735</v>
      </c>
      <c r="D89" s="30">
        <v>17333818</v>
      </c>
      <c r="E89" s="30">
        <v>17333818</v>
      </c>
    </row>
    <row r="90" spans="1:7">
      <c r="A90" s="58">
        <v>2</v>
      </c>
      <c r="B90" s="58" t="s">
        <v>12</v>
      </c>
      <c r="C90" s="58" t="s">
        <v>13</v>
      </c>
      <c r="D90" s="59">
        <v>5272015243</v>
      </c>
      <c r="E90" s="59">
        <v>7436843409</v>
      </c>
    </row>
    <row r="91" spans="1:7">
      <c r="A91" s="60">
        <v>2</v>
      </c>
      <c r="B91" s="60" t="s">
        <v>14</v>
      </c>
      <c r="C91" s="60" t="s">
        <v>15</v>
      </c>
      <c r="D91" s="61">
        <v>309222770</v>
      </c>
      <c r="E91" s="61">
        <v>587482049</v>
      </c>
    </row>
    <row r="92" spans="1:7">
      <c r="A92" s="58">
        <v>2</v>
      </c>
      <c r="B92" s="58" t="s">
        <v>171</v>
      </c>
      <c r="C92" s="58" t="s">
        <v>172</v>
      </c>
      <c r="D92" s="59">
        <v>309222770</v>
      </c>
      <c r="E92" s="59">
        <v>300708049</v>
      </c>
    </row>
    <row r="93" spans="1:7">
      <c r="A93" s="58">
        <v>2</v>
      </c>
      <c r="B93" s="58" t="s">
        <v>173</v>
      </c>
      <c r="C93" s="58" t="s">
        <v>174</v>
      </c>
      <c r="D93" s="59">
        <v>20306799</v>
      </c>
      <c r="E93" s="59">
        <v>0</v>
      </c>
    </row>
    <row r="94" spans="1:7">
      <c r="A94" s="58">
        <v>2</v>
      </c>
      <c r="B94" s="58" t="s">
        <v>175</v>
      </c>
      <c r="C94" s="58" t="s">
        <v>176</v>
      </c>
      <c r="D94" s="59">
        <v>68392951</v>
      </c>
      <c r="E94" s="59">
        <v>49553049</v>
      </c>
    </row>
    <row r="95" spans="1:7">
      <c r="A95" s="58">
        <v>2</v>
      </c>
      <c r="B95" s="58" t="s">
        <v>177</v>
      </c>
      <c r="C95" s="58" t="s">
        <v>178</v>
      </c>
      <c r="D95" s="59">
        <v>2500000</v>
      </c>
      <c r="E95" s="59">
        <v>1724819</v>
      </c>
    </row>
    <row r="96" spans="1:7">
      <c r="A96" s="58">
        <v>2</v>
      </c>
      <c r="B96" s="58" t="s">
        <v>179</v>
      </c>
      <c r="C96" s="58" t="s">
        <v>180</v>
      </c>
      <c r="D96" s="59">
        <v>64892951</v>
      </c>
      <c r="E96" s="59">
        <v>47828230</v>
      </c>
    </row>
    <row r="97" spans="1:6">
      <c r="A97" s="58">
        <v>2</v>
      </c>
      <c r="B97" s="58" t="s">
        <v>181</v>
      </c>
      <c r="C97" s="58" t="s">
        <v>182</v>
      </c>
      <c r="D97" s="59">
        <v>1000000</v>
      </c>
      <c r="E97" s="59">
        <v>0</v>
      </c>
    </row>
    <row r="98" spans="1:6">
      <c r="A98" s="58">
        <v>2</v>
      </c>
      <c r="B98" s="58" t="s">
        <v>183</v>
      </c>
      <c r="C98" s="58" t="s">
        <v>184</v>
      </c>
      <c r="D98" s="59">
        <v>220523020</v>
      </c>
      <c r="E98" s="59">
        <v>251155000</v>
      </c>
    </row>
    <row r="99" spans="1:6">
      <c r="A99" s="58">
        <v>2</v>
      </c>
      <c r="B99" s="58" t="s">
        <v>741</v>
      </c>
      <c r="C99" s="58" t="s">
        <v>742</v>
      </c>
      <c r="D99" s="59">
        <v>0</v>
      </c>
      <c r="E99" s="59">
        <v>286774000</v>
      </c>
      <c r="F99" s="30">
        <f>+E99+E100</f>
        <v>345102930</v>
      </c>
    </row>
    <row r="100" spans="1:6">
      <c r="A100" s="58">
        <v>2</v>
      </c>
      <c r="B100" s="58" t="s">
        <v>16</v>
      </c>
      <c r="C100" s="58" t="s">
        <v>17</v>
      </c>
      <c r="D100" s="59">
        <v>50330399</v>
      </c>
      <c r="E100" s="59">
        <v>58328930</v>
      </c>
    </row>
    <row r="101" spans="1:6">
      <c r="A101" s="58">
        <v>2</v>
      </c>
      <c r="B101" s="58" t="s">
        <v>185</v>
      </c>
      <c r="C101" s="58" t="s">
        <v>186</v>
      </c>
      <c r="D101" s="59">
        <v>10066080</v>
      </c>
      <c r="E101" s="59">
        <v>10066080</v>
      </c>
    </row>
    <row r="102" spans="1:6">
      <c r="A102" s="58">
        <v>2</v>
      </c>
      <c r="B102" s="58" t="s">
        <v>187</v>
      </c>
      <c r="C102" s="58" t="s">
        <v>188</v>
      </c>
      <c r="D102" s="59">
        <v>40264319</v>
      </c>
      <c r="E102" s="59">
        <v>48262850</v>
      </c>
    </row>
    <row r="103" spans="1:6">
      <c r="A103" s="60">
        <v>2</v>
      </c>
      <c r="B103" s="60" t="s">
        <v>18</v>
      </c>
      <c r="C103" s="60" t="s">
        <v>19</v>
      </c>
      <c r="D103" s="61">
        <v>3113054297</v>
      </c>
      <c r="E103" s="61">
        <v>4988857603</v>
      </c>
    </row>
    <row r="104" spans="1:6">
      <c r="A104" s="58">
        <v>2</v>
      </c>
      <c r="B104" s="58" t="s">
        <v>20</v>
      </c>
      <c r="C104" s="58" t="s">
        <v>21</v>
      </c>
      <c r="D104" s="59">
        <v>2950302138</v>
      </c>
      <c r="E104" s="59">
        <v>4813477285</v>
      </c>
      <c r="F104" s="30">
        <f>+E104-E106-E107-E118-E108</f>
        <v>2274177925</v>
      </c>
    </row>
    <row r="105" spans="1:6">
      <c r="A105" s="58">
        <v>2</v>
      </c>
      <c r="B105" s="58" t="s">
        <v>189</v>
      </c>
      <c r="C105" s="58" t="s">
        <v>190</v>
      </c>
      <c r="D105" s="59">
        <v>2009821135</v>
      </c>
      <c r="E105" s="59">
        <v>2192699422</v>
      </c>
    </row>
    <row r="106" spans="1:6">
      <c r="A106" s="58">
        <v>2</v>
      </c>
      <c r="B106" s="58" t="s">
        <v>191</v>
      </c>
      <c r="C106" s="58" t="s">
        <v>192</v>
      </c>
      <c r="D106" s="59">
        <v>800000000</v>
      </c>
      <c r="E106" s="59">
        <v>1156567270</v>
      </c>
      <c r="F106" s="30">
        <f>+E106+E107+E118</f>
        <v>2480296860</v>
      </c>
    </row>
    <row r="107" spans="1:6">
      <c r="A107" s="58">
        <v>2</v>
      </c>
      <c r="B107" s="58" t="s">
        <v>547</v>
      </c>
      <c r="C107" s="58" t="s">
        <v>548</v>
      </c>
      <c r="D107" s="59">
        <v>0</v>
      </c>
      <c r="E107" s="59">
        <v>1296836041</v>
      </c>
    </row>
    <row r="108" spans="1:6">
      <c r="A108" s="58">
        <v>2</v>
      </c>
      <c r="B108" s="58" t="s">
        <v>193</v>
      </c>
      <c r="C108" s="58" t="s">
        <v>194</v>
      </c>
      <c r="D108" s="59">
        <v>59002500</v>
      </c>
      <c r="E108" s="59">
        <v>59002500</v>
      </c>
    </row>
    <row r="109" spans="1:6">
      <c r="A109" s="58">
        <v>2</v>
      </c>
      <c r="B109" s="58" t="s">
        <v>195</v>
      </c>
      <c r="C109" s="58" t="s">
        <v>196</v>
      </c>
      <c r="D109" s="59">
        <v>0</v>
      </c>
      <c r="E109" s="59">
        <v>0</v>
      </c>
    </row>
    <row r="110" spans="1:6">
      <c r="A110" s="58">
        <v>2</v>
      </c>
      <c r="B110" s="58" t="s">
        <v>197</v>
      </c>
      <c r="C110" s="58" t="s">
        <v>198</v>
      </c>
      <c r="D110" s="59">
        <v>56478503</v>
      </c>
      <c r="E110" s="59">
        <v>56478503</v>
      </c>
    </row>
    <row r="111" spans="1:6">
      <c r="A111" s="58">
        <v>2</v>
      </c>
      <c r="B111" s="58" t="s">
        <v>199</v>
      </c>
      <c r="C111" s="58" t="s">
        <v>200</v>
      </c>
      <c r="D111" s="59">
        <v>25000000</v>
      </c>
      <c r="E111" s="59">
        <v>25000000</v>
      </c>
    </row>
    <row r="112" spans="1:6">
      <c r="A112" s="58">
        <v>2</v>
      </c>
      <c r="B112" s="58" t="s">
        <v>201</v>
      </c>
      <c r="C112" s="58" t="s">
        <v>202</v>
      </c>
      <c r="D112" s="59">
        <v>0</v>
      </c>
      <c r="E112" s="59">
        <v>0</v>
      </c>
    </row>
    <row r="113" spans="1:6">
      <c r="A113" s="58">
        <v>2</v>
      </c>
      <c r="B113" s="58" t="s">
        <v>203</v>
      </c>
      <c r="C113" s="58" t="s">
        <v>204</v>
      </c>
      <c r="D113" s="59">
        <v>0</v>
      </c>
      <c r="E113" s="59">
        <v>0</v>
      </c>
    </row>
    <row r="114" spans="1:6">
      <c r="A114" s="58">
        <v>2</v>
      </c>
      <c r="B114" s="58" t="s">
        <v>205</v>
      </c>
      <c r="C114" s="58" t="s">
        <v>206</v>
      </c>
      <c r="D114" s="59">
        <v>0</v>
      </c>
      <c r="E114" s="59">
        <v>0</v>
      </c>
    </row>
    <row r="115" spans="1:6">
      <c r="A115" s="58">
        <v>2</v>
      </c>
      <c r="B115" s="58" t="s">
        <v>207</v>
      </c>
      <c r="C115" s="58" t="s">
        <v>208</v>
      </c>
      <c r="D115" s="59">
        <v>0</v>
      </c>
      <c r="E115" s="59">
        <v>0</v>
      </c>
    </row>
    <row r="116" spans="1:6">
      <c r="A116" s="58">
        <v>2</v>
      </c>
      <c r="B116" s="58" t="s">
        <v>209</v>
      </c>
      <c r="C116" s="58" t="s">
        <v>210</v>
      </c>
      <c r="D116" s="59">
        <v>0</v>
      </c>
      <c r="E116" s="59">
        <v>0</v>
      </c>
    </row>
    <row r="117" spans="1:6">
      <c r="A117" s="58">
        <v>2</v>
      </c>
      <c r="B117" s="58" t="s">
        <v>211</v>
      </c>
      <c r="C117" s="58" t="s">
        <v>212</v>
      </c>
      <c r="D117" s="59">
        <v>0</v>
      </c>
      <c r="E117" s="59">
        <v>0</v>
      </c>
    </row>
    <row r="118" spans="1:6">
      <c r="A118" s="58">
        <v>2</v>
      </c>
      <c r="B118" s="58" t="s">
        <v>213</v>
      </c>
      <c r="C118" s="58" t="s">
        <v>214</v>
      </c>
      <c r="D118" s="59">
        <v>0</v>
      </c>
      <c r="E118" s="59">
        <v>26893549</v>
      </c>
    </row>
    <row r="119" spans="1:6">
      <c r="A119" s="58">
        <v>2</v>
      </c>
      <c r="B119" s="58" t="s">
        <v>215</v>
      </c>
      <c r="C119" s="58" t="s">
        <v>216</v>
      </c>
      <c r="D119" s="59">
        <v>0</v>
      </c>
      <c r="E119" s="59">
        <v>0</v>
      </c>
    </row>
    <row r="120" spans="1:6">
      <c r="A120" s="58">
        <v>2</v>
      </c>
      <c r="B120" s="58" t="s">
        <v>217</v>
      </c>
      <c r="C120" s="58" t="s">
        <v>218</v>
      </c>
      <c r="D120" s="59">
        <v>0</v>
      </c>
      <c r="E120" s="59">
        <v>0</v>
      </c>
    </row>
    <row r="121" spans="1:6">
      <c r="A121" s="58">
        <v>2</v>
      </c>
      <c r="B121" s="58" t="s">
        <v>22</v>
      </c>
      <c r="C121" s="58" t="s">
        <v>23</v>
      </c>
      <c r="D121" s="59">
        <v>131584659</v>
      </c>
      <c r="E121" s="59">
        <v>141725498</v>
      </c>
      <c r="F121" s="30">
        <f>+E121+E125</f>
        <v>175380318</v>
      </c>
    </row>
    <row r="122" spans="1:6">
      <c r="A122" s="58">
        <v>2</v>
      </c>
      <c r="B122" s="58" t="s">
        <v>219</v>
      </c>
      <c r="C122" s="58" t="s">
        <v>220</v>
      </c>
      <c r="D122" s="59">
        <v>130084659</v>
      </c>
      <c r="E122" s="59">
        <v>140225498</v>
      </c>
    </row>
    <row r="123" spans="1:6">
      <c r="A123" s="58">
        <v>2</v>
      </c>
      <c r="B123" s="58" t="s">
        <v>221</v>
      </c>
      <c r="C123" s="58" t="s">
        <v>222</v>
      </c>
      <c r="D123" s="59">
        <v>1500000</v>
      </c>
      <c r="E123" s="59">
        <v>1500000</v>
      </c>
    </row>
    <row r="124" spans="1:6">
      <c r="A124" s="58">
        <v>2</v>
      </c>
      <c r="B124" s="58" t="s">
        <v>223</v>
      </c>
      <c r="C124" s="58" t="s">
        <v>224</v>
      </c>
      <c r="D124" s="59">
        <v>0</v>
      </c>
      <c r="E124" s="59">
        <v>0</v>
      </c>
    </row>
    <row r="125" spans="1:6">
      <c r="A125" s="58">
        <v>2</v>
      </c>
      <c r="B125" s="58" t="s">
        <v>24</v>
      </c>
      <c r="C125" s="58" t="s">
        <v>25</v>
      </c>
      <c r="D125" s="59">
        <v>31167500</v>
      </c>
      <c r="E125" s="59">
        <v>33654820</v>
      </c>
    </row>
    <row r="126" spans="1:6">
      <c r="A126" s="58">
        <v>2</v>
      </c>
      <c r="B126" s="58" t="s">
        <v>225</v>
      </c>
      <c r="C126" s="58" t="s">
        <v>226</v>
      </c>
      <c r="D126" s="59">
        <v>0</v>
      </c>
      <c r="E126" s="59">
        <v>0</v>
      </c>
    </row>
    <row r="127" spans="1:6">
      <c r="A127" s="58">
        <v>2</v>
      </c>
      <c r="B127" s="58" t="s">
        <v>227</v>
      </c>
      <c r="C127" s="58" t="s">
        <v>228</v>
      </c>
      <c r="D127" s="59">
        <v>19667500</v>
      </c>
      <c r="E127" s="59">
        <v>17354820</v>
      </c>
    </row>
    <row r="128" spans="1:6">
      <c r="A128" s="58">
        <v>2</v>
      </c>
      <c r="B128" s="58" t="s">
        <v>229</v>
      </c>
      <c r="C128" s="58" t="s">
        <v>230</v>
      </c>
      <c r="D128" s="59">
        <v>10000000</v>
      </c>
      <c r="E128" s="59">
        <v>10000000</v>
      </c>
    </row>
    <row r="129" spans="1:6">
      <c r="A129" s="58">
        <v>2</v>
      </c>
      <c r="B129" s="58" t="s">
        <v>231</v>
      </c>
      <c r="C129" s="58" t="s">
        <v>232</v>
      </c>
      <c r="D129" s="59">
        <v>1500000</v>
      </c>
      <c r="E129" s="59">
        <v>1500000</v>
      </c>
    </row>
    <row r="130" spans="1:6">
      <c r="A130" s="58">
        <v>2</v>
      </c>
      <c r="B130" s="58" t="s">
        <v>233</v>
      </c>
      <c r="C130" s="58" t="s">
        <v>743</v>
      </c>
      <c r="D130" s="59">
        <v>0</v>
      </c>
      <c r="E130" s="59">
        <v>2312680</v>
      </c>
    </row>
    <row r="131" spans="1:6">
      <c r="A131" s="58">
        <v>2</v>
      </c>
      <c r="B131" s="58" t="s">
        <v>235</v>
      </c>
      <c r="C131" s="58" t="s">
        <v>236</v>
      </c>
      <c r="D131" s="59">
        <v>0</v>
      </c>
      <c r="E131" s="59">
        <v>2487320</v>
      </c>
    </row>
    <row r="132" spans="1:6">
      <c r="A132" s="60">
        <v>2</v>
      </c>
      <c r="B132" s="60" t="s">
        <v>26</v>
      </c>
      <c r="C132" s="60" t="s">
        <v>27</v>
      </c>
      <c r="D132" s="61">
        <v>595278012</v>
      </c>
      <c r="E132" s="61">
        <v>595278012</v>
      </c>
    </row>
    <row r="133" spans="1:6">
      <c r="A133" s="58">
        <v>2</v>
      </c>
      <c r="B133" s="58" t="s">
        <v>237</v>
      </c>
      <c r="C133" s="58" t="s">
        <v>238</v>
      </c>
      <c r="D133" s="59">
        <v>207568075</v>
      </c>
      <c r="E133" s="59">
        <v>201374935</v>
      </c>
      <c r="F133" s="30">
        <f>+E133+E138</f>
        <v>211612682</v>
      </c>
    </row>
    <row r="134" spans="1:6">
      <c r="A134" s="58">
        <v>2</v>
      </c>
      <c r="B134" s="58" t="s">
        <v>239</v>
      </c>
      <c r="C134" s="58" t="s">
        <v>240</v>
      </c>
      <c r="D134" s="59">
        <v>93812400</v>
      </c>
      <c r="E134" s="59">
        <v>96626772</v>
      </c>
    </row>
    <row r="135" spans="1:6">
      <c r="A135" s="58">
        <v>2</v>
      </c>
      <c r="B135" s="58" t="s">
        <v>241</v>
      </c>
      <c r="C135" s="58" t="s">
        <v>242</v>
      </c>
      <c r="D135" s="59">
        <v>16947076</v>
      </c>
      <c r="E135" s="59">
        <v>16947076</v>
      </c>
    </row>
    <row r="136" spans="1:6">
      <c r="A136" s="58">
        <v>2</v>
      </c>
      <c r="B136" s="58" t="s">
        <v>243</v>
      </c>
      <c r="C136" s="58" t="s">
        <v>244</v>
      </c>
      <c r="D136" s="59">
        <v>44771897</v>
      </c>
      <c r="E136" s="59">
        <v>35764385</v>
      </c>
    </row>
    <row r="137" spans="1:6">
      <c r="A137" s="58">
        <v>2</v>
      </c>
      <c r="B137" s="58" t="s">
        <v>245</v>
      </c>
      <c r="C137" s="58" t="s">
        <v>246</v>
      </c>
      <c r="D137" s="59">
        <v>52036702</v>
      </c>
      <c r="E137" s="59">
        <v>52036702</v>
      </c>
    </row>
    <row r="138" spans="1:6">
      <c r="A138" s="58">
        <v>2</v>
      </c>
      <c r="B138" s="58" t="s">
        <v>247</v>
      </c>
      <c r="C138" s="58" t="s">
        <v>248</v>
      </c>
      <c r="D138" s="59">
        <v>10237747</v>
      </c>
      <c r="E138" s="59">
        <v>10237747</v>
      </c>
    </row>
    <row r="139" spans="1:6">
      <c r="A139" s="58">
        <v>2</v>
      </c>
      <c r="B139" s="58" t="s">
        <v>249</v>
      </c>
      <c r="C139" s="58" t="s">
        <v>250</v>
      </c>
      <c r="D139" s="59">
        <v>10237747</v>
      </c>
      <c r="E139" s="59">
        <v>10237747</v>
      </c>
    </row>
    <row r="140" spans="1:6">
      <c r="A140" s="58">
        <v>2</v>
      </c>
      <c r="B140" s="58" t="s">
        <v>251</v>
      </c>
      <c r="C140" s="58" t="s">
        <v>252</v>
      </c>
      <c r="D140" s="59">
        <v>377472190</v>
      </c>
      <c r="E140" s="59">
        <v>383665330</v>
      </c>
    </row>
    <row r="141" spans="1:6">
      <c r="A141" s="58">
        <v>2</v>
      </c>
      <c r="B141" s="58" t="s">
        <v>253</v>
      </c>
      <c r="C141" s="58" t="s">
        <v>254</v>
      </c>
      <c r="D141" s="59">
        <v>43960810</v>
      </c>
      <c r="E141" s="59">
        <v>43960810</v>
      </c>
    </row>
    <row r="142" spans="1:6">
      <c r="A142" s="58">
        <v>2</v>
      </c>
      <c r="B142" s="58" t="s">
        <v>255</v>
      </c>
      <c r="C142" s="58" t="s">
        <v>256</v>
      </c>
      <c r="D142" s="59">
        <v>18790810</v>
      </c>
      <c r="E142" s="59">
        <v>18790810</v>
      </c>
    </row>
    <row r="143" spans="1:6">
      <c r="A143" s="58">
        <v>2</v>
      </c>
      <c r="B143" s="58" t="s">
        <v>257</v>
      </c>
      <c r="C143" s="58" t="s">
        <v>258</v>
      </c>
      <c r="D143" s="59">
        <v>25170000</v>
      </c>
      <c r="E143" s="59">
        <v>25170000</v>
      </c>
    </row>
    <row r="144" spans="1:6">
      <c r="A144" s="58">
        <v>2</v>
      </c>
      <c r="B144" s="58" t="s">
        <v>259</v>
      </c>
      <c r="C144" s="58" t="s">
        <v>260</v>
      </c>
      <c r="D144" s="59">
        <v>333511380</v>
      </c>
      <c r="E144" s="59">
        <v>339704520</v>
      </c>
    </row>
    <row r="145" spans="1:5">
      <c r="A145" s="58">
        <v>2</v>
      </c>
      <c r="B145" s="58" t="s">
        <v>261</v>
      </c>
      <c r="C145" s="58" t="s">
        <v>262</v>
      </c>
      <c r="D145" s="59">
        <v>127073508</v>
      </c>
      <c r="E145" s="59">
        <v>127073508</v>
      </c>
    </row>
    <row r="146" spans="1:5">
      <c r="A146" s="58">
        <v>2</v>
      </c>
      <c r="B146" s="58" t="s">
        <v>263</v>
      </c>
      <c r="C146" s="58" t="s">
        <v>264</v>
      </c>
      <c r="D146" s="59">
        <v>206437872</v>
      </c>
      <c r="E146" s="59">
        <v>212631012</v>
      </c>
    </row>
    <row r="147" spans="1:5">
      <c r="A147" s="60">
        <v>2</v>
      </c>
      <c r="B147" s="60" t="s">
        <v>28</v>
      </c>
      <c r="C147" s="60" t="s">
        <v>29</v>
      </c>
      <c r="D147" s="61">
        <v>64774568</v>
      </c>
      <c r="E147" s="61">
        <v>27163133</v>
      </c>
    </row>
    <row r="148" spans="1:5">
      <c r="A148" s="58">
        <v>2</v>
      </c>
      <c r="B148" s="58" t="s">
        <v>265</v>
      </c>
      <c r="C148" s="58" t="s">
        <v>266</v>
      </c>
      <c r="D148" s="59">
        <v>21234517</v>
      </c>
      <c r="E148" s="59">
        <v>0</v>
      </c>
    </row>
    <row r="149" spans="1:5">
      <c r="A149" s="58">
        <v>2</v>
      </c>
      <c r="B149" s="58" t="s">
        <v>267</v>
      </c>
      <c r="C149" s="58" t="s">
        <v>268</v>
      </c>
      <c r="D149" s="59">
        <v>13540051</v>
      </c>
      <c r="E149" s="59">
        <v>0</v>
      </c>
    </row>
    <row r="150" spans="1:5">
      <c r="A150" s="58">
        <v>2</v>
      </c>
      <c r="B150" s="58" t="s">
        <v>269</v>
      </c>
      <c r="C150" s="58" t="s">
        <v>270</v>
      </c>
      <c r="D150" s="59">
        <v>0</v>
      </c>
      <c r="E150" s="59">
        <v>0</v>
      </c>
    </row>
    <row r="151" spans="1:5">
      <c r="A151" s="58">
        <v>2</v>
      </c>
      <c r="B151" s="58" t="s">
        <v>271</v>
      </c>
      <c r="C151" s="58" t="s">
        <v>272</v>
      </c>
      <c r="D151" s="59">
        <v>0</v>
      </c>
      <c r="E151" s="59">
        <v>0</v>
      </c>
    </row>
    <row r="152" spans="1:5">
      <c r="A152" s="58">
        <v>2</v>
      </c>
      <c r="B152" s="58" t="s">
        <v>273</v>
      </c>
      <c r="C152" s="58" t="s">
        <v>274</v>
      </c>
      <c r="D152" s="59">
        <v>30000000</v>
      </c>
      <c r="E152" s="59">
        <v>27163133</v>
      </c>
    </row>
    <row r="153" spans="1:5">
      <c r="A153" s="60">
        <v>2</v>
      </c>
      <c r="B153" s="60" t="s">
        <v>30</v>
      </c>
      <c r="C153" s="60" t="s">
        <v>31</v>
      </c>
      <c r="D153" s="61">
        <v>48580927</v>
      </c>
      <c r="E153" s="61">
        <v>20372350</v>
      </c>
    </row>
    <row r="154" spans="1:5">
      <c r="A154" s="58">
        <v>2</v>
      </c>
      <c r="B154" s="58" t="s">
        <v>275</v>
      </c>
      <c r="C154" s="58" t="s">
        <v>276</v>
      </c>
      <c r="D154" s="59">
        <v>0</v>
      </c>
      <c r="E154" s="59">
        <v>0</v>
      </c>
    </row>
    <row r="155" spans="1:5">
      <c r="A155" s="58">
        <v>2</v>
      </c>
      <c r="B155" s="58" t="s">
        <v>277</v>
      </c>
      <c r="C155" s="58" t="s">
        <v>278</v>
      </c>
      <c r="D155" s="59">
        <v>0</v>
      </c>
      <c r="E155" s="59">
        <v>0</v>
      </c>
    </row>
    <row r="156" spans="1:5">
      <c r="A156" s="58">
        <v>2</v>
      </c>
      <c r="B156" s="58" t="s">
        <v>549</v>
      </c>
      <c r="C156" s="58" t="s">
        <v>550</v>
      </c>
      <c r="D156" s="59">
        <v>0</v>
      </c>
      <c r="E156" s="59">
        <v>0</v>
      </c>
    </row>
    <row r="157" spans="1:5">
      <c r="A157" s="58">
        <v>2</v>
      </c>
      <c r="B157" s="58" t="s">
        <v>279</v>
      </c>
      <c r="C157" s="58" t="s">
        <v>280</v>
      </c>
      <c r="D157" s="59">
        <v>0</v>
      </c>
      <c r="E157" s="59">
        <v>0</v>
      </c>
    </row>
    <row r="158" spans="1:5">
      <c r="A158" s="58">
        <v>2</v>
      </c>
      <c r="B158" s="58" t="s">
        <v>281</v>
      </c>
      <c r="C158" s="58" t="s">
        <v>282</v>
      </c>
      <c r="D158" s="59">
        <v>0</v>
      </c>
      <c r="E158" s="59">
        <v>0</v>
      </c>
    </row>
    <row r="159" spans="1:5">
      <c r="A159" s="58">
        <v>2</v>
      </c>
      <c r="B159" s="58" t="s">
        <v>283</v>
      </c>
      <c r="C159" s="58" t="s">
        <v>284</v>
      </c>
      <c r="D159" s="59">
        <v>0</v>
      </c>
      <c r="E159" s="59">
        <v>0</v>
      </c>
    </row>
    <row r="160" spans="1:5">
      <c r="A160" s="58">
        <v>2</v>
      </c>
      <c r="B160" s="58" t="s">
        <v>285</v>
      </c>
      <c r="C160" s="58" t="s">
        <v>286</v>
      </c>
      <c r="D160" s="59">
        <v>0</v>
      </c>
      <c r="E160" s="59">
        <v>0</v>
      </c>
    </row>
    <row r="161" spans="1:5">
      <c r="A161" s="58">
        <v>2</v>
      </c>
      <c r="B161" s="58" t="s">
        <v>287</v>
      </c>
      <c r="C161" s="58" t="s">
        <v>288</v>
      </c>
      <c r="D161" s="59">
        <v>48580927</v>
      </c>
      <c r="E161" s="59">
        <v>20372350</v>
      </c>
    </row>
    <row r="162" spans="1:5">
      <c r="A162" s="58">
        <v>2</v>
      </c>
      <c r="B162" s="58" t="s">
        <v>551</v>
      </c>
      <c r="C162" s="58" t="s">
        <v>552</v>
      </c>
      <c r="D162" s="59">
        <v>0</v>
      </c>
      <c r="E162" s="59">
        <v>0</v>
      </c>
    </row>
    <row r="163" spans="1:5">
      <c r="A163" s="58">
        <v>2</v>
      </c>
      <c r="B163" s="58" t="s">
        <v>32</v>
      </c>
      <c r="C163" s="58" t="s">
        <v>33</v>
      </c>
      <c r="D163" s="59">
        <v>755580612</v>
      </c>
      <c r="E163" s="59">
        <v>704955017</v>
      </c>
    </row>
    <row r="164" spans="1:5">
      <c r="A164" s="58">
        <v>2</v>
      </c>
      <c r="B164" s="58" t="s">
        <v>34</v>
      </c>
      <c r="C164" s="58" t="s">
        <v>35</v>
      </c>
      <c r="D164" s="59">
        <v>40000000</v>
      </c>
      <c r="E164" s="59">
        <v>31400000</v>
      </c>
    </row>
    <row r="165" spans="1:5">
      <c r="A165" s="58">
        <v>2</v>
      </c>
      <c r="B165" s="58" t="s">
        <v>289</v>
      </c>
      <c r="C165" s="58" t="s">
        <v>290</v>
      </c>
      <c r="D165" s="59">
        <v>40000000</v>
      </c>
      <c r="E165" s="59">
        <v>31400000</v>
      </c>
    </row>
    <row r="166" spans="1:5">
      <c r="A166" s="58">
        <v>2</v>
      </c>
      <c r="B166" s="58" t="s">
        <v>553</v>
      </c>
      <c r="C166" s="58" t="s">
        <v>554</v>
      </c>
      <c r="D166" s="59">
        <v>0</v>
      </c>
      <c r="E166" s="59">
        <v>0</v>
      </c>
    </row>
    <row r="167" spans="1:5">
      <c r="A167" s="58">
        <v>2</v>
      </c>
      <c r="B167" s="58" t="s">
        <v>291</v>
      </c>
      <c r="C167" s="58" t="s">
        <v>292</v>
      </c>
      <c r="D167" s="59">
        <v>40000000</v>
      </c>
      <c r="E167" s="59">
        <v>31400000</v>
      </c>
    </row>
    <row r="168" spans="1:5">
      <c r="A168" s="60">
        <v>2</v>
      </c>
      <c r="B168" s="60" t="s">
        <v>555</v>
      </c>
      <c r="C168" s="60" t="s">
        <v>556</v>
      </c>
      <c r="D168" s="61">
        <v>13000000</v>
      </c>
      <c r="E168" s="61">
        <v>10000000</v>
      </c>
    </row>
    <row r="169" spans="1:5">
      <c r="A169" s="58">
        <v>2</v>
      </c>
      <c r="B169" s="58" t="s">
        <v>293</v>
      </c>
      <c r="C169" s="58" t="s">
        <v>744</v>
      </c>
      <c r="D169" s="59">
        <v>10000000</v>
      </c>
      <c r="E169" s="59">
        <v>10000000</v>
      </c>
    </row>
    <row r="170" spans="1:5">
      <c r="A170" s="58">
        <v>2</v>
      </c>
      <c r="B170" s="58" t="s">
        <v>295</v>
      </c>
      <c r="C170" s="58" t="s">
        <v>296</v>
      </c>
      <c r="D170" s="59">
        <v>3000000</v>
      </c>
      <c r="E170" s="59">
        <v>0</v>
      </c>
    </row>
    <row r="171" spans="1:5">
      <c r="A171" s="58">
        <v>2</v>
      </c>
      <c r="B171" s="58" t="s">
        <v>557</v>
      </c>
      <c r="C171" s="58" t="s">
        <v>272</v>
      </c>
      <c r="D171" s="59">
        <v>0</v>
      </c>
      <c r="E171" s="59">
        <v>0</v>
      </c>
    </row>
    <row r="172" spans="1:5">
      <c r="A172" s="60">
        <v>2</v>
      </c>
      <c r="B172" s="60" t="s">
        <v>558</v>
      </c>
      <c r="C172" s="60" t="s">
        <v>559</v>
      </c>
      <c r="D172" s="61">
        <v>58000000</v>
      </c>
      <c r="E172" s="61">
        <v>51469076</v>
      </c>
    </row>
    <row r="173" spans="1:5">
      <c r="A173" s="58">
        <v>2</v>
      </c>
      <c r="B173" s="58" t="s">
        <v>297</v>
      </c>
      <c r="C173" s="58" t="s">
        <v>298</v>
      </c>
      <c r="D173" s="59">
        <v>25000000</v>
      </c>
      <c r="E173" s="59">
        <v>5705076</v>
      </c>
    </row>
    <row r="174" spans="1:5">
      <c r="A174" s="58">
        <v>2</v>
      </c>
      <c r="B174" s="58" t="s">
        <v>299</v>
      </c>
      <c r="C174" s="58" t="s">
        <v>300</v>
      </c>
      <c r="D174" s="59">
        <v>30000000</v>
      </c>
      <c r="E174" s="59">
        <v>30000000</v>
      </c>
    </row>
    <row r="175" spans="1:5">
      <c r="A175" s="58">
        <v>2</v>
      </c>
      <c r="B175" s="58" t="s">
        <v>301</v>
      </c>
      <c r="C175" s="58" t="s">
        <v>302</v>
      </c>
      <c r="D175" s="59">
        <v>3000000</v>
      </c>
      <c r="E175" s="59">
        <v>15764000</v>
      </c>
    </row>
    <row r="176" spans="1:5">
      <c r="A176" s="58">
        <v>2</v>
      </c>
      <c r="B176" s="58" t="s">
        <v>36</v>
      </c>
      <c r="C176" s="58" t="s">
        <v>37</v>
      </c>
      <c r="D176" s="59">
        <v>160000000</v>
      </c>
      <c r="E176" s="59">
        <v>151293500</v>
      </c>
    </row>
    <row r="177" spans="1:5">
      <c r="A177" s="58">
        <v>2</v>
      </c>
      <c r="B177" s="58" t="s">
        <v>303</v>
      </c>
      <c r="C177" s="58" t="s">
        <v>304</v>
      </c>
      <c r="D177" s="59">
        <v>40000000</v>
      </c>
      <c r="E177" s="59">
        <v>40000000</v>
      </c>
    </row>
    <row r="178" spans="1:5">
      <c r="A178" s="58">
        <v>2</v>
      </c>
      <c r="B178" s="58" t="s">
        <v>305</v>
      </c>
      <c r="C178" s="58" t="s">
        <v>306</v>
      </c>
      <c r="D178" s="59">
        <v>20000000</v>
      </c>
      <c r="E178" s="59">
        <v>20000000</v>
      </c>
    </row>
    <row r="179" spans="1:5">
      <c r="A179" s="58">
        <v>2</v>
      </c>
      <c r="B179" s="58" t="s">
        <v>307</v>
      </c>
      <c r="C179" s="58" t="s">
        <v>308</v>
      </c>
      <c r="D179" s="59">
        <v>100000000</v>
      </c>
      <c r="E179" s="59">
        <v>89993500</v>
      </c>
    </row>
    <row r="180" spans="1:5">
      <c r="A180" s="58">
        <v>2</v>
      </c>
      <c r="B180" s="58" t="s">
        <v>309</v>
      </c>
      <c r="C180" s="58" t="s">
        <v>310</v>
      </c>
      <c r="D180" s="59">
        <v>0</v>
      </c>
      <c r="E180" s="59">
        <v>1300000</v>
      </c>
    </row>
    <row r="181" spans="1:5">
      <c r="A181" s="58">
        <v>2</v>
      </c>
      <c r="B181" s="58" t="s">
        <v>38</v>
      </c>
      <c r="C181" s="58" t="s">
        <v>39</v>
      </c>
      <c r="D181" s="59">
        <v>10000000</v>
      </c>
      <c r="E181" s="59">
        <v>20800000</v>
      </c>
    </row>
    <row r="182" spans="1:5">
      <c r="A182" s="58">
        <v>2</v>
      </c>
      <c r="B182" s="58" t="s">
        <v>311</v>
      </c>
      <c r="C182" s="58" t="s">
        <v>312</v>
      </c>
      <c r="D182" s="59">
        <v>10000000</v>
      </c>
      <c r="E182" s="59">
        <v>10000000</v>
      </c>
    </row>
    <row r="183" spans="1:5">
      <c r="A183" s="58">
        <v>2</v>
      </c>
      <c r="B183" s="58" t="s">
        <v>313</v>
      </c>
      <c r="C183" s="58" t="s">
        <v>314</v>
      </c>
      <c r="D183" s="59">
        <v>0</v>
      </c>
      <c r="E183" s="59">
        <v>10800000</v>
      </c>
    </row>
    <row r="184" spans="1:5">
      <c r="A184" s="58">
        <v>2</v>
      </c>
      <c r="B184" s="58" t="s">
        <v>315</v>
      </c>
      <c r="C184" s="58" t="s">
        <v>316</v>
      </c>
      <c r="D184" s="59">
        <v>0</v>
      </c>
      <c r="E184" s="59">
        <v>0</v>
      </c>
    </row>
    <row r="185" spans="1:5">
      <c r="A185" s="58">
        <v>2</v>
      </c>
      <c r="B185" s="58" t="s">
        <v>40</v>
      </c>
      <c r="C185" s="58" t="s">
        <v>41</v>
      </c>
      <c r="D185" s="59">
        <v>70621497</v>
      </c>
      <c r="E185" s="59">
        <v>55600000</v>
      </c>
    </row>
    <row r="186" spans="1:5">
      <c r="A186" s="58">
        <v>2</v>
      </c>
      <c r="B186" s="58" t="s">
        <v>317</v>
      </c>
      <c r="C186" s="58" t="s">
        <v>318</v>
      </c>
      <c r="D186" s="59">
        <v>20621497</v>
      </c>
      <c r="E186" s="59">
        <v>5600000</v>
      </c>
    </row>
    <row r="187" spans="1:5">
      <c r="A187" s="58">
        <v>2</v>
      </c>
      <c r="B187" s="58" t="s">
        <v>319</v>
      </c>
      <c r="C187" s="58" t="s">
        <v>320</v>
      </c>
      <c r="D187" s="59">
        <v>0</v>
      </c>
      <c r="E187" s="59">
        <v>0</v>
      </c>
    </row>
    <row r="188" spans="1:5">
      <c r="A188" s="58">
        <v>2</v>
      </c>
      <c r="B188" s="58" t="s">
        <v>560</v>
      </c>
      <c r="C188" s="58" t="s">
        <v>561</v>
      </c>
      <c r="D188" s="59">
        <v>50000000</v>
      </c>
      <c r="E188" s="59">
        <v>50000000</v>
      </c>
    </row>
    <row r="189" spans="1:5">
      <c r="A189" s="60">
        <v>2</v>
      </c>
      <c r="B189" s="60" t="s">
        <v>42</v>
      </c>
      <c r="C189" s="60" t="s">
        <v>43</v>
      </c>
      <c r="D189" s="61">
        <v>32210176</v>
      </c>
      <c r="E189" s="61">
        <v>9820000</v>
      </c>
    </row>
    <row r="190" spans="1:5">
      <c r="A190" s="58">
        <v>2</v>
      </c>
      <c r="B190" s="58" t="s">
        <v>321</v>
      </c>
      <c r="C190" s="58" t="s">
        <v>322</v>
      </c>
      <c r="D190" s="59">
        <v>5000000</v>
      </c>
      <c r="E190" s="59">
        <v>0</v>
      </c>
    </row>
    <row r="191" spans="1:5">
      <c r="A191" s="58">
        <v>2</v>
      </c>
      <c r="B191" s="58" t="s">
        <v>323</v>
      </c>
      <c r="C191" s="58" t="s">
        <v>324</v>
      </c>
      <c r="D191" s="59">
        <v>5000000</v>
      </c>
      <c r="E191" s="59">
        <v>0</v>
      </c>
    </row>
    <row r="192" spans="1:5">
      <c r="A192" s="58">
        <v>2</v>
      </c>
      <c r="B192" s="58" t="s">
        <v>325</v>
      </c>
      <c r="C192" s="58" t="s">
        <v>326</v>
      </c>
      <c r="D192" s="59">
        <v>3210176</v>
      </c>
      <c r="E192" s="59">
        <v>9820000</v>
      </c>
    </row>
    <row r="193" spans="1:5">
      <c r="A193" s="58">
        <v>2</v>
      </c>
      <c r="B193" s="58" t="s">
        <v>327</v>
      </c>
      <c r="C193" s="58" t="s">
        <v>328</v>
      </c>
      <c r="D193" s="59">
        <v>19000000</v>
      </c>
      <c r="E193" s="59">
        <v>0</v>
      </c>
    </row>
    <row r="194" spans="1:5">
      <c r="A194" s="58">
        <v>2</v>
      </c>
      <c r="B194" s="58" t="s">
        <v>329</v>
      </c>
      <c r="C194" s="58" t="s">
        <v>330</v>
      </c>
      <c r="D194" s="59">
        <v>0</v>
      </c>
      <c r="E194" s="59">
        <v>0</v>
      </c>
    </row>
    <row r="195" spans="1:5">
      <c r="A195" s="58">
        <v>2</v>
      </c>
      <c r="B195" s="58" t="s">
        <v>44</v>
      </c>
      <c r="C195" s="58" t="s">
        <v>45</v>
      </c>
      <c r="D195" s="59">
        <v>109571085</v>
      </c>
      <c r="E195" s="59">
        <v>118277585</v>
      </c>
    </row>
    <row r="196" spans="1:5">
      <c r="A196" s="60">
        <v>2</v>
      </c>
      <c r="B196" s="60" t="s">
        <v>331</v>
      </c>
      <c r="C196" s="60" t="s">
        <v>332</v>
      </c>
      <c r="D196" s="61">
        <v>10000000</v>
      </c>
      <c r="E196" s="61">
        <v>10000000</v>
      </c>
    </row>
    <row r="197" spans="1:5">
      <c r="A197" s="60">
        <v>2</v>
      </c>
      <c r="B197" s="60" t="s">
        <v>333</v>
      </c>
      <c r="C197" s="60" t="s">
        <v>334</v>
      </c>
      <c r="D197" s="61">
        <v>10000000</v>
      </c>
      <c r="E197" s="61">
        <v>10000000</v>
      </c>
    </row>
    <row r="198" spans="1:5">
      <c r="A198" s="58">
        <v>2</v>
      </c>
      <c r="B198" s="58" t="s">
        <v>335</v>
      </c>
      <c r="C198" s="58" t="s">
        <v>336</v>
      </c>
      <c r="D198" s="59">
        <v>0</v>
      </c>
      <c r="E198" s="59">
        <v>0</v>
      </c>
    </row>
    <row r="199" spans="1:5">
      <c r="A199" s="58">
        <v>2</v>
      </c>
      <c r="B199" s="58" t="s">
        <v>337</v>
      </c>
      <c r="C199" s="58" t="s">
        <v>338</v>
      </c>
      <c r="D199" s="59">
        <v>0</v>
      </c>
      <c r="E199" s="59">
        <v>0</v>
      </c>
    </row>
    <row r="200" spans="1:5">
      <c r="A200" s="60">
        <v>2</v>
      </c>
      <c r="B200" s="60" t="s">
        <v>339</v>
      </c>
      <c r="C200" s="60" t="s">
        <v>340</v>
      </c>
      <c r="D200" s="61">
        <v>18000000</v>
      </c>
      <c r="E200" s="61">
        <v>18000000</v>
      </c>
    </row>
    <row r="201" spans="1:5">
      <c r="A201" s="58">
        <v>2</v>
      </c>
      <c r="B201" s="58" t="s">
        <v>341</v>
      </c>
      <c r="C201" s="58" t="s">
        <v>338</v>
      </c>
      <c r="D201" s="59">
        <v>18000000</v>
      </c>
      <c r="E201" s="59">
        <v>18000000</v>
      </c>
    </row>
    <row r="202" spans="1:5">
      <c r="A202" s="60">
        <v>2</v>
      </c>
      <c r="B202" s="60" t="s">
        <v>342</v>
      </c>
      <c r="C202" s="60" t="s">
        <v>343</v>
      </c>
      <c r="D202" s="61">
        <v>30000000</v>
      </c>
      <c r="E202" s="61">
        <v>30000000</v>
      </c>
    </row>
    <row r="203" spans="1:5">
      <c r="A203" s="58">
        <v>2</v>
      </c>
      <c r="B203" s="58" t="s">
        <v>344</v>
      </c>
      <c r="C203" s="58" t="s">
        <v>345</v>
      </c>
      <c r="D203" s="59">
        <v>30000000</v>
      </c>
      <c r="E203" s="59">
        <v>30000000</v>
      </c>
    </row>
    <row r="204" spans="1:5">
      <c r="A204" s="60">
        <v>2</v>
      </c>
      <c r="B204" s="60" t="s">
        <v>346</v>
      </c>
      <c r="C204" s="60" t="s">
        <v>347</v>
      </c>
      <c r="D204" s="61">
        <v>26347400</v>
      </c>
      <c r="E204" s="61">
        <v>26347400</v>
      </c>
    </row>
    <row r="205" spans="1:5">
      <c r="A205" s="58">
        <v>2</v>
      </c>
      <c r="B205" s="58" t="s">
        <v>348</v>
      </c>
      <c r="C205" s="58" t="s">
        <v>345</v>
      </c>
      <c r="D205" s="59">
        <v>26347400</v>
      </c>
      <c r="E205" s="59">
        <v>26347400</v>
      </c>
    </row>
    <row r="206" spans="1:5">
      <c r="A206" s="58">
        <v>2</v>
      </c>
      <c r="B206" s="58" t="s">
        <v>349</v>
      </c>
      <c r="C206" s="58" t="s">
        <v>350</v>
      </c>
      <c r="D206" s="59">
        <v>25223685</v>
      </c>
      <c r="E206" s="59">
        <v>25223685</v>
      </c>
    </row>
    <row r="207" spans="1:5">
      <c r="A207" s="58">
        <v>2</v>
      </c>
      <c r="B207" s="58" t="s">
        <v>351</v>
      </c>
      <c r="C207" s="58" t="s">
        <v>352</v>
      </c>
      <c r="D207" s="59">
        <v>25223685</v>
      </c>
      <c r="E207" s="59">
        <v>25223685</v>
      </c>
    </row>
    <row r="208" spans="1:5">
      <c r="A208" s="60">
        <v>2</v>
      </c>
      <c r="B208" s="60" t="s">
        <v>353</v>
      </c>
      <c r="C208" s="60" t="s">
        <v>354</v>
      </c>
      <c r="D208" s="61">
        <v>0</v>
      </c>
      <c r="E208" s="61">
        <v>0</v>
      </c>
    </row>
    <row r="209" spans="1:5">
      <c r="A209" s="58">
        <v>2</v>
      </c>
      <c r="B209" s="58" t="s">
        <v>355</v>
      </c>
      <c r="C209" s="58" t="s">
        <v>345</v>
      </c>
      <c r="D209" s="59">
        <v>0</v>
      </c>
      <c r="E209" s="59">
        <v>0</v>
      </c>
    </row>
    <row r="210" spans="1:5">
      <c r="A210" s="58">
        <v>2</v>
      </c>
      <c r="B210" s="58" t="s">
        <v>356</v>
      </c>
      <c r="C210" s="58" t="s">
        <v>357</v>
      </c>
      <c r="D210" s="59">
        <v>0</v>
      </c>
      <c r="E210" s="59">
        <v>8706500</v>
      </c>
    </row>
    <row r="211" spans="1:5">
      <c r="A211" s="58">
        <v>2</v>
      </c>
      <c r="B211" s="58" t="s">
        <v>358</v>
      </c>
      <c r="C211" s="58" t="s">
        <v>359</v>
      </c>
      <c r="D211" s="59">
        <v>0</v>
      </c>
      <c r="E211" s="59">
        <v>8706500</v>
      </c>
    </row>
    <row r="212" spans="1:5">
      <c r="A212" s="60">
        <v>2</v>
      </c>
      <c r="B212" s="60" t="s">
        <v>46</v>
      </c>
      <c r="C212" s="60" t="s">
        <v>47</v>
      </c>
      <c r="D212" s="61">
        <v>20000000</v>
      </c>
      <c r="E212" s="61">
        <v>11410000</v>
      </c>
    </row>
    <row r="213" spans="1:5">
      <c r="A213" s="58">
        <v>2</v>
      </c>
      <c r="B213" s="58" t="s">
        <v>360</v>
      </c>
      <c r="C213" s="58" t="s">
        <v>361</v>
      </c>
      <c r="D213" s="59">
        <v>0</v>
      </c>
      <c r="E213" s="59">
        <v>0</v>
      </c>
    </row>
    <row r="214" spans="1:5">
      <c r="A214" s="58">
        <v>2</v>
      </c>
      <c r="B214" s="58" t="s">
        <v>362</v>
      </c>
      <c r="C214" s="58" t="s">
        <v>363</v>
      </c>
      <c r="D214" s="59">
        <v>0</v>
      </c>
      <c r="E214" s="59">
        <v>0</v>
      </c>
    </row>
    <row r="215" spans="1:5">
      <c r="A215" s="58">
        <v>2</v>
      </c>
      <c r="B215" s="58" t="s">
        <v>364</v>
      </c>
      <c r="C215" s="58" t="s">
        <v>365</v>
      </c>
      <c r="D215" s="59">
        <v>0</v>
      </c>
      <c r="E215" s="59">
        <v>3000000</v>
      </c>
    </row>
    <row r="216" spans="1:5">
      <c r="A216" s="58">
        <v>2</v>
      </c>
      <c r="B216" s="58" t="s">
        <v>366</v>
      </c>
      <c r="C216" s="58" t="s">
        <v>367</v>
      </c>
      <c r="D216" s="59">
        <v>10000000</v>
      </c>
      <c r="E216" s="59">
        <v>0</v>
      </c>
    </row>
    <row r="217" spans="1:5">
      <c r="A217" s="58">
        <v>2</v>
      </c>
      <c r="B217" s="58" t="s">
        <v>368</v>
      </c>
      <c r="C217" s="58" t="s">
        <v>369</v>
      </c>
      <c r="D217" s="59">
        <v>10000000</v>
      </c>
      <c r="E217" s="59">
        <v>8410000</v>
      </c>
    </row>
    <row r="218" spans="1:5">
      <c r="A218" s="58">
        <v>2</v>
      </c>
      <c r="B218" s="58" t="s">
        <v>48</v>
      </c>
      <c r="C218" s="58" t="s">
        <v>49</v>
      </c>
      <c r="D218" s="59">
        <v>11330000</v>
      </c>
      <c r="E218" s="59">
        <v>9000000</v>
      </c>
    </row>
    <row r="219" spans="1:5">
      <c r="A219" s="58">
        <v>2</v>
      </c>
      <c r="B219" s="58" t="s">
        <v>370</v>
      </c>
      <c r="C219" s="58" t="s">
        <v>371</v>
      </c>
      <c r="D219" s="59">
        <v>11330000</v>
      </c>
      <c r="E219" s="59">
        <v>9000000</v>
      </c>
    </row>
    <row r="220" spans="1:5">
      <c r="A220" s="58">
        <v>2</v>
      </c>
      <c r="B220" s="58" t="s">
        <v>50</v>
      </c>
      <c r="C220" s="58" t="s">
        <v>51</v>
      </c>
      <c r="D220" s="59">
        <v>69063548</v>
      </c>
      <c r="E220" s="59">
        <v>76400000</v>
      </c>
    </row>
    <row r="221" spans="1:5">
      <c r="A221" s="58">
        <v>2</v>
      </c>
      <c r="B221" s="58" t="s">
        <v>372</v>
      </c>
      <c r="C221" s="58" t="s">
        <v>373</v>
      </c>
      <c r="D221" s="59">
        <v>69063548</v>
      </c>
      <c r="E221" s="59">
        <v>76400000</v>
      </c>
    </row>
    <row r="222" spans="1:5">
      <c r="A222" s="58">
        <v>2</v>
      </c>
      <c r="B222" s="58" t="s">
        <v>52</v>
      </c>
      <c r="C222" s="58" t="s">
        <v>53</v>
      </c>
      <c r="D222" s="59">
        <v>144884856</v>
      </c>
      <c r="E222" s="59">
        <v>144884856</v>
      </c>
    </row>
    <row r="223" spans="1:5">
      <c r="A223" s="58">
        <v>2</v>
      </c>
      <c r="B223" s="58" t="s">
        <v>374</v>
      </c>
      <c r="C223" s="58" t="s">
        <v>375</v>
      </c>
      <c r="D223" s="59">
        <v>41000000</v>
      </c>
      <c r="E223" s="59">
        <v>41000000</v>
      </c>
    </row>
    <row r="224" spans="1:5">
      <c r="A224" s="58">
        <v>2</v>
      </c>
      <c r="B224" s="58" t="s">
        <v>376</v>
      </c>
      <c r="C224" s="58" t="s">
        <v>377</v>
      </c>
      <c r="D224" s="59">
        <v>61954662</v>
      </c>
      <c r="E224" s="59">
        <v>61954662</v>
      </c>
    </row>
    <row r="225" spans="1:5">
      <c r="A225" s="58">
        <v>2</v>
      </c>
      <c r="B225" s="58" t="s">
        <v>378</v>
      </c>
      <c r="C225" s="58" t="s">
        <v>379</v>
      </c>
      <c r="D225" s="59">
        <v>41930194</v>
      </c>
      <c r="E225" s="59">
        <v>41930194</v>
      </c>
    </row>
    <row r="226" spans="1:5">
      <c r="A226" s="60">
        <v>2</v>
      </c>
      <c r="B226" s="60" t="s">
        <v>54</v>
      </c>
      <c r="C226" s="60" t="s">
        <v>55</v>
      </c>
      <c r="D226" s="61">
        <v>16899450</v>
      </c>
      <c r="E226" s="61">
        <v>0</v>
      </c>
    </row>
    <row r="227" spans="1:5">
      <c r="A227" s="58">
        <v>2</v>
      </c>
      <c r="B227" s="58" t="s">
        <v>380</v>
      </c>
      <c r="C227" s="58" t="s">
        <v>288</v>
      </c>
      <c r="D227" s="59">
        <v>14000000</v>
      </c>
      <c r="E227" s="59">
        <v>0</v>
      </c>
    </row>
    <row r="228" spans="1:5">
      <c r="A228" s="58">
        <v>2</v>
      </c>
      <c r="B228" s="58" t="s">
        <v>381</v>
      </c>
      <c r="C228" s="58" t="s">
        <v>382</v>
      </c>
      <c r="D228" s="59">
        <v>2899450</v>
      </c>
      <c r="E228" s="59">
        <v>0</v>
      </c>
    </row>
    <row r="229" spans="1:5">
      <c r="A229" s="58">
        <v>2</v>
      </c>
      <c r="B229" s="58" t="s">
        <v>383</v>
      </c>
      <c r="C229" s="58" t="s">
        <v>384</v>
      </c>
      <c r="D229" s="59">
        <v>0</v>
      </c>
      <c r="E229" s="59">
        <v>0</v>
      </c>
    </row>
    <row r="230" spans="1:5">
      <c r="A230" s="60">
        <v>2</v>
      </c>
      <c r="B230" s="60" t="s">
        <v>56</v>
      </c>
      <c r="C230" s="60" t="s">
        <v>57</v>
      </c>
      <c r="D230" s="61">
        <v>0</v>
      </c>
      <c r="E230" s="61">
        <v>14600000</v>
      </c>
    </row>
    <row r="231" spans="1:5">
      <c r="A231" s="58">
        <v>2</v>
      </c>
      <c r="B231" s="58" t="s">
        <v>385</v>
      </c>
      <c r="C231" s="58" t="s">
        <v>386</v>
      </c>
      <c r="D231" s="59">
        <v>0</v>
      </c>
      <c r="E231" s="59">
        <v>6000000</v>
      </c>
    </row>
    <row r="232" spans="1:5">
      <c r="A232" s="58">
        <v>2</v>
      </c>
      <c r="B232" s="58" t="s">
        <v>387</v>
      </c>
      <c r="C232" s="58" t="s">
        <v>388</v>
      </c>
      <c r="D232" s="59">
        <v>0</v>
      </c>
      <c r="E232" s="59">
        <v>5400000</v>
      </c>
    </row>
    <row r="233" spans="1:5">
      <c r="A233" s="58">
        <v>2</v>
      </c>
      <c r="B233" s="58" t="s">
        <v>389</v>
      </c>
      <c r="C233" s="58" t="s">
        <v>390</v>
      </c>
      <c r="D233" s="59">
        <v>0</v>
      </c>
      <c r="E233" s="59">
        <v>3200000</v>
      </c>
    </row>
    <row r="234" spans="1:5">
      <c r="A234" s="58">
        <v>2</v>
      </c>
      <c r="B234" s="58" t="s">
        <v>58</v>
      </c>
      <c r="C234" s="58" t="s">
        <v>59</v>
      </c>
      <c r="D234" s="59">
        <v>187699658</v>
      </c>
      <c r="E234" s="59">
        <v>152009537</v>
      </c>
    </row>
    <row r="235" spans="1:5">
      <c r="A235" s="58">
        <v>2</v>
      </c>
      <c r="B235" s="58" t="s">
        <v>60</v>
      </c>
      <c r="C235" s="58" t="s">
        <v>61</v>
      </c>
      <c r="D235" s="59">
        <v>62699658</v>
      </c>
      <c r="E235" s="59">
        <v>62699658</v>
      </c>
    </row>
    <row r="236" spans="1:5">
      <c r="A236" s="58">
        <v>2</v>
      </c>
      <c r="B236" s="58" t="s">
        <v>391</v>
      </c>
      <c r="C236" s="58" t="s">
        <v>392</v>
      </c>
      <c r="D236" s="59">
        <v>30000000</v>
      </c>
      <c r="E236" s="59">
        <v>30000000</v>
      </c>
    </row>
    <row r="237" spans="1:5">
      <c r="A237" s="58">
        <v>2</v>
      </c>
      <c r="B237" s="58" t="s">
        <v>393</v>
      </c>
      <c r="C237" s="58" t="s">
        <v>394</v>
      </c>
      <c r="D237" s="59">
        <v>30000000</v>
      </c>
      <c r="E237" s="59">
        <v>30000000</v>
      </c>
    </row>
    <row r="238" spans="1:5">
      <c r="A238" s="58">
        <v>2</v>
      </c>
      <c r="B238" s="58" t="s">
        <v>395</v>
      </c>
      <c r="C238" s="58" t="s">
        <v>396</v>
      </c>
      <c r="D238" s="59">
        <v>2699658</v>
      </c>
      <c r="E238" s="59">
        <v>2699658</v>
      </c>
    </row>
    <row r="239" spans="1:5">
      <c r="A239" s="58">
        <v>2</v>
      </c>
      <c r="B239" s="58" t="s">
        <v>62</v>
      </c>
      <c r="C239" s="58" t="s">
        <v>51</v>
      </c>
      <c r="D239" s="59">
        <v>50000000</v>
      </c>
      <c r="E239" s="59">
        <v>13001491</v>
      </c>
    </row>
    <row r="240" spans="1:5">
      <c r="A240" s="58">
        <v>2</v>
      </c>
      <c r="B240" s="58" t="s">
        <v>397</v>
      </c>
      <c r="C240" s="58" t="s">
        <v>373</v>
      </c>
      <c r="D240" s="59">
        <v>50000000</v>
      </c>
      <c r="E240" s="59">
        <v>13001491</v>
      </c>
    </row>
    <row r="241" spans="1:5">
      <c r="A241" s="60">
        <v>2</v>
      </c>
      <c r="B241" s="60" t="s">
        <v>63</v>
      </c>
      <c r="C241" s="60" t="s">
        <v>64</v>
      </c>
      <c r="D241" s="61">
        <v>25000000</v>
      </c>
      <c r="E241" s="61">
        <v>12000000</v>
      </c>
    </row>
    <row r="242" spans="1:5">
      <c r="A242" s="58">
        <v>2</v>
      </c>
      <c r="B242" s="58" t="s">
        <v>398</v>
      </c>
      <c r="C242" s="58" t="s">
        <v>399</v>
      </c>
      <c r="D242" s="59">
        <v>25000000</v>
      </c>
      <c r="E242" s="59">
        <v>12000000</v>
      </c>
    </row>
    <row r="243" spans="1:5">
      <c r="A243" s="58">
        <v>2</v>
      </c>
      <c r="B243" s="58" t="s">
        <v>65</v>
      </c>
      <c r="C243" s="58" t="s">
        <v>66</v>
      </c>
      <c r="D243" s="59">
        <v>25000000</v>
      </c>
      <c r="E243" s="59">
        <v>25000000</v>
      </c>
    </row>
    <row r="244" spans="1:5">
      <c r="A244" s="58">
        <v>2</v>
      </c>
      <c r="B244" s="58" t="s">
        <v>400</v>
      </c>
      <c r="C244" s="58" t="s">
        <v>401</v>
      </c>
      <c r="D244" s="59">
        <v>25000000</v>
      </c>
      <c r="E244" s="59">
        <v>25000000</v>
      </c>
    </row>
    <row r="245" spans="1:5">
      <c r="A245" s="60">
        <v>2</v>
      </c>
      <c r="B245" s="60" t="s">
        <v>67</v>
      </c>
      <c r="C245" s="60" t="s">
        <v>47</v>
      </c>
      <c r="D245" s="61">
        <v>25000000</v>
      </c>
      <c r="E245" s="61">
        <v>25000000</v>
      </c>
    </row>
    <row r="246" spans="1:5">
      <c r="A246" s="58">
        <v>2</v>
      </c>
      <c r="B246" s="58" t="s">
        <v>402</v>
      </c>
      <c r="C246" s="58" t="s">
        <v>403</v>
      </c>
      <c r="D246" s="59">
        <v>25000000</v>
      </c>
      <c r="E246" s="59">
        <v>25000000</v>
      </c>
    </row>
    <row r="247" spans="1:5">
      <c r="A247" s="60">
        <v>2</v>
      </c>
      <c r="B247" s="60" t="s">
        <v>68</v>
      </c>
      <c r="C247" s="60" t="s">
        <v>69</v>
      </c>
      <c r="D247" s="61">
        <v>0</v>
      </c>
      <c r="E247" s="61">
        <v>1308388</v>
      </c>
    </row>
    <row r="248" spans="1:5">
      <c r="A248" s="58">
        <v>2</v>
      </c>
      <c r="B248" s="58" t="s">
        <v>404</v>
      </c>
      <c r="C248" s="58" t="s">
        <v>405</v>
      </c>
      <c r="D248" s="59">
        <v>0</v>
      </c>
      <c r="E248" s="59">
        <v>1308388</v>
      </c>
    </row>
    <row r="249" spans="1:5">
      <c r="A249" s="60">
        <v>2</v>
      </c>
      <c r="B249" s="60" t="s">
        <v>745</v>
      </c>
      <c r="C249" s="60" t="s">
        <v>746</v>
      </c>
      <c r="D249" s="61">
        <v>0</v>
      </c>
      <c r="E249" s="61">
        <v>3000000</v>
      </c>
    </row>
    <row r="250" spans="1:5">
      <c r="A250" s="58">
        <v>2</v>
      </c>
      <c r="B250" s="58" t="s">
        <v>747</v>
      </c>
      <c r="C250" s="58" t="s">
        <v>748</v>
      </c>
      <c r="D250" s="59">
        <v>0</v>
      </c>
      <c r="E250" s="59">
        <v>3000000</v>
      </c>
    </row>
    <row r="251" spans="1:5">
      <c r="A251" s="60">
        <v>2</v>
      </c>
      <c r="B251" s="60" t="s">
        <v>749</v>
      </c>
      <c r="C251" s="60" t="s">
        <v>750</v>
      </c>
      <c r="D251" s="61">
        <v>0</v>
      </c>
      <c r="E251" s="61">
        <v>8000000</v>
      </c>
    </row>
    <row r="252" spans="1:5">
      <c r="A252" s="58">
        <v>2</v>
      </c>
      <c r="B252" s="58" t="s">
        <v>751</v>
      </c>
      <c r="C252" s="58" t="s">
        <v>752</v>
      </c>
      <c r="D252" s="59">
        <v>0</v>
      </c>
      <c r="E252" s="59">
        <v>8000000</v>
      </c>
    </row>
    <row r="253" spans="1:5">
      <c r="A253" s="60">
        <v>2</v>
      </c>
      <c r="B253" s="60" t="s">
        <v>753</v>
      </c>
      <c r="C253" s="60" t="s">
        <v>55</v>
      </c>
      <c r="D253" s="61">
        <v>0</v>
      </c>
      <c r="E253" s="61">
        <v>2000000</v>
      </c>
    </row>
    <row r="254" spans="1:5">
      <c r="A254" s="58">
        <v>2</v>
      </c>
      <c r="B254" s="58" t="s">
        <v>754</v>
      </c>
      <c r="C254" s="58" t="s">
        <v>755</v>
      </c>
      <c r="D254" s="59">
        <v>0</v>
      </c>
      <c r="E254" s="59">
        <v>2000000</v>
      </c>
    </row>
    <row r="255" spans="1:5">
      <c r="A255" s="58">
        <v>2</v>
      </c>
      <c r="B255" s="58" t="s">
        <v>70</v>
      </c>
      <c r="C255" s="58" t="s">
        <v>71</v>
      </c>
      <c r="D255" s="59">
        <v>125000000</v>
      </c>
      <c r="E255" s="59">
        <v>125000000</v>
      </c>
    </row>
    <row r="256" spans="1:5">
      <c r="A256" s="60">
        <v>2</v>
      </c>
      <c r="B256" s="60" t="s">
        <v>72</v>
      </c>
      <c r="C256" s="60" t="s">
        <v>73</v>
      </c>
      <c r="D256" s="61">
        <v>40000000</v>
      </c>
      <c r="E256" s="61">
        <v>40000000</v>
      </c>
    </row>
    <row r="257" spans="1:5">
      <c r="A257" s="58">
        <v>2</v>
      </c>
      <c r="B257" s="58" t="s">
        <v>406</v>
      </c>
      <c r="C257" s="58" t="s">
        <v>288</v>
      </c>
      <c r="D257" s="59">
        <v>0</v>
      </c>
      <c r="E257" s="59">
        <v>0</v>
      </c>
    </row>
    <row r="258" spans="1:5">
      <c r="A258" s="58">
        <v>2</v>
      </c>
      <c r="B258" s="58" t="s">
        <v>407</v>
      </c>
      <c r="C258" s="58" t="s">
        <v>408</v>
      </c>
      <c r="D258" s="59">
        <v>24000000</v>
      </c>
      <c r="E258" s="59">
        <v>24000000</v>
      </c>
    </row>
    <row r="259" spans="1:5">
      <c r="A259" s="58">
        <v>2</v>
      </c>
      <c r="B259" s="58" t="s">
        <v>409</v>
      </c>
      <c r="C259" s="58" t="s">
        <v>410</v>
      </c>
      <c r="D259" s="59">
        <v>4000000</v>
      </c>
      <c r="E259" s="59">
        <v>4000000</v>
      </c>
    </row>
    <row r="260" spans="1:5">
      <c r="A260" s="58">
        <v>2</v>
      </c>
      <c r="B260" s="58" t="s">
        <v>411</v>
      </c>
      <c r="C260" s="58" t="s">
        <v>412</v>
      </c>
      <c r="D260" s="59">
        <v>4000000</v>
      </c>
      <c r="E260" s="59">
        <v>4000000</v>
      </c>
    </row>
    <row r="261" spans="1:5">
      <c r="A261" s="58">
        <v>2</v>
      </c>
      <c r="B261" s="58" t="s">
        <v>413</v>
      </c>
      <c r="C261" s="58" t="s">
        <v>414</v>
      </c>
      <c r="D261" s="59">
        <v>8000000</v>
      </c>
      <c r="E261" s="59">
        <v>8000000</v>
      </c>
    </row>
    <row r="262" spans="1:5">
      <c r="A262" s="60">
        <v>2</v>
      </c>
      <c r="B262" s="60" t="s">
        <v>74</v>
      </c>
      <c r="C262" s="60" t="s">
        <v>75</v>
      </c>
      <c r="D262" s="61">
        <v>12000000</v>
      </c>
      <c r="E262" s="61">
        <v>12000000</v>
      </c>
    </row>
    <row r="263" spans="1:5">
      <c r="A263" s="58">
        <v>2</v>
      </c>
      <c r="B263" s="58" t="s">
        <v>415</v>
      </c>
      <c r="C263" s="58" t="s">
        <v>416</v>
      </c>
      <c r="D263" s="59">
        <v>12000000</v>
      </c>
      <c r="E263" s="59">
        <v>12000000</v>
      </c>
    </row>
    <row r="264" spans="1:5">
      <c r="A264" s="58">
        <v>2</v>
      </c>
      <c r="B264" s="58" t="s">
        <v>76</v>
      </c>
      <c r="C264" s="58" t="s">
        <v>77</v>
      </c>
      <c r="D264" s="59">
        <v>20000000</v>
      </c>
      <c r="E264" s="59">
        <v>20000000</v>
      </c>
    </row>
    <row r="265" spans="1:5">
      <c r="A265" s="58">
        <v>2</v>
      </c>
      <c r="B265" s="58" t="s">
        <v>417</v>
      </c>
      <c r="C265" s="58" t="s">
        <v>418</v>
      </c>
      <c r="D265" s="59">
        <v>20000000</v>
      </c>
      <c r="E265" s="59">
        <v>20000000</v>
      </c>
    </row>
    <row r="266" spans="1:5">
      <c r="A266" s="58">
        <v>2</v>
      </c>
      <c r="B266" s="58" t="s">
        <v>78</v>
      </c>
      <c r="C266" s="58" t="s">
        <v>79</v>
      </c>
      <c r="D266" s="59">
        <v>6000000</v>
      </c>
      <c r="E266" s="59">
        <v>6000000</v>
      </c>
    </row>
    <row r="267" spans="1:5">
      <c r="A267" s="58">
        <v>2</v>
      </c>
      <c r="B267" s="58" t="s">
        <v>419</v>
      </c>
      <c r="C267" s="58" t="s">
        <v>420</v>
      </c>
      <c r="D267" s="59">
        <v>6000000</v>
      </c>
      <c r="E267" s="59">
        <v>6000000</v>
      </c>
    </row>
    <row r="268" spans="1:5">
      <c r="A268" s="60">
        <v>2</v>
      </c>
      <c r="B268" s="60" t="s">
        <v>80</v>
      </c>
      <c r="C268" s="60" t="s">
        <v>81</v>
      </c>
      <c r="D268" s="61">
        <v>3000000</v>
      </c>
      <c r="E268" s="61">
        <v>3000000</v>
      </c>
    </row>
    <row r="269" spans="1:5">
      <c r="A269" s="58">
        <v>2</v>
      </c>
      <c r="B269" s="58" t="s">
        <v>421</v>
      </c>
      <c r="C269" s="58" t="s">
        <v>422</v>
      </c>
      <c r="D269" s="59">
        <v>3000000</v>
      </c>
      <c r="E269" s="59">
        <v>3000000</v>
      </c>
    </row>
    <row r="270" spans="1:5">
      <c r="A270" s="60">
        <v>2</v>
      </c>
      <c r="B270" s="60" t="s">
        <v>82</v>
      </c>
      <c r="C270" s="60" t="s">
        <v>83</v>
      </c>
      <c r="D270" s="61">
        <v>5000000</v>
      </c>
      <c r="E270" s="61">
        <v>5000000</v>
      </c>
    </row>
    <row r="271" spans="1:5">
      <c r="A271" s="58">
        <v>2</v>
      </c>
      <c r="B271" s="58" t="s">
        <v>423</v>
      </c>
      <c r="C271" s="58" t="s">
        <v>424</v>
      </c>
      <c r="D271" s="59">
        <v>5000000</v>
      </c>
      <c r="E271" s="59">
        <v>5000000</v>
      </c>
    </row>
    <row r="272" spans="1:5">
      <c r="A272" s="58">
        <v>2</v>
      </c>
      <c r="B272" s="58" t="s">
        <v>425</v>
      </c>
      <c r="C272" s="58" t="s">
        <v>426</v>
      </c>
      <c r="D272" s="59">
        <v>0</v>
      </c>
      <c r="E272" s="59">
        <v>0</v>
      </c>
    </row>
    <row r="273" spans="1:5">
      <c r="A273" s="58">
        <v>2</v>
      </c>
      <c r="B273" s="58" t="s">
        <v>427</v>
      </c>
      <c r="C273" s="58" t="s">
        <v>428</v>
      </c>
      <c r="D273" s="59">
        <v>0</v>
      </c>
      <c r="E273" s="59">
        <v>0</v>
      </c>
    </row>
    <row r="274" spans="1:5">
      <c r="A274" s="58">
        <v>2</v>
      </c>
      <c r="B274" s="58" t="s">
        <v>84</v>
      </c>
      <c r="C274" s="58" t="s">
        <v>85</v>
      </c>
      <c r="D274" s="59">
        <v>12000000</v>
      </c>
      <c r="E274" s="59">
        <v>12000000</v>
      </c>
    </row>
    <row r="275" spans="1:5">
      <c r="A275" s="58">
        <v>2</v>
      </c>
      <c r="B275" s="58" t="s">
        <v>429</v>
      </c>
      <c r="C275" s="58" t="s">
        <v>430</v>
      </c>
      <c r="D275" s="59">
        <v>12000000</v>
      </c>
      <c r="E275" s="59">
        <v>12000000</v>
      </c>
    </row>
    <row r="276" spans="1:5">
      <c r="A276" s="60">
        <v>2</v>
      </c>
      <c r="B276" s="60" t="s">
        <v>86</v>
      </c>
      <c r="C276" s="60" t="s">
        <v>87</v>
      </c>
      <c r="D276" s="61">
        <v>27000000</v>
      </c>
      <c r="E276" s="61">
        <v>27000000</v>
      </c>
    </row>
    <row r="277" spans="1:5">
      <c r="A277" s="58">
        <v>2</v>
      </c>
      <c r="B277" s="58" t="s">
        <v>431</v>
      </c>
      <c r="C277" s="58" t="s">
        <v>432</v>
      </c>
      <c r="D277" s="59">
        <v>17000000</v>
      </c>
      <c r="E277" s="59">
        <v>17000000</v>
      </c>
    </row>
    <row r="278" spans="1:5">
      <c r="A278" s="58">
        <v>2</v>
      </c>
      <c r="B278" s="58" t="s">
        <v>88</v>
      </c>
      <c r="C278" s="58" t="s">
        <v>89</v>
      </c>
      <c r="D278" s="59">
        <v>10000000</v>
      </c>
      <c r="E278" s="59">
        <v>10000000</v>
      </c>
    </row>
    <row r="279" spans="1:5">
      <c r="A279" s="58">
        <v>2</v>
      </c>
      <c r="B279" s="58" t="s">
        <v>90</v>
      </c>
      <c r="C279" s="58" t="s">
        <v>91</v>
      </c>
      <c r="D279" s="59">
        <v>22494000</v>
      </c>
      <c r="E279" s="59">
        <v>22494000</v>
      </c>
    </row>
    <row r="280" spans="1:5">
      <c r="A280" s="58">
        <v>2</v>
      </c>
      <c r="B280" s="58" t="s">
        <v>92</v>
      </c>
      <c r="C280" s="58" t="s">
        <v>93</v>
      </c>
      <c r="D280" s="59">
        <v>3954861</v>
      </c>
      <c r="E280" s="59">
        <v>3954861</v>
      </c>
    </row>
    <row r="281" spans="1:5">
      <c r="A281" s="58">
        <v>2</v>
      </c>
      <c r="B281" s="58" t="s">
        <v>94</v>
      </c>
      <c r="C281" s="58" t="s">
        <v>95</v>
      </c>
      <c r="D281" s="59">
        <v>18220000</v>
      </c>
      <c r="E281" s="59">
        <v>18220000</v>
      </c>
    </row>
    <row r="282" spans="1:5">
      <c r="A282" s="60">
        <v>2</v>
      </c>
      <c r="B282" s="60" t="s">
        <v>433</v>
      </c>
      <c r="C282" s="60" t="s">
        <v>434</v>
      </c>
      <c r="D282" s="61">
        <v>600000</v>
      </c>
      <c r="E282" s="61">
        <v>600000</v>
      </c>
    </row>
    <row r="283" spans="1:5">
      <c r="A283" s="60">
        <v>2</v>
      </c>
      <c r="B283" s="60" t="s">
        <v>435</v>
      </c>
      <c r="C283" s="60" t="s">
        <v>436</v>
      </c>
      <c r="D283" s="61">
        <v>600000</v>
      </c>
      <c r="E283" s="61">
        <v>600000</v>
      </c>
    </row>
    <row r="284" spans="1:5">
      <c r="A284" s="60">
        <v>2</v>
      </c>
      <c r="B284" s="60" t="s">
        <v>437</v>
      </c>
      <c r="C284" s="60" t="s">
        <v>438</v>
      </c>
      <c r="D284" s="61">
        <v>2200000</v>
      </c>
      <c r="E284" s="61">
        <v>2200000</v>
      </c>
    </row>
    <row r="285" spans="1:5">
      <c r="A285" s="60">
        <v>2</v>
      </c>
      <c r="B285" s="60" t="s">
        <v>439</v>
      </c>
      <c r="C285" s="60" t="s">
        <v>440</v>
      </c>
      <c r="D285" s="61">
        <v>600000</v>
      </c>
      <c r="E285" s="61">
        <v>600000</v>
      </c>
    </row>
    <row r="286" spans="1:5">
      <c r="A286" s="60">
        <v>2</v>
      </c>
      <c r="B286" s="60" t="s">
        <v>441</v>
      </c>
      <c r="C286" s="60" t="s">
        <v>442</v>
      </c>
      <c r="D286" s="61">
        <v>220000</v>
      </c>
      <c r="E286" s="61">
        <v>220000</v>
      </c>
    </row>
    <row r="287" spans="1:5">
      <c r="A287" s="60">
        <v>2</v>
      </c>
      <c r="B287" s="60" t="s">
        <v>443</v>
      </c>
      <c r="C287" s="60" t="s">
        <v>444</v>
      </c>
      <c r="D287" s="61">
        <v>14000000</v>
      </c>
      <c r="E287" s="61">
        <v>14000000</v>
      </c>
    </row>
    <row r="288" spans="1:5">
      <c r="A288" s="58">
        <v>2</v>
      </c>
      <c r="B288" s="58" t="s">
        <v>96</v>
      </c>
      <c r="C288" s="58" t="s">
        <v>97</v>
      </c>
      <c r="D288" s="59">
        <v>319139</v>
      </c>
      <c r="E288" s="59">
        <v>319139</v>
      </c>
    </row>
    <row r="289" spans="1:5">
      <c r="A289" s="58">
        <v>2</v>
      </c>
      <c r="B289" s="58" t="s">
        <v>445</v>
      </c>
      <c r="C289" s="58" t="s">
        <v>446</v>
      </c>
      <c r="D289" s="59">
        <v>319139</v>
      </c>
      <c r="E289" s="59">
        <v>319139</v>
      </c>
    </row>
    <row r="290" spans="1:5">
      <c r="A290" s="58">
        <v>2</v>
      </c>
      <c r="B290" s="58" t="s">
        <v>98</v>
      </c>
      <c r="C290" s="58" t="s">
        <v>99</v>
      </c>
      <c r="D290" s="59">
        <v>0</v>
      </c>
      <c r="E290" s="59">
        <v>0</v>
      </c>
    </row>
    <row r="291" spans="1:5">
      <c r="A291" s="58">
        <v>2</v>
      </c>
      <c r="B291" s="58" t="s">
        <v>100</v>
      </c>
      <c r="C291" s="58" t="s">
        <v>101</v>
      </c>
      <c r="D291" s="59">
        <v>0</v>
      </c>
      <c r="E291" s="59">
        <v>0</v>
      </c>
    </row>
    <row r="292" spans="1:5">
      <c r="A292" s="58">
        <v>2</v>
      </c>
      <c r="B292" s="58" t="s">
        <v>102</v>
      </c>
      <c r="C292" s="58" t="s">
        <v>103</v>
      </c>
      <c r="D292" s="59">
        <v>0</v>
      </c>
      <c r="E292" s="59">
        <v>154902778</v>
      </c>
    </row>
    <row r="293" spans="1:5">
      <c r="A293" s="58">
        <v>2</v>
      </c>
      <c r="B293" s="58" t="s">
        <v>104</v>
      </c>
      <c r="C293" s="58" t="s">
        <v>105</v>
      </c>
      <c r="D293" s="59">
        <v>0</v>
      </c>
      <c r="E293" s="59">
        <v>0</v>
      </c>
    </row>
    <row r="294" spans="1:5">
      <c r="A294" s="58">
        <v>2</v>
      </c>
      <c r="B294" s="58" t="s">
        <v>106</v>
      </c>
      <c r="C294" s="58" t="s">
        <v>107</v>
      </c>
      <c r="D294" s="59">
        <v>0</v>
      </c>
      <c r="E294" s="59">
        <v>0</v>
      </c>
    </row>
    <row r="295" spans="1:5">
      <c r="A295" s="58">
        <v>2</v>
      </c>
      <c r="B295" s="58" t="s">
        <v>447</v>
      </c>
      <c r="C295" s="58" t="s">
        <v>448</v>
      </c>
      <c r="D295" s="59">
        <v>0</v>
      </c>
      <c r="E295" s="59">
        <v>0</v>
      </c>
    </row>
    <row r="296" spans="1:5">
      <c r="A296" s="58">
        <v>2</v>
      </c>
      <c r="B296" s="58" t="s">
        <v>449</v>
      </c>
      <c r="C296" s="58" t="s">
        <v>450</v>
      </c>
      <c r="D296" s="59">
        <v>0</v>
      </c>
      <c r="E296" s="59">
        <v>0</v>
      </c>
    </row>
    <row r="297" spans="1:5">
      <c r="A297" s="58">
        <v>2</v>
      </c>
      <c r="B297" s="58" t="s">
        <v>451</v>
      </c>
      <c r="C297" s="58" t="s">
        <v>452</v>
      </c>
      <c r="D297" s="59">
        <v>0</v>
      </c>
      <c r="E297" s="59">
        <v>0</v>
      </c>
    </row>
    <row r="298" spans="1:5">
      <c r="A298" s="58">
        <v>2</v>
      </c>
      <c r="B298" s="58" t="s">
        <v>453</v>
      </c>
      <c r="C298" s="58" t="s">
        <v>454</v>
      </c>
      <c r="D298" s="59">
        <v>0</v>
      </c>
      <c r="E298" s="59">
        <v>0</v>
      </c>
    </row>
    <row r="299" spans="1:5">
      <c r="A299" s="58">
        <v>2</v>
      </c>
      <c r="B299" s="58" t="s">
        <v>455</v>
      </c>
      <c r="C299" s="58" t="s">
        <v>456</v>
      </c>
      <c r="D299" s="59">
        <v>0</v>
      </c>
      <c r="E299" s="59">
        <v>0</v>
      </c>
    </row>
    <row r="300" spans="1:5">
      <c r="A300" s="58">
        <v>2</v>
      </c>
      <c r="B300" s="58" t="s">
        <v>457</v>
      </c>
      <c r="C300" s="58" t="s">
        <v>458</v>
      </c>
      <c r="D300" s="59">
        <v>0</v>
      </c>
      <c r="E300" s="59">
        <v>0</v>
      </c>
    </row>
    <row r="301" spans="1:5">
      <c r="A301" s="58">
        <v>2</v>
      </c>
      <c r="B301" s="58" t="s">
        <v>459</v>
      </c>
      <c r="C301" s="58" t="s">
        <v>460</v>
      </c>
      <c r="D301" s="59">
        <v>0</v>
      </c>
      <c r="E301" s="59">
        <v>0</v>
      </c>
    </row>
    <row r="302" spans="1:5">
      <c r="A302" s="58">
        <v>2</v>
      </c>
      <c r="B302" s="58" t="s">
        <v>461</v>
      </c>
      <c r="C302" s="58" t="s">
        <v>462</v>
      </c>
      <c r="D302" s="59">
        <v>0</v>
      </c>
      <c r="E302" s="59">
        <v>0</v>
      </c>
    </row>
    <row r="303" spans="1:5">
      <c r="A303" s="58">
        <v>2</v>
      </c>
      <c r="B303" s="58" t="s">
        <v>463</v>
      </c>
      <c r="C303" s="58" t="s">
        <v>464</v>
      </c>
      <c r="D303" s="59">
        <v>0</v>
      </c>
      <c r="E303" s="59">
        <v>0</v>
      </c>
    </row>
    <row r="304" spans="1:5">
      <c r="A304" s="58">
        <v>2</v>
      </c>
      <c r="B304" s="58" t="s">
        <v>465</v>
      </c>
      <c r="C304" s="58" t="s">
        <v>466</v>
      </c>
      <c r="D304" s="59">
        <v>0</v>
      </c>
      <c r="E304" s="59">
        <v>0</v>
      </c>
    </row>
    <row r="305" spans="1:5">
      <c r="A305" s="58">
        <v>2</v>
      </c>
      <c r="B305" s="58" t="s">
        <v>467</v>
      </c>
      <c r="C305" s="58" t="s">
        <v>468</v>
      </c>
      <c r="D305" s="59">
        <v>0</v>
      </c>
      <c r="E305" s="59">
        <v>0</v>
      </c>
    </row>
    <row r="306" spans="1:5">
      <c r="A306" s="58">
        <v>2</v>
      </c>
      <c r="B306" s="58" t="s">
        <v>469</v>
      </c>
      <c r="C306" s="58" t="s">
        <v>470</v>
      </c>
      <c r="D306" s="59">
        <v>0</v>
      </c>
      <c r="E306" s="59">
        <v>0</v>
      </c>
    </row>
    <row r="307" spans="1:5">
      <c r="A307" s="58">
        <v>2</v>
      </c>
      <c r="B307" s="58" t="s">
        <v>471</v>
      </c>
      <c r="C307" s="58" t="s">
        <v>448</v>
      </c>
      <c r="D307" s="59">
        <v>0</v>
      </c>
      <c r="E307" s="59">
        <v>0</v>
      </c>
    </row>
    <row r="308" spans="1:5">
      <c r="A308" s="58">
        <v>2</v>
      </c>
      <c r="B308" s="58" t="s">
        <v>472</v>
      </c>
      <c r="C308" s="58" t="s">
        <v>473</v>
      </c>
      <c r="D308" s="59">
        <v>0</v>
      </c>
      <c r="E308" s="59">
        <v>0</v>
      </c>
    </row>
    <row r="309" spans="1:5">
      <c r="A309" s="58">
        <v>2</v>
      </c>
      <c r="B309" s="58" t="s">
        <v>108</v>
      </c>
      <c r="C309" s="58" t="s">
        <v>109</v>
      </c>
      <c r="D309" s="59">
        <v>0</v>
      </c>
      <c r="E309" s="59">
        <v>154902778</v>
      </c>
    </row>
    <row r="310" spans="1:5">
      <c r="A310" s="58">
        <v>2</v>
      </c>
      <c r="B310" s="58" t="s">
        <v>110</v>
      </c>
      <c r="C310" s="58" t="s">
        <v>111</v>
      </c>
      <c r="D310" s="59">
        <v>0</v>
      </c>
      <c r="E310" s="59">
        <v>77451389</v>
      </c>
    </row>
    <row r="311" spans="1:5">
      <c r="A311" s="58">
        <v>2</v>
      </c>
      <c r="B311" s="58" t="s">
        <v>112</v>
      </c>
      <c r="C311" s="58" t="s">
        <v>113</v>
      </c>
      <c r="D311" s="59">
        <v>0</v>
      </c>
      <c r="E311" s="59">
        <v>77451389</v>
      </c>
    </row>
    <row r="312" spans="1:5">
      <c r="A312" s="58">
        <v>2</v>
      </c>
      <c r="B312" s="58" t="s">
        <v>474</v>
      </c>
      <c r="C312" s="58" t="s">
        <v>475</v>
      </c>
      <c r="D312" s="59">
        <v>59220303</v>
      </c>
      <c r="E312" s="59">
        <v>63510265</v>
      </c>
    </row>
    <row r="313" spans="1:5">
      <c r="A313" s="58">
        <v>2</v>
      </c>
      <c r="B313" s="58" t="s">
        <v>476</v>
      </c>
      <c r="C313" s="58" t="s">
        <v>477</v>
      </c>
      <c r="D313" s="59">
        <v>19442125</v>
      </c>
      <c r="E313" s="59">
        <v>20698576</v>
      </c>
    </row>
    <row r="314" spans="1:5">
      <c r="A314" s="58">
        <v>2</v>
      </c>
      <c r="B314" s="58" t="s">
        <v>478</v>
      </c>
      <c r="C314" s="58" t="s">
        <v>479</v>
      </c>
      <c r="D314" s="59">
        <v>19442125</v>
      </c>
      <c r="E314" s="59">
        <v>5000000</v>
      </c>
    </row>
    <row r="315" spans="1:5">
      <c r="A315" s="58">
        <v>2</v>
      </c>
      <c r="B315" s="58" t="s">
        <v>480</v>
      </c>
      <c r="C315" s="58" t="s">
        <v>481</v>
      </c>
      <c r="D315" s="59">
        <v>0</v>
      </c>
      <c r="E315" s="59">
        <v>7256451</v>
      </c>
    </row>
    <row r="316" spans="1:5">
      <c r="A316" s="58">
        <v>2</v>
      </c>
      <c r="B316" s="58" t="s">
        <v>482</v>
      </c>
      <c r="C316" s="58" t="s">
        <v>483</v>
      </c>
      <c r="D316" s="59">
        <v>0</v>
      </c>
      <c r="E316" s="59">
        <v>4442125</v>
      </c>
    </row>
    <row r="317" spans="1:5">
      <c r="A317" s="58">
        <v>2</v>
      </c>
      <c r="B317" s="58" t="s">
        <v>484</v>
      </c>
      <c r="C317" s="58" t="s">
        <v>485</v>
      </c>
      <c r="D317" s="59">
        <v>0</v>
      </c>
      <c r="E317" s="59">
        <v>2000000</v>
      </c>
    </row>
    <row r="318" spans="1:5">
      <c r="A318" s="58">
        <v>2</v>
      </c>
      <c r="B318" s="58" t="s">
        <v>486</v>
      </c>
      <c r="C318" s="58" t="s">
        <v>487</v>
      </c>
      <c r="D318" s="59">
        <v>0</v>
      </c>
      <c r="E318" s="59">
        <v>2000000</v>
      </c>
    </row>
    <row r="319" spans="1:5">
      <c r="A319" s="58">
        <v>2</v>
      </c>
      <c r="B319" s="58" t="s">
        <v>488</v>
      </c>
      <c r="C319" s="58" t="s">
        <v>489</v>
      </c>
      <c r="D319" s="59">
        <v>39778178</v>
      </c>
      <c r="E319" s="59">
        <v>42811689</v>
      </c>
    </row>
    <row r="320" spans="1:5">
      <c r="A320" s="58">
        <v>2</v>
      </c>
      <c r="B320" s="58" t="s">
        <v>490</v>
      </c>
      <c r="C320" s="58" t="s">
        <v>485</v>
      </c>
      <c r="D320" s="59">
        <v>0</v>
      </c>
      <c r="E320" s="59">
        <v>10778178</v>
      </c>
    </row>
    <row r="321" spans="1:5">
      <c r="A321" s="58">
        <v>2</v>
      </c>
      <c r="B321" s="58" t="s">
        <v>491</v>
      </c>
      <c r="C321" s="58" t="s">
        <v>479</v>
      </c>
      <c r="D321" s="59">
        <v>39778178</v>
      </c>
      <c r="E321" s="59">
        <v>12000000</v>
      </c>
    </row>
    <row r="322" spans="1:5">
      <c r="A322" s="58">
        <v>2</v>
      </c>
      <c r="B322" s="58" t="s">
        <v>492</v>
      </c>
      <c r="C322" s="58" t="s">
        <v>493</v>
      </c>
      <c r="D322" s="59">
        <v>0</v>
      </c>
      <c r="E322" s="59">
        <v>13033511</v>
      </c>
    </row>
    <row r="323" spans="1:5">
      <c r="A323" s="58">
        <v>2</v>
      </c>
      <c r="B323" s="58" t="s">
        <v>494</v>
      </c>
      <c r="C323" s="58" t="s">
        <v>483</v>
      </c>
      <c r="D323" s="59">
        <v>0</v>
      </c>
      <c r="E323" s="59">
        <v>5000000</v>
      </c>
    </row>
    <row r="324" spans="1:5">
      <c r="A324" s="58">
        <v>2</v>
      </c>
      <c r="B324" s="58" t="s">
        <v>495</v>
      </c>
      <c r="C324" s="58" t="s">
        <v>487</v>
      </c>
      <c r="D324" s="59">
        <v>0</v>
      </c>
      <c r="E324" s="59">
        <v>2000000</v>
      </c>
    </row>
    <row r="325" spans="1:5">
      <c r="A325" s="58">
        <v>2</v>
      </c>
      <c r="B325" s="58" t="s">
        <v>756</v>
      </c>
      <c r="C325" s="58" t="s">
        <v>757</v>
      </c>
      <c r="D325" s="59">
        <v>0</v>
      </c>
      <c r="E325" s="59">
        <v>0</v>
      </c>
    </row>
    <row r="326" spans="1:5">
      <c r="A326" s="58">
        <v>2</v>
      </c>
      <c r="B326" s="58" t="s">
        <v>758</v>
      </c>
      <c r="C326" s="58" t="s">
        <v>759</v>
      </c>
      <c r="D326" s="59">
        <v>0</v>
      </c>
      <c r="E326" s="59">
        <v>0</v>
      </c>
    </row>
    <row r="327" spans="1:5">
      <c r="A327" s="58">
        <v>2</v>
      </c>
      <c r="B327" s="58" t="s">
        <v>760</v>
      </c>
      <c r="C327" s="58" t="s">
        <v>761</v>
      </c>
      <c r="D327" s="59">
        <v>0</v>
      </c>
      <c r="E327" s="59">
        <v>0</v>
      </c>
    </row>
    <row r="328" spans="1:5">
      <c r="A328" s="58">
        <v>2</v>
      </c>
      <c r="B328" s="58" t="s">
        <v>496</v>
      </c>
      <c r="C328" s="58" t="s">
        <v>497</v>
      </c>
      <c r="D328" s="59">
        <v>148350000</v>
      </c>
      <c r="E328" s="59">
        <v>148350000</v>
      </c>
    </row>
    <row r="329" spans="1:5">
      <c r="A329" s="58">
        <v>2</v>
      </c>
      <c r="B329" s="58" t="s">
        <v>498</v>
      </c>
      <c r="C329" s="58" t="s">
        <v>499</v>
      </c>
      <c r="D329" s="59">
        <v>115350000</v>
      </c>
      <c r="E329" s="59">
        <v>115350000</v>
      </c>
    </row>
    <row r="330" spans="1:5">
      <c r="A330" s="58">
        <v>2</v>
      </c>
      <c r="B330" s="58" t="s">
        <v>500</v>
      </c>
      <c r="C330" s="58" t="s">
        <v>501</v>
      </c>
      <c r="D330" s="59">
        <v>20000000</v>
      </c>
      <c r="E330" s="59">
        <v>20000000</v>
      </c>
    </row>
    <row r="331" spans="1:5">
      <c r="A331" s="58">
        <v>2</v>
      </c>
      <c r="B331" s="58" t="s">
        <v>502</v>
      </c>
      <c r="C331" s="58" t="s">
        <v>503</v>
      </c>
      <c r="D331" s="59">
        <v>5000000</v>
      </c>
      <c r="E331" s="59">
        <v>5000000</v>
      </c>
    </row>
    <row r="332" spans="1:5">
      <c r="A332" s="58">
        <v>2</v>
      </c>
      <c r="B332" s="58" t="s">
        <v>504</v>
      </c>
      <c r="C332" s="58" t="s">
        <v>505</v>
      </c>
      <c r="D332" s="59">
        <v>8000000</v>
      </c>
      <c r="E332" s="59">
        <v>8000000</v>
      </c>
    </row>
    <row r="333" spans="1:5">
      <c r="A333" s="58">
        <v>2</v>
      </c>
      <c r="B333" s="58" t="s">
        <v>762</v>
      </c>
      <c r="C333" s="58" t="s">
        <v>763</v>
      </c>
      <c r="D333" s="59">
        <v>0</v>
      </c>
      <c r="E333" s="5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2"/>
  <sheetViews>
    <sheetView topLeftCell="A67" workbookViewId="0">
      <selection activeCell="E3" sqref="E3"/>
    </sheetView>
  </sheetViews>
  <sheetFormatPr baseColWidth="10" defaultColWidth="7.85546875" defaultRowHeight="12.75"/>
  <cols>
    <col min="1" max="1" width="4.42578125" bestFit="1" customWidth="1"/>
    <col min="2" max="2" width="9.85546875" bestFit="1" customWidth="1"/>
    <col min="3" max="3" width="49" customWidth="1"/>
    <col min="4" max="5" width="12.7109375" style="30" bestFit="1" customWidth="1"/>
  </cols>
  <sheetData>
    <row r="1" spans="1:5">
      <c r="A1" s="42" t="s">
        <v>562</v>
      </c>
      <c r="B1" s="42" t="s">
        <v>563</v>
      </c>
      <c r="C1" s="42" t="s">
        <v>564</v>
      </c>
      <c r="D1" s="43" t="s">
        <v>565</v>
      </c>
      <c r="E1" s="43" t="s">
        <v>566</v>
      </c>
    </row>
    <row r="2" spans="1:5">
      <c r="A2">
        <v>1</v>
      </c>
      <c r="B2" t="s">
        <v>764</v>
      </c>
      <c r="C2" t="s">
        <v>765</v>
      </c>
      <c r="D2" s="30">
        <v>7365537385</v>
      </c>
      <c r="E2" s="30">
        <v>9530365551</v>
      </c>
    </row>
    <row r="3" spans="1:5">
      <c r="A3">
        <v>1</v>
      </c>
      <c r="B3" t="s">
        <v>766</v>
      </c>
      <c r="C3" t="s">
        <v>767</v>
      </c>
      <c r="D3" s="30">
        <v>2090522142</v>
      </c>
      <c r="E3" s="30">
        <v>2054832021</v>
      </c>
    </row>
    <row r="4" spans="1:5">
      <c r="A4">
        <v>1</v>
      </c>
      <c r="B4" t="s">
        <v>768</v>
      </c>
      <c r="C4" t="s">
        <v>769</v>
      </c>
      <c r="D4" s="30">
        <v>1142219267</v>
      </c>
      <c r="E4" s="30">
        <v>1142219267</v>
      </c>
    </row>
    <row r="5" spans="1:5">
      <c r="A5">
        <v>1</v>
      </c>
      <c r="B5" t="s">
        <v>770</v>
      </c>
      <c r="C5" t="s">
        <v>771</v>
      </c>
      <c r="D5" s="30">
        <v>586500000</v>
      </c>
      <c r="E5" s="30">
        <v>586500000</v>
      </c>
    </row>
    <row r="6" spans="1:5">
      <c r="A6">
        <v>1</v>
      </c>
      <c r="B6" t="s">
        <v>772</v>
      </c>
      <c r="C6" t="s">
        <v>773</v>
      </c>
      <c r="D6" s="30">
        <v>416500000</v>
      </c>
      <c r="E6" s="30">
        <v>416500000</v>
      </c>
    </row>
    <row r="7" spans="1:5">
      <c r="A7">
        <v>1</v>
      </c>
      <c r="B7" t="s">
        <v>774</v>
      </c>
      <c r="C7" t="s">
        <v>775</v>
      </c>
      <c r="D7" s="30">
        <v>170000000</v>
      </c>
      <c r="E7" s="30">
        <v>170000000</v>
      </c>
    </row>
    <row r="8" spans="1:5">
      <c r="A8">
        <v>1</v>
      </c>
      <c r="B8" t="s">
        <v>776</v>
      </c>
      <c r="C8" t="s">
        <v>777</v>
      </c>
      <c r="D8" s="30">
        <v>555719267</v>
      </c>
      <c r="E8" s="30">
        <v>555719267</v>
      </c>
    </row>
    <row r="9" spans="1:5">
      <c r="A9">
        <v>1</v>
      </c>
      <c r="B9" t="s">
        <v>778</v>
      </c>
      <c r="C9" t="s">
        <v>779</v>
      </c>
      <c r="D9" s="30">
        <v>110000000</v>
      </c>
      <c r="E9" s="30">
        <v>110000000</v>
      </c>
    </row>
    <row r="10" spans="1:5">
      <c r="A10">
        <v>1</v>
      </c>
      <c r="B10" t="s">
        <v>780</v>
      </c>
      <c r="C10" t="s">
        <v>781</v>
      </c>
      <c r="D10" s="30">
        <v>50000000</v>
      </c>
      <c r="E10" s="30">
        <v>50000000</v>
      </c>
    </row>
    <row r="11" spans="1:5">
      <c r="A11">
        <v>1</v>
      </c>
      <c r="B11" t="s">
        <v>782</v>
      </c>
      <c r="C11" t="s">
        <v>783</v>
      </c>
      <c r="D11" s="30">
        <v>10000000</v>
      </c>
      <c r="E11" s="30">
        <v>10000000</v>
      </c>
    </row>
    <row r="12" spans="1:5">
      <c r="A12">
        <v>1</v>
      </c>
      <c r="B12" t="s">
        <v>784</v>
      </c>
      <c r="C12" t="s">
        <v>785</v>
      </c>
      <c r="D12" s="30">
        <v>11000000</v>
      </c>
      <c r="E12" s="30">
        <v>11000000</v>
      </c>
    </row>
    <row r="13" spans="1:5">
      <c r="A13">
        <v>1</v>
      </c>
      <c r="B13" t="s">
        <v>786</v>
      </c>
      <c r="C13" t="s">
        <v>787</v>
      </c>
      <c r="D13" s="30">
        <v>4000000</v>
      </c>
      <c r="E13" s="30">
        <v>4000000</v>
      </c>
    </row>
    <row r="14" spans="1:5">
      <c r="A14">
        <v>1</v>
      </c>
      <c r="B14" t="s">
        <v>788</v>
      </c>
      <c r="C14" t="s">
        <v>789</v>
      </c>
      <c r="D14" s="30">
        <v>38571267</v>
      </c>
      <c r="E14" s="30">
        <v>38571267</v>
      </c>
    </row>
    <row r="15" spans="1:5">
      <c r="A15">
        <v>1</v>
      </c>
      <c r="B15" t="s">
        <v>790</v>
      </c>
      <c r="C15" t="s">
        <v>791</v>
      </c>
      <c r="D15" s="30">
        <v>297148000</v>
      </c>
      <c r="E15" s="30">
        <v>297148000</v>
      </c>
    </row>
    <row r="16" spans="1:5">
      <c r="A16">
        <v>1</v>
      </c>
      <c r="B16" t="s">
        <v>792</v>
      </c>
      <c r="C16" t="s">
        <v>793</v>
      </c>
      <c r="D16" s="30">
        <v>25000000</v>
      </c>
      <c r="E16" s="30">
        <v>25000000</v>
      </c>
    </row>
    <row r="17" spans="1:5">
      <c r="A17">
        <v>1</v>
      </c>
      <c r="B17" t="s">
        <v>794</v>
      </c>
      <c r="C17" t="s">
        <v>795</v>
      </c>
      <c r="D17" s="30">
        <v>10000000</v>
      </c>
      <c r="E17" s="30">
        <v>10000000</v>
      </c>
    </row>
    <row r="18" spans="1:5">
      <c r="A18">
        <v>1</v>
      </c>
      <c r="B18" t="s">
        <v>796</v>
      </c>
      <c r="C18" t="s">
        <v>797</v>
      </c>
      <c r="D18" s="30">
        <v>136750000</v>
      </c>
      <c r="E18" s="30">
        <v>136750000</v>
      </c>
    </row>
    <row r="19" spans="1:5">
      <c r="A19">
        <v>1</v>
      </c>
      <c r="B19" t="s">
        <v>798</v>
      </c>
      <c r="C19" t="s">
        <v>799</v>
      </c>
      <c r="D19" s="30">
        <v>45000000</v>
      </c>
      <c r="E19" s="30">
        <v>45000000</v>
      </c>
    </row>
    <row r="20" spans="1:5">
      <c r="A20">
        <v>1</v>
      </c>
      <c r="B20" t="s">
        <v>800</v>
      </c>
      <c r="C20" t="s">
        <v>801</v>
      </c>
      <c r="D20" s="30">
        <v>6000000</v>
      </c>
      <c r="E20" s="30">
        <v>6000000</v>
      </c>
    </row>
    <row r="21" spans="1:5">
      <c r="A21">
        <v>1</v>
      </c>
      <c r="B21" t="s">
        <v>802</v>
      </c>
      <c r="C21" t="s">
        <v>803</v>
      </c>
      <c r="D21" s="30">
        <v>11000000</v>
      </c>
      <c r="E21" s="30">
        <v>11000000</v>
      </c>
    </row>
    <row r="22" spans="1:5">
      <c r="A22">
        <v>1</v>
      </c>
      <c r="B22" t="s">
        <v>804</v>
      </c>
      <c r="C22" t="s">
        <v>805</v>
      </c>
      <c r="D22" s="30">
        <v>28000000</v>
      </c>
      <c r="E22" s="30">
        <v>28000000</v>
      </c>
    </row>
    <row r="23" spans="1:5">
      <c r="A23">
        <v>1</v>
      </c>
      <c r="B23" t="s">
        <v>806</v>
      </c>
      <c r="C23" t="s">
        <v>807</v>
      </c>
      <c r="D23" s="30">
        <v>82450000</v>
      </c>
      <c r="E23" s="30">
        <v>82450000</v>
      </c>
    </row>
    <row r="24" spans="1:5">
      <c r="A24">
        <v>1</v>
      </c>
      <c r="B24" t="s">
        <v>808</v>
      </c>
      <c r="C24" t="s">
        <v>809</v>
      </c>
      <c r="D24" s="30">
        <v>2500000</v>
      </c>
      <c r="E24" s="30">
        <v>2500000</v>
      </c>
    </row>
    <row r="25" spans="1:5">
      <c r="A25">
        <v>1</v>
      </c>
      <c r="B25" t="s">
        <v>810</v>
      </c>
      <c r="C25" t="s">
        <v>811</v>
      </c>
      <c r="D25" s="30">
        <v>1300000</v>
      </c>
      <c r="E25" s="30">
        <v>1300000</v>
      </c>
    </row>
    <row r="26" spans="1:5">
      <c r="A26">
        <v>1</v>
      </c>
      <c r="B26" t="s">
        <v>812</v>
      </c>
      <c r="C26" t="s">
        <v>813</v>
      </c>
      <c r="D26" s="30">
        <v>1500000</v>
      </c>
      <c r="E26" s="30">
        <v>1500000</v>
      </c>
    </row>
    <row r="27" spans="1:5">
      <c r="A27">
        <v>1</v>
      </c>
      <c r="B27" t="s">
        <v>814</v>
      </c>
      <c r="C27" t="s">
        <v>815</v>
      </c>
      <c r="D27" s="30">
        <v>67150000</v>
      </c>
      <c r="E27" s="30">
        <v>67150000</v>
      </c>
    </row>
    <row r="28" spans="1:5">
      <c r="A28">
        <v>1</v>
      </c>
      <c r="B28" t="s">
        <v>816</v>
      </c>
      <c r="C28" t="s">
        <v>817</v>
      </c>
      <c r="D28" s="30">
        <v>5000000</v>
      </c>
      <c r="E28" s="30">
        <v>5000000</v>
      </c>
    </row>
    <row r="29" spans="1:5">
      <c r="A29">
        <v>1</v>
      </c>
      <c r="B29" t="s">
        <v>818</v>
      </c>
      <c r="C29" t="s">
        <v>819</v>
      </c>
      <c r="D29" s="30">
        <v>5000000</v>
      </c>
      <c r="E29" s="30">
        <v>5000000</v>
      </c>
    </row>
    <row r="30" spans="1:5">
      <c r="A30">
        <v>1</v>
      </c>
      <c r="B30" t="s">
        <v>820</v>
      </c>
      <c r="C30" t="s">
        <v>821</v>
      </c>
      <c r="D30" s="30">
        <v>5300000</v>
      </c>
      <c r="E30" s="30">
        <v>5300000</v>
      </c>
    </row>
    <row r="31" spans="1:5">
      <c r="A31">
        <v>1</v>
      </c>
      <c r="B31" t="s">
        <v>822</v>
      </c>
      <c r="C31" t="s">
        <v>823</v>
      </c>
      <c r="D31" s="30">
        <v>5000000</v>
      </c>
      <c r="E31" s="30">
        <v>5000000</v>
      </c>
    </row>
    <row r="32" spans="1:5">
      <c r="A32">
        <v>1</v>
      </c>
      <c r="B32" t="s">
        <v>824</v>
      </c>
      <c r="C32" t="s">
        <v>825</v>
      </c>
      <c r="D32" s="30">
        <v>300000</v>
      </c>
      <c r="E32" s="30">
        <v>300000</v>
      </c>
    </row>
    <row r="33" spans="1:5">
      <c r="A33">
        <v>1</v>
      </c>
      <c r="B33" t="s">
        <v>826</v>
      </c>
      <c r="C33" t="s">
        <v>827</v>
      </c>
      <c r="D33" s="30">
        <v>4000000</v>
      </c>
      <c r="E33" s="30">
        <v>4000000</v>
      </c>
    </row>
    <row r="34" spans="1:5">
      <c r="A34">
        <v>1</v>
      </c>
      <c r="B34" t="s">
        <v>828</v>
      </c>
      <c r="C34" t="s">
        <v>829</v>
      </c>
      <c r="D34" s="30">
        <v>2000000</v>
      </c>
      <c r="E34" s="30">
        <v>2000000</v>
      </c>
    </row>
    <row r="35" spans="1:5">
      <c r="A35">
        <v>1</v>
      </c>
      <c r="B35" t="s">
        <v>830</v>
      </c>
      <c r="C35" t="s">
        <v>831</v>
      </c>
      <c r="D35" s="30">
        <v>2000000</v>
      </c>
      <c r="E35" s="30">
        <v>2000000</v>
      </c>
    </row>
    <row r="36" spans="1:5">
      <c r="A36">
        <v>1</v>
      </c>
      <c r="B36" t="s">
        <v>832</v>
      </c>
      <c r="C36" t="s">
        <v>833</v>
      </c>
      <c r="D36" s="30">
        <v>811552875</v>
      </c>
      <c r="E36" s="30">
        <v>775862754</v>
      </c>
    </row>
    <row r="37" spans="1:5">
      <c r="A37">
        <v>1</v>
      </c>
      <c r="B37" t="s">
        <v>834</v>
      </c>
      <c r="C37" t="s">
        <v>835</v>
      </c>
      <c r="D37" s="30">
        <v>776552875</v>
      </c>
      <c r="E37" s="30">
        <v>740862754</v>
      </c>
    </row>
    <row r="38" spans="1:5">
      <c r="A38">
        <v>1</v>
      </c>
      <c r="B38" t="s">
        <v>836</v>
      </c>
      <c r="C38" t="s">
        <v>837</v>
      </c>
      <c r="D38" s="30">
        <v>776552875</v>
      </c>
      <c r="E38" s="30">
        <v>740862754</v>
      </c>
    </row>
    <row r="39" spans="1:5">
      <c r="A39">
        <v>1</v>
      </c>
      <c r="B39" t="s">
        <v>838</v>
      </c>
      <c r="C39" t="s">
        <v>839</v>
      </c>
      <c r="D39" s="30">
        <v>35000000</v>
      </c>
      <c r="E39" s="30">
        <v>35000000</v>
      </c>
    </row>
    <row r="40" spans="1:5">
      <c r="A40">
        <v>1</v>
      </c>
      <c r="B40" t="s">
        <v>840</v>
      </c>
      <c r="C40" t="s">
        <v>841</v>
      </c>
      <c r="D40" s="30">
        <v>35000000</v>
      </c>
      <c r="E40" s="30">
        <v>35000000</v>
      </c>
    </row>
    <row r="41" spans="1:5">
      <c r="A41">
        <v>1</v>
      </c>
      <c r="B41" t="s">
        <v>842</v>
      </c>
      <c r="C41" t="s">
        <v>843</v>
      </c>
      <c r="D41" s="30">
        <v>5275015243</v>
      </c>
      <c r="E41" s="30">
        <v>7475533530</v>
      </c>
    </row>
    <row r="42" spans="1:5">
      <c r="A42">
        <v>1</v>
      </c>
      <c r="B42" t="s">
        <v>844</v>
      </c>
      <c r="C42" t="s">
        <v>15</v>
      </c>
      <c r="D42" s="30">
        <v>309222770</v>
      </c>
      <c r="E42" s="30">
        <v>587482049</v>
      </c>
    </row>
    <row r="43" spans="1:5">
      <c r="A43">
        <v>1</v>
      </c>
      <c r="B43" t="s">
        <v>845</v>
      </c>
      <c r="C43" t="s">
        <v>846</v>
      </c>
      <c r="D43" s="30">
        <v>309222770</v>
      </c>
      <c r="E43" s="30">
        <v>300708049</v>
      </c>
    </row>
    <row r="44" spans="1:5">
      <c r="A44">
        <v>1</v>
      </c>
      <c r="B44" t="s">
        <v>847</v>
      </c>
      <c r="C44" t="s">
        <v>848</v>
      </c>
      <c r="D44" s="30">
        <v>0</v>
      </c>
      <c r="E44" s="30">
        <v>286774000</v>
      </c>
    </row>
    <row r="45" spans="1:5">
      <c r="A45">
        <v>1</v>
      </c>
      <c r="B45" t="s">
        <v>849</v>
      </c>
      <c r="C45" t="s">
        <v>850</v>
      </c>
      <c r="D45" s="30">
        <v>50330399</v>
      </c>
      <c r="E45" s="30">
        <v>58328930</v>
      </c>
    </row>
    <row r="46" spans="1:5">
      <c r="A46">
        <v>1</v>
      </c>
      <c r="B46" t="s">
        <v>851</v>
      </c>
      <c r="C46" t="s">
        <v>852</v>
      </c>
      <c r="D46" s="30">
        <v>595278012</v>
      </c>
      <c r="E46" s="30">
        <v>595278012</v>
      </c>
    </row>
    <row r="47" spans="1:5">
      <c r="A47">
        <v>1</v>
      </c>
      <c r="B47" t="s">
        <v>853</v>
      </c>
      <c r="C47" t="s">
        <v>854</v>
      </c>
      <c r="D47" s="30">
        <v>1059635765</v>
      </c>
      <c r="E47" s="30">
        <v>943190158</v>
      </c>
    </row>
    <row r="48" spans="1:5">
      <c r="A48">
        <v>1</v>
      </c>
      <c r="B48" t="s">
        <v>855</v>
      </c>
      <c r="C48" t="s">
        <v>856</v>
      </c>
      <c r="D48" s="30">
        <v>64774568</v>
      </c>
      <c r="E48" s="30">
        <v>27163133</v>
      </c>
    </row>
    <row r="49" spans="1:5">
      <c r="A49">
        <v>1</v>
      </c>
      <c r="B49" t="s">
        <v>857</v>
      </c>
      <c r="C49" t="s">
        <v>858</v>
      </c>
      <c r="D49" s="30">
        <v>48580927</v>
      </c>
      <c r="E49" s="30">
        <v>20372350</v>
      </c>
    </row>
    <row r="50" spans="1:5">
      <c r="A50">
        <v>1</v>
      </c>
      <c r="B50" t="s">
        <v>859</v>
      </c>
      <c r="C50" t="s">
        <v>860</v>
      </c>
      <c r="D50" s="30">
        <v>946280270</v>
      </c>
      <c r="E50" s="30">
        <v>895654675</v>
      </c>
    </row>
    <row r="51" spans="1:5">
      <c r="A51">
        <v>1</v>
      </c>
      <c r="B51" t="s">
        <v>861</v>
      </c>
      <c r="C51" t="s">
        <v>862</v>
      </c>
      <c r="D51" s="30">
        <v>3113054297</v>
      </c>
      <c r="E51" s="30">
        <v>4988857603</v>
      </c>
    </row>
    <row r="52" spans="1:5">
      <c r="A52">
        <v>1</v>
      </c>
      <c r="B52" t="s">
        <v>863</v>
      </c>
      <c r="C52" t="s">
        <v>864</v>
      </c>
      <c r="D52" s="30">
        <v>2925302138</v>
      </c>
      <c r="E52" s="30">
        <v>4761583736</v>
      </c>
    </row>
    <row r="53" spans="1:5">
      <c r="A53">
        <v>1</v>
      </c>
      <c r="B53" t="s">
        <v>865</v>
      </c>
      <c r="C53" t="s">
        <v>866</v>
      </c>
      <c r="D53" s="30">
        <v>2009821135</v>
      </c>
      <c r="E53" s="30">
        <v>2192699422</v>
      </c>
    </row>
    <row r="54" spans="1:5">
      <c r="A54">
        <v>1</v>
      </c>
      <c r="B54" t="s">
        <v>867</v>
      </c>
      <c r="C54" t="s">
        <v>868</v>
      </c>
      <c r="D54" s="30">
        <v>0</v>
      </c>
      <c r="E54" s="30">
        <v>0</v>
      </c>
    </row>
    <row r="55" spans="1:5">
      <c r="A55">
        <v>1</v>
      </c>
      <c r="B55" t="s">
        <v>869</v>
      </c>
      <c r="C55" t="s">
        <v>870</v>
      </c>
      <c r="D55" s="30">
        <v>56478503</v>
      </c>
      <c r="E55" s="30">
        <v>56478503</v>
      </c>
    </row>
    <row r="56" spans="1:5">
      <c r="A56">
        <v>1</v>
      </c>
      <c r="B56" t="s">
        <v>871</v>
      </c>
      <c r="C56" t="s">
        <v>872</v>
      </c>
      <c r="D56" s="30">
        <v>800000000</v>
      </c>
      <c r="E56" s="30">
        <v>1156567270</v>
      </c>
    </row>
    <row r="57" spans="1:5">
      <c r="A57">
        <v>1</v>
      </c>
      <c r="B57" t="s">
        <v>873</v>
      </c>
      <c r="C57" t="s">
        <v>874</v>
      </c>
      <c r="D57" s="30">
        <v>0</v>
      </c>
      <c r="E57" s="30">
        <v>1296836041</v>
      </c>
    </row>
    <row r="58" spans="1:5">
      <c r="A58">
        <v>1</v>
      </c>
      <c r="B58" t="s">
        <v>875</v>
      </c>
      <c r="C58" t="s">
        <v>876</v>
      </c>
      <c r="D58" s="30">
        <v>59002500</v>
      </c>
      <c r="E58" s="30">
        <v>59002500</v>
      </c>
    </row>
    <row r="59" spans="1:5">
      <c r="A59">
        <v>1</v>
      </c>
      <c r="B59" t="s">
        <v>877</v>
      </c>
      <c r="C59" t="s">
        <v>878</v>
      </c>
      <c r="D59" s="30">
        <v>0</v>
      </c>
      <c r="E59" s="30">
        <v>0</v>
      </c>
    </row>
    <row r="60" spans="1:5">
      <c r="A60">
        <v>1</v>
      </c>
      <c r="B60" t="s">
        <v>879</v>
      </c>
      <c r="C60" t="s">
        <v>880</v>
      </c>
      <c r="D60" s="30">
        <v>25000000</v>
      </c>
      <c r="E60" s="30">
        <v>51893549</v>
      </c>
    </row>
    <row r="61" spans="1:5">
      <c r="A61">
        <v>1</v>
      </c>
      <c r="B61" t="s">
        <v>881</v>
      </c>
      <c r="C61" t="s">
        <v>882</v>
      </c>
      <c r="D61" s="30">
        <v>25000000</v>
      </c>
      <c r="E61" s="30">
        <v>25000000</v>
      </c>
    </row>
    <row r="62" spans="1:5">
      <c r="A62">
        <v>1</v>
      </c>
      <c r="B62" t="s">
        <v>883</v>
      </c>
      <c r="C62" t="s">
        <v>884</v>
      </c>
      <c r="D62" s="30">
        <v>25000000</v>
      </c>
      <c r="E62" s="30">
        <v>25000000</v>
      </c>
    </row>
    <row r="63" spans="1:5">
      <c r="A63">
        <v>1</v>
      </c>
      <c r="B63" t="s">
        <v>885</v>
      </c>
      <c r="C63" t="s">
        <v>886</v>
      </c>
      <c r="D63" s="30">
        <v>0</v>
      </c>
      <c r="E63" s="30">
        <v>0</v>
      </c>
    </row>
    <row r="64" spans="1:5">
      <c r="A64">
        <v>1</v>
      </c>
      <c r="B64" t="s">
        <v>887</v>
      </c>
      <c r="C64" t="s">
        <v>888</v>
      </c>
      <c r="D64" s="30">
        <v>0</v>
      </c>
      <c r="E64" s="30">
        <v>0</v>
      </c>
    </row>
    <row r="65" spans="1:5">
      <c r="A65">
        <v>1</v>
      </c>
      <c r="B65" t="s">
        <v>889</v>
      </c>
      <c r="C65" t="s">
        <v>890</v>
      </c>
      <c r="D65" s="30">
        <v>0</v>
      </c>
      <c r="E65" s="30">
        <v>0</v>
      </c>
    </row>
    <row r="66" spans="1:5">
      <c r="A66">
        <v>1</v>
      </c>
      <c r="B66" t="s">
        <v>891</v>
      </c>
      <c r="C66" t="s">
        <v>892</v>
      </c>
      <c r="D66" s="30">
        <v>0</v>
      </c>
      <c r="E66" s="30">
        <v>0</v>
      </c>
    </row>
    <row r="67" spans="1:5">
      <c r="A67">
        <v>1</v>
      </c>
      <c r="B67" t="s">
        <v>893</v>
      </c>
      <c r="C67" t="s">
        <v>894</v>
      </c>
      <c r="D67" s="30">
        <v>0</v>
      </c>
      <c r="E67" s="30">
        <v>0</v>
      </c>
    </row>
    <row r="68" spans="1:5">
      <c r="A68">
        <v>1</v>
      </c>
      <c r="B68" t="s">
        <v>895</v>
      </c>
      <c r="C68" t="s">
        <v>896</v>
      </c>
      <c r="D68" s="30">
        <v>0</v>
      </c>
      <c r="E68" s="30">
        <v>0</v>
      </c>
    </row>
    <row r="69" spans="1:5">
      <c r="A69">
        <v>1</v>
      </c>
      <c r="B69" t="s">
        <v>897</v>
      </c>
      <c r="C69" t="s">
        <v>898</v>
      </c>
      <c r="D69" s="30">
        <v>0</v>
      </c>
      <c r="E69" s="30">
        <v>26893549</v>
      </c>
    </row>
    <row r="70" spans="1:5">
      <c r="A70">
        <v>1</v>
      </c>
      <c r="B70" t="s">
        <v>899</v>
      </c>
      <c r="C70" t="s">
        <v>900</v>
      </c>
      <c r="D70" s="30">
        <v>0</v>
      </c>
      <c r="E70" s="30">
        <v>0</v>
      </c>
    </row>
    <row r="71" spans="1:5">
      <c r="A71">
        <v>1</v>
      </c>
      <c r="B71" t="s">
        <v>901</v>
      </c>
      <c r="C71" t="s">
        <v>902</v>
      </c>
      <c r="D71" s="30">
        <v>0</v>
      </c>
      <c r="E71" s="30">
        <v>0</v>
      </c>
    </row>
    <row r="72" spans="1:5">
      <c r="A72">
        <v>1</v>
      </c>
      <c r="B72" t="s">
        <v>903</v>
      </c>
      <c r="C72" t="s">
        <v>904</v>
      </c>
      <c r="D72" s="30">
        <v>0</v>
      </c>
      <c r="E72" s="30">
        <v>0</v>
      </c>
    </row>
    <row r="73" spans="1:5">
      <c r="A73">
        <v>1</v>
      </c>
      <c r="B73" t="s">
        <v>905</v>
      </c>
      <c r="C73" t="s">
        <v>906</v>
      </c>
      <c r="D73" s="30">
        <v>0</v>
      </c>
      <c r="E73" s="30">
        <v>26893549</v>
      </c>
    </row>
    <row r="74" spans="1:5">
      <c r="A74">
        <v>1</v>
      </c>
      <c r="B74" t="s">
        <v>907</v>
      </c>
      <c r="C74" t="s">
        <v>23</v>
      </c>
      <c r="D74" s="30">
        <v>131584659</v>
      </c>
      <c r="E74" s="30">
        <v>141725498</v>
      </c>
    </row>
    <row r="75" spans="1:5">
      <c r="A75">
        <v>1</v>
      </c>
      <c r="B75" t="s">
        <v>908</v>
      </c>
      <c r="C75" t="s">
        <v>909</v>
      </c>
      <c r="D75" s="30">
        <v>130084659</v>
      </c>
      <c r="E75" s="30">
        <v>140225498</v>
      </c>
    </row>
    <row r="76" spans="1:5">
      <c r="A76">
        <v>1</v>
      </c>
      <c r="B76" t="s">
        <v>910</v>
      </c>
      <c r="C76" t="s">
        <v>911</v>
      </c>
      <c r="D76" s="30">
        <v>1500000</v>
      </c>
      <c r="E76" s="30">
        <v>1500000</v>
      </c>
    </row>
    <row r="77" spans="1:5">
      <c r="A77">
        <v>1</v>
      </c>
      <c r="B77" t="s">
        <v>912</v>
      </c>
      <c r="C77" t="s">
        <v>913</v>
      </c>
      <c r="D77" s="30">
        <v>0</v>
      </c>
      <c r="E77" s="30">
        <v>0</v>
      </c>
    </row>
    <row r="78" spans="1:5">
      <c r="A78">
        <v>1</v>
      </c>
      <c r="B78" t="s">
        <v>914</v>
      </c>
      <c r="C78" t="s">
        <v>915</v>
      </c>
      <c r="D78" s="30">
        <v>31167500</v>
      </c>
      <c r="E78" s="30">
        <v>33654820</v>
      </c>
    </row>
    <row r="79" spans="1:5">
      <c r="A79">
        <v>1</v>
      </c>
      <c r="B79" t="s">
        <v>916</v>
      </c>
      <c r="C79" t="s">
        <v>917</v>
      </c>
      <c r="D79" s="30">
        <v>31167500</v>
      </c>
      <c r="E79" s="30">
        <v>33654820</v>
      </c>
    </row>
    <row r="80" spans="1:5">
      <c r="A80">
        <v>1</v>
      </c>
      <c r="B80" t="s">
        <v>918</v>
      </c>
      <c r="C80" t="s">
        <v>919</v>
      </c>
      <c r="D80" s="30">
        <v>6000000</v>
      </c>
      <c r="E80" s="30">
        <v>6000000</v>
      </c>
    </row>
    <row r="81" spans="1:5">
      <c r="A81">
        <v>1</v>
      </c>
      <c r="B81" t="s">
        <v>920</v>
      </c>
      <c r="C81" t="s">
        <v>921</v>
      </c>
      <c r="D81" s="30">
        <v>4000000</v>
      </c>
      <c r="E81" s="30">
        <v>4000000</v>
      </c>
    </row>
    <row r="82" spans="1:5">
      <c r="A82">
        <v>1</v>
      </c>
      <c r="B82" t="s">
        <v>922</v>
      </c>
      <c r="C82" t="s">
        <v>923</v>
      </c>
      <c r="D82" s="30">
        <v>19667500</v>
      </c>
      <c r="E82" s="30">
        <v>19667500</v>
      </c>
    </row>
    <row r="83" spans="1:5">
      <c r="A83">
        <v>1</v>
      </c>
      <c r="B83" t="s">
        <v>924</v>
      </c>
      <c r="C83" t="s">
        <v>902</v>
      </c>
      <c r="D83" s="30">
        <v>0</v>
      </c>
      <c r="E83" s="30">
        <v>2487320</v>
      </c>
    </row>
    <row r="84" spans="1:5">
      <c r="A84">
        <v>1</v>
      </c>
      <c r="B84" t="s">
        <v>925</v>
      </c>
      <c r="C84" t="s">
        <v>886</v>
      </c>
      <c r="D84" s="30">
        <v>1500000</v>
      </c>
      <c r="E84" s="30">
        <v>1500000</v>
      </c>
    </row>
    <row r="85" spans="1:5">
      <c r="A85">
        <v>1</v>
      </c>
      <c r="B85" t="s">
        <v>926</v>
      </c>
      <c r="C85" t="s">
        <v>927</v>
      </c>
      <c r="D85" s="30">
        <v>125000000</v>
      </c>
      <c r="E85" s="30">
        <v>125000000</v>
      </c>
    </row>
    <row r="86" spans="1:5">
      <c r="A86">
        <v>1</v>
      </c>
      <c r="B86" t="s">
        <v>928</v>
      </c>
      <c r="C86" t="s">
        <v>929</v>
      </c>
      <c r="D86" s="30">
        <v>52000000</v>
      </c>
      <c r="E86" s="30">
        <v>52000000</v>
      </c>
    </row>
    <row r="87" spans="1:5">
      <c r="A87">
        <v>1</v>
      </c>
      <c r="B87" t="s">
        <v>930</v>
      </c>
      <c r="C87" t="s">
        <v>931</v>
      </c>
      <c r="D87" s="30">
        <v>40000000</v>
      </c>
      <c r="E87" s="30">
        <v>40000000</v>
      </c>
    </row>
    <row r="88" spans="1:5">
      <c r="A88">
        <v>1</v>
      </c>
      <c r="B88" t="s">
        <v>932</v>
      </c>
      <c r="C88" t="s">
        <v>933</v>
      </c>
      <c r="D88" s="30">
        <v>12000000</v>
      </c>
      <c r="E88" s="30">
        <v>12000000</v>
      </c>
    </row>
    <row r="89" spans="1:5">
      <c r="A89">
        <v>1</v>
      </c>
      <c r="B89" t="s">
        <v>934</v>
      </c>
      <c r="C89" t="s">
        <v>935</v>
      </c>
      <c r="D89" s="30">
        <v>64000000</v>
      </c>
      <c r="E89" s="30">
        <v>64000000</v>
      </c>
    </row>
    <row r="90" spans="1:5">
      <c r="A90">
        <v>1</v>
      </c>
      <c r="B90" t="s">
        <v>936</v>
      </c>
      <c r="C90" t="s">
        <v>937</v>
      </c>
      <c r="D90" s="30">
        <v>20000000</v>
      </c>
      <c r="E90" s="30">
        <v>20000000</v>
      </c>
    </row>
    <row r="91" spans="1:5">
      <c r="A91">
        <v>1</v>
      </c>
      <c r="B91" t="s">
        <v>938</v>
      </c>
      <c r="C91" t="s">
        <v>939</v>
      </c>
      <c r="D91" s="30">
        <v>5000000</v>
      </c>
      <c r="E91" s="30">
        <v>5000000</v>
      </c>
    </row>
    <row r="92" spans="1:5">
      <c r="A92">
        <v>1</v>
      </c>
      <c r="B92" t="s">
        <v>940</v>
      </c>
      <c r="C92" t="s">
        <v>941</v>
      </c>
      <c r="D92" s="30">
        <v>12000000</v>
      </c>
      <c r="E92" s="30">
        <v>12000000</v>
      </c>
    </row>
    <row r="93" spans="1:5">
      <c r="A93">
        <v>1</v>
      </c>
      <c r="B93" t="s">
        <v>942</v>
      </c>
      <c r="C93" t="s">
        <v>943</v>
      </c>
      <c r="D93" s="30">
        <v>27000000</v>
      </c>
      <c r="E93" s="30">
        <v>27000000</v>
      </c>
    </row>
    <row r="94" spans="1:5">
      <c r="A94">
        <v>1</v>
      </c>
      <c r="B94" t="s">
        <v>944</v>
      </c>
      <c r="C94" t="s">
        <v>945</v>
      </c>
      <c r="D94" s="30">
        <v>6000000</v>
      </c>
      <c r="E94" s="30">
        <v>6000000</v>
      </c>
    </row>
    <row r="95" spans="1:5">
      <c r="A95">
        <v>1</v>
      </c>
      <c r="B95" t="s">
        <v>946</v>
      </c>
      <c r="C95" t="s">
        <v>947</v>
      </c>
      <c r="D95" s="30">
        <v>6000000</v>
      </c>
      <c r="E95" s="30">
        <v>6000000</v>
      </c>
    </row>
    <row r="96" spans="1:5">
      <c r="A96">
        <v>1</v>
      </c>
      <c r="B96" t="s">
        <v>948</v>
      </c>
      <c r="C96" t="s">
        <v>949</v>
      </c>
      <c r="D96" s="30">
        <v>3000000</v>
      </c>
      <c r="E96" s="30">
        <v>3000000</v>
      </c>
    </row>
    <row r="97" spans="1:5">
      <c r="A97">
        <v>1</v>
      </c>
      <c r="B97" t="s">
        <v>950</v>
      </c>
      <c r="C97" t="s">
        <v>951</v>
      </c>
      <c r="D97" s="30">
        <v>3000000</v>
      </c>
      <c r="E97" s="30">
        <v>3000000</v>
      </c>
    </row>
    <row r="98" spans="1:5">
      <c r="A98">
        <v>1</v>
      </c>
      <c r="B98" t="s">
        <v>952</v>
      </c>
      <c r="C98" t="s">
        <v>953</v>
      </c>
      <c r="D98" s="30">
        <v>0</v>
      </c>
      <c r="E98" s="30">
        <v>154902778</v>
      </c>
    </row>
    <row r="99" spans="1:5">
      <c r="A99">
        <v>1</v>
      </c>
      <c r="B99" t="s">
        <v>954</v>
      </c>
      <c r="C99" t="s">
        <v>955</v>
      </c>
      <c r="D99" s="30">
        <v>0</v>
      </c>
      <c r="E99" s="30">
        <v>0</v>
      </c>
    </row>
    <row r="100" spans="1:5">
      <c r="A100">
        <v>1</v>
      </c>
      <c r="B100" t="s">
        <v>956</v>
      </c>
      <c r="C100" t="s">
        <v>957</v>
      </c>
      <c r="D100" s="30">
        <v>0</v>
      </c>
      <c r="E100" s="30">
        <v>0</v>
      </c>
    </row>
    <row r="101" spans="1:5">
      <c r="A101">
        <v>1</v>
      </c>
      <c r="B101" t="s">
        <v>958</v>
      </c>
      <c r="C101" t="s">
        <v>448</v>
      </c>
      <c r="D101" s="30">
        <v>0</v>
      </c>
      <c r="E101" s="30">
        <v>0</v>
      </c>
    </row>
    <row r="102" spans="1:5">
      <c r="A102">
        <v>1</v>
      </c>
      <c r="B102" t="s">
        <v>959</v>
      </c>
      <c r="C102" t="s">
        <v>450</v>
      </c>
      <c r="D102" s="30">
        <v>0</v>
      </c>
      <c r="E102" s="30">
        <v>0</v>
      </c>
    </row>
    <row r="103" spans="1:5">
      <c r="A103">
        <v>1</v>
      </c>
      <c r="B103" t="s">
        <v>960</v>
      </c>
      <c r="C103" t="s">
        <v>961</v>
      </c>
      <c r="D103" s="30">
        <v>0</v>
      </c>
      <c r="E103" s="30">
        <v>0</v>
      </c>
    </row>
    <row r="104" spans="1:5">
      <c r="A104">
        <v>1</v>
      </c>
      <c r="B104" t="s">
        <v>962</v>
      </c>
      <c r="C104" t="s">
        <v>454</v>
      </c>
      <c r="D104" s="30">
        <v>0</v>
      </c>
      <c r="E104" s="30">
        <v>0</v>
      </c>
    </row>
    <row r="105" spans="1:5">
      <c r="A105">
        <v>1</v>
      </c>
      <c r="B105" t="s">
        <v>963</v>
      </c>
      <c r="C105" t="s">
        <v>456</v>
      </c>
      <c r="D105" s="30">
        <v>0</v>
      </c>
      <c r="E105" s="30">
        <v>0</v>
      </c>
    </row>
    <row r="106" spans="1:5">
      <c r="A106">
        <v>1</v>
      </c>
      <c r="B106" t="s">
        <v>964</v>
      </c>
      <c r="C106" t="s">
        <v>460</v>
      </c>
      <c r="D106" s="30">
        <v>0</v>
      </c>
      <c r="E106" s="30">
        <v>0</v>
      </c>
    </row>
    <row r="107" spans="1:5">
      <c r="A107">
        <v>1</v>
      </c>
      <c r="B107" t="s">
        <v>965</v>
      </c>
      <c r="C107" t="s">
        <v>966</v>
      </c>
      <c r="D107" s="30">
        <v>0</v>
      </c>
      <c r="E107" s="30">
        <v>0</v>
      </c>
    </row>
    <row r="108" spans="1:5">
      <c r="A108">
        <v>1</v>
      </c>
      <c r="B108" t="s">
        <v>967</v>
      </c>
      <c r="C108" t="s">
        <v>968</v>
      </c>
      <c r="D108" s="30">
        <v>0</v>
      </c>
      <c r="E108" s="30">
        <v>0</v>
      </c>
    </row>
    <row r="109" spans="1:5">
      <c r="A109">
        <v>1</v>
      </c>
      <c r="B109" t="s">
        <v>969</v>
      </c>
      <c r="C109" t="s">
        <v>470</v>
      </c>
      <c r="D109" s="30">
        <v>0</v>
      </c>
      <c r="E109" s="30">
        <v>0</v>
      </c>
    </row>
    <row r="110" spans="1:5">
      <c r="A110">
        <v>1</v>
      </c>
      <c r="B110" t="s">
        <v>970</v>
      </c>
      <c r="C110" t="s">
        <v>483</v>
      </c>
      <c r="D110" s="30">
        <v>0</v>
      </c>
      <c r="E110" s="30">
        <v>0</v>
      </c>
    </row>
    <row r="111" spans="1:5">
      <c r="A111">
        <v>1</v>
      </c>
      <c r="B111" t="s">
        <v>971</v>
      </c>
      <c r="C111" t="s">
        <v>972</v>
      </c>
      <c r="D111" s="30">
        <v>0</v>
      </c>
      <c r="E111" s="30">
        <v>0</v>
      </c>
    </row>
    <row r="112" spans="1:5">
      <c r="A112">
        <v>1</v>
      </c>
      <c r="B112" t="s">
        <v>973</v>
      </c>
      <c r="C112" t="s">
        <v>109</v>
      </c>
      <c r="D112" s="30">
        <v>0</v>
      </c>
      <c r="E112" s="30">
        <v>154902778</v>
      </c>
    </row>
    <row r="113" spans="1:5">
      <c r="A113">
        <v>1</v>
      </c>
      <c r="B113" t="s">
        <v>974</v>
      </c>
      <c r="C113" t="s">
        <v>975</v>
      </c>
      <c r="D113" s="30">
        <v>0</v>
      </c>
      <c r="E113" s="30">
        <v>77451389</v>
      </c>
    </row>
    <row r="114" spans="1:5">
      <c r="A114">
        <v>1</v>
      </c>
      <c r="B114" t="s">
        <v>976</v>
      </c>
      <c r="C114" t="s">
        <v>977</v>
      </c>
      <c r="D114" s="30">
        <v>0</v>
      </c>
      <c r="E114" s="30">
        <v>77451389</v>
      </c>
    </row>
    <row r="115" spans="1:5">
      <c r="A115">
        <v>1</v>
      </c>
      <c r="B115" t="s">
        <v>978</v>
      </c>
      <c r="C115" t="s">
        <v>979</v>
      </c>
      <c r="D115" s="30">
        <v>0</v>
      </c>
      <c r="E115" s="30">
        <v>0</v>
      </c>
    </row>
    <row r="116" spans="1:5">
      <c r="A116">
        <v>1</v>
      </c>
      <c r="B116" t="s">
        <v>980</v>
      </c>
      <c r="C116" t="s">
        <v>981</v>
      </c>
      <c r="D116" s="30">
        <v>0</v>
      </c>
      <c r="E116" s="30">
        <v>0</v>
      </c>
    </row>
    <row r="117" spans="1:5">
      <c r="A117">
        <v>1</v>
      </c>
      <c r="B117" t="s">
        <v>982</v>
      </c>
      <c r="C117" t="s">
        <v>983</v>
      </c>
      <c r="D117" s="30">
        <v>0</v>
      </c>
      <c r="E117" s="30">
        <v>0</v>
      </c>
    </row>
    <row r="118" spans="1:5">
      <c r="A118">
        <v>1</v>
      </c>
      <c r="B118" t="s">
        <v>984</v>
      </c>
      <c r="C118" t="s">
        <v>91</v>
      </c>
      <c r="D118" s="30">
        <v>22494000</v>
      </c>
      <c r="E118" s="30">
        <v>22494000</v>
      </c>
    </row>
    <row r="119" spans="1:5">
      <c r="A119">
        <v>1</v>
      </c>
      <c r="B119" t="s">
        <v>985</v>
      </c>
      <c r="C119" t="s">
        <v>986</v>
      </c>
      <c r="D119" s="30">
        <v>3954861</v>
      </c>
      <c r="E119" s="30">
        <v>3954861</v>
      </c>
    </row>
    <row r="120" spans="1:5">
      <c r="A120">
        <v>1</v>
      </c>
      <c r="B120" t="s">
        <v>987</v>
      </c>
      <c r="C120" t="s">
        <v>988</v>
      </c>
      <c r="D120" s="30">
        <v>2600000</v>
      </c>
      <c r="E120" s="30">
        <v>2600000</v>
      </c>
    </row>
    <row r="121" spans="1:5">
      <c r="A121">
        <v>1</v>
      </c>
      <c r="B121" t="s">
        <v>989</v>
      </c>
      <c r="C121" t="s">
        <v>990</v>
      </c>
      <c r="D121" s="30">
        <v>1354861</v>
      </c>
      <c r="E121" s="30">
        <v>1354861</v>
      </c>
    </row>
    <row r="122" spans="1:5">
      <c r="A122">
        <v>1</v>
      </c>
      <c r="B122" t="s">
        <v>991</v>
      </c>
      <c r="C122" t="s">
        <v>992</v>
      </c>
      <c r="D122" s="30">
        <v>18539139</v>
      </c>
      <c r="E122" s="30">
        <v>18539139</v>
      </c>
    </row>
    <row r="123" spans="1:5">
      <c r="A123">
        <v>1</v>
      </c>
      <c r="B123" t="s">
        <v>993</v>
      </c>
      <c r="C123" t="s">
        <v>994</v>
      </c>
      <c r="D123" s="30">
        <v>600000</v>
      </c>
      <c r="E123" s="30">
        <v>600000</v>
      </c>
    </row>
    <row r="124" spans="1:5">
      <c r="A124">
        <v>1</v>
      </c>
      <c r="B124" t="s">
        <v>995</v>
      </c>
      <c r="C124" t="s">
        <v>996</v>
      </c>
      <c r="D124" s="30">
        <v>600000</v>
      </c>
      <c r="E124" s="30">
        <v>600000</v>
      </c>
    </row>
    <row r="125" spans="1:5">
      <c r="A125">
        <v>1</v>
      </c>
      <c r="B125" t="s">
        <v>997</v>
      </c>
      <c r="C125" t="s">
        <v>998</v>
      </c>
      <c r="D125" s="30">
        <v>2200000</v>
      </c>
      <c r="E125" s="30">
        <v>2200000</v>
      </c>
    </row>
    <row r="126" spans="1:5">
      <c r="A126">
        <v>1</v>
      </c>
      <c r="B126" t="s">
        <v>999</v>
      </c>
      <c r="C126" t="s">
        <v>1000</v>
      </c>
      <c r="D126" s="30">
        <v>14820000</v>
      </c>
      <c r="E126" s="30">
        <v>14820000</v>
      </c>
    </row>
    <row r="127" spans="1:5">
      <c r="A127">
        <v>1</v>
      </c>
      <c r="B127" t="s">
        <v>1001</v>
      </c>
      <c r="C127" t="s">
        <v>1002</v>
      </c>
      <c r="D127" s="30">
        <v>600000</v>
      </c>
      <c r="E127" s="30">
        <v>600000</v>
      </c>
    </row>
    <row r="128" spans="1:5">
      <c r="A128">
        <v>1</v>
      </c>
      <c r="B128" t="s">
        <v>1003</v>
      </c>
      <c r="C128" t="s">
        <v>1004</v>
      </c>
      <c r="D128" s="30">
        <v>220000</v>
      </c>
      <c r="E128" s="30">
        <v>220000</v>
      </c>
    </row>
    <row r="129" spans="1:5">
      <c r="A129">
        <v>1</v>
      </c>
      <c r="B129" t="s">
        <v>1005</v>
      </c>
      <c r="C129" t="s">
        <v>1006</v>
      </c>
      <c r="D129" s="30">
        <v>14000000</v>
      </c>
      <c r="E129" s="30">
        <v>14000000</v>
      </c>
    </row>
    <row r="130" spans="1:5">
      <c r="A130">
        <v>1</v>
      </c>
      <c r="B130" t="s">
        <v>1007</v>
      </c>
      <c r="C130" t="s">
        <v>1008</v>
      </c>
      <c r="D130" s="30">
        <v>319139</v>
      </c>
      <c r="E130" s="30">
        <v>319139</v>
      </c>
    </row>
    <row r="131" spans="1:5">
      <c r="A131">
        <v>1</v>
      </c>
      <c r="B131" t="s">
        <v>567</v>
      </c>
      <c r="C131" t="s">
        <v>475</v>
      </c>
      <c r="D131" s="30">
        <v>59220303</v>
      </c>
      <c r="E131" s="30">
        <v>63510265</v>
      </c>
    </row>
    <row r="132" spans="1:5">
      <c r="A132">
        <v>1</v>
      </c>
      <c r="B132" t="s">
        <v>569</v>
      </c>
      <c r="C132" t="s">
        <v>477</v>
      </c>
      <c r="D132" s="30">
        <v>19442125</v>
      </c>
      <c r="E132" s="30">
        <v>20698576</v>
      </c>
    </row>
    <row r="133" spans="1:5">
      <c r="A133">
        <v>1</v>
      </c>
      <c r="B133" t="s">
        <v>726</v>
      </c>
      <c r="C133" t="s">
        <v>489</v>
      </c>
      <c r="D133" s="30">
        <v>39778178</v>
      </c>
      <c r="E133" s="30">
        <v>42811689</v>
      </c>
    </row>
    <row r="134" spans="1:5">
      <c r="A134">
        <v>1</v>
      </c>
      <c r="B134" t="s">
        <v>12</v>
      </c>
      <c r="C134" t="s">
        <v>757</v>
      </c>
      <c r="D134" s="30">
        <v>0</v>
      </c>
      <c r="E134" s="30">
        <v>0</v>
      </c>
    </row>
    <row r="135" spans="1:5">
      <c r="A135">
        <v>1</v>
      </c>
      <c r="B135" t="s">
        <v>1009</v>
      </c>
      <c r="C135" t="s">
        <v>759</v>
      </c>
      <c r="D135" s="30">
        <v>0</v>
      </c>
      <c r="E135" s="30">
        <v>0</v>
      </c>
    </row>
    <row r="136" spans="1:5">
      <c r="A136">
        <v>1</v>
      </c>
      <c r="B136" t="s">
        <v>1010</v>
      </c>
      <c r="C136" t="s">
        <v>761</v>
      </c>
      <c r="D136" s="30">
        <v>0</v>
      </c>
      <c r="E136" s="30">
        <v>0</v>
      </c>
    </row>
    <row r="137" spans="1:5">
      <c r="A137">
        <v>1</v>
      </c>
      <c r="B137" t="s">
        <v>474</v>
      </c>
      <c r="C137" t="s">
        <v>1011</v>
      </c>
      <c r="D137" s="30">
        <v>148350000</v>
      </c>
      <c r="E137" s="30">
        <v>148350000</v>
      </c>
    </row>
    <row r="138" spans="1:5">
      <c r="A138">
        <v>1</v>
      </c>
      <c r="B138" t="s">
        <v>476</v>
      </c>
      <c r="C138" t="s">
        <v>1012</v>
      </c>
      <c r="D138" s="30">
        <v>115350000</v>
      </c>
      <c r="E138" s="30">
        <v>115350000</v>
      </c>
    </row>
    <row r="139" spans="1:5">
      <c r="A139">
        <v>1</v>
      </c>
      <c r="B139" t="s">
        <v>488</v>
      </c>
      <c r="C139" t="s">
        <v>1013</v>
      </c>
      <c r="D139" s="30">
        <v>20000000</v>
      </c>
      <c r="E139" s="30">
        <v>20000000</v>
      </c>
    </row>
    <row r="140" spans="1:5">
      <c r="A140">
        <v>1</v>
      </c>
      <c r="B140" t="s">
        <v>756</v>
      </c>
      <c r="C140" t="s">
        <v>1014</v>
      </c>
      <c r="D140" s="30">
        <v>8000000</v>
      </c>
      <c r="E140" s="30">
        <v>8000000</v>
      </c>
    </row>
    <row r="141" spans="1:5">
      <c r="A141">
        <v>1</v>
      </c>
      <c r="B141" t="s">
        <v>1015</v>
      </c>
      <c r="C141" t="s">
        <v>1016</v>
      </c>
      <c r="D141" s="30">
        <v>5000000</v>
      </c>
      <c r="E141" s="30">
        <v>5000000</v>
      </c>
    </row>
    <row r="142" spans="1:5">
      <c r="A142">
        <v>1</v>
      </c>
      <c r="B142" t="s">
        <v>1017</v>
      </c>
      <c r="C142" t="s">
        <v>763</v>
      </c>
      <c r="D142" s="30">
        <v>0</v>
      </c>
      <c r="E142" s="3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E17" sqref="E17"/>
    </sheetView>
  </sheetViews>
  <sheetFormatPr baseColWidth="10" defaultRowHeight="12.75"/>
  <cols>
    <col min="1" max="1" width="32" style="45" bestFit="1" customWidth="1"/>
    <col min="2" max="2" width="17" style="45" bestFit="1" customWidth="1"/>
    <col min="3" max="3" width="20.28515625" style="45" bestFit="1" customWidth="1"/>
    <col min="4" max="4" width="17.5703125" style="45" bestFit="1" customWidth="1"/>
    <col min="5" max="5" width="17" style="45" bestFit="1" customWidth="1"/>
    <col min="6" max="6" width="13.28515625" style="45" customWidth="1"/>
    <col min="7" max="7" width="4.7109375" style="45" customWidth="1"/>
    <col min="8" max="8" width="17.5703125" style="45" bestFit="1" customWidth="1"/>
    <col min="9" max="9" width="13.85546875" style="45" bestFit="1" customWidth="1"/>
    <col min="10" max="10" width="19.85546875" style="45" customWidth="1"/>
    <col min="11" max="11" width="39" style="45" bestFit="1" customWidth="1"/>
    <col min="12" max="12" width="13.85546875" style="45" bestFit="1" customWidth="1"/>
    <col min="13" max="16384" width="11.42578125" style="45"/>
  </cols>
  <sheetData>
    <row r="1" spans="1:9" ht="15.75">
      <c r="A1" s="76" t="s">
        <v>1018</v>
      </c>
      <c r="B1" s="76"/>
      <c r="C1" s="76"/>
      <c r="D1" s="76"/>
      <c r="E1" s="76"/>
      <c r="F1" s="44"/>
      <c r="G1" s="44"/>
      <c r="H1" s="44"/>
      <c r="I1" s="44"/>
    </row>
    <row r="2" spans="1:9" ht="15" customHeight="1">
      <c r="A2" s="56"/>
      <c r="B2" s="57">
        <v>2012</v>
      </c>
      <c r="C2" s="57">
        <v>2013</v>
      </c>
      <c r="D2" s="57">
        <v>2014</v>
      </c>
      <c r="E2" s="57">
        <v>2015</v>
      </c>
      <c r="F2" s="44"/>
      <c r="G2" s="44"/>
      <c r="H2" s="44"/>
      <c r="I2" s="44"/>
    </row>
    <row r="3" spans="1:9">
      <c r="A3" s="46" t="s">
        <v>1019</v>
      </c>
      <c r="B3" s="47">
        <f>SUM(B4:B5)</f>
        <v>2150000000</v>
      </c>
      <c r="C3" s="53">
        <f>SUM(C4:C5)</f>
        <v>2236000000</v>
      </c>
      <c r="D3" s="53">
        <f>SUM(D4:D5)</f>
        <v>2336620000</v>
      </c>
      <c r="E3" s="53">
        <f>SUM(E4:E5)</f>
        <v>2453451000</v>
      </c>
      <c r="F3" s="44"/>
      <c r="G3" s="44"/>
      <c r="H3" s="44"/>
      <c r="I3" s="44"/>
    </row>
    <row r="4" spans="1:9">
      <c r="A4" s="48" t="s">
        <v>1020</v>
      </c>
      <c r="B4" s="30">
        <v>2150000000</v>
      </c>
      <c r="C4" s="55">
        <f>+B4*1.04</f>
        <v>2236000000</v>
      </c>
      <c r="D4" s="55">
        <f>+C4*1.045</f>
        <v>2336620000</v>
      </c>
      <c r="E4" s="55">
        <f>+D4*1.05</f>
        <v>2453451000</v>
      </c>
      <c r="F4" s="44"/>
      <c r="G4" s="44"/>
      <c r="H4" s="44"/>
      <c r="I4" s="44"/>
    </row>
    <row r="5" spans="1:9">
      <c r="A5" s="48" t="s">
        <v>1021</v>
      </c>
      <c r="B5" s="50">
        <v>0</v>
      </c>
      <c r="C5" s="49">
        <f>+C34</f>
        <v>0</v>
      </c>
      <c r="D5" s="50"/>
      <c r="E5" s="50"/>
      <c r="F5" s="44"/>
      <c r="G5" s="44"/>
      <c r="H5" s="44"/>
      <c r="I5" s="44"/>
    </row>
    <row r="6" spans="1:9">
      <c r="A6" s="46" t="s">
        <v>570</v>
      </c>
      <c r="B6" s="47">
        <f>SUM(B7:B9)</f>
        <v>1887612031.8223062</v>
      </c>
      <c r="C6" s="47">
        <f>SUM(C7:C9)</f>
        <v>1963116513.0951986</v>
      </c>
      <c r="D6" s="47">
        <f>SUM(D7:D9)</f>
        <v>2051456756.1844821</v>
      </c>
      <c r="E6" s="47">
        <f>SUM(E7:E9)</f>
        <v>2154029593.9937062</v>
      </c>
      <c r="F6" s="44"/>
      <c r="G6" s="44"/>
      <c r="H6" s="44"/>
      <c r="I6" s="44"/>
    </row>
    <row r="7" spans="1:9">
      <c r="A7" s="48" t="s">
        <v>1022</v>
      </c>
      <c r="B7" s="36">
        <v>878826125.82230616</v>
      </c>
      <c r="C7" s="49">
        <f>+B7*1.04</f>
        <v>913979170.85519838</v>
      </c>
      <c r="D7" s="49">
        <f>+C7*1.045</f>
        <v>955108233.54368222</v>
      </c>
      <c r="E7" s="49">
        <f>+D7*1.05</f>
        <v>1002863645.2208663</v>
      </c>
      <c r="F7" s="44"/>
      <c r="G7" s="44"/>
      <c r="H7" s="44"/>
      <c r="I7" s="44"/>
    </row>
    <row r="8" spans="1:9">
      <c r="A8" s="48" t="s">
        <v>1023</v>
      </c>
      <c r="B8" s="36">
        <v>413190386</v>
      </c>
      <c r="C8" s="49">
        <f>+B8*1.04</f>
        <v>429718001.44</v>
      </c>
      <c r="D8" s="49">
        <f>+C8*1.045</f>
        <v>449055311.50479996</v>
      </c>
      <c r="E8" s="49">
        <f>+D8*1.05</f>
        <v>471508077.08003998</v>
      </c>
      <c r="F8" s="44"/>
      <c r="G8" s="44"/>
      <c r="H8" s="44"/>
      <c r="I8" s="44"/>
    </row>
    <row r="9" spans="1:9">
      <c r="A9" s="48" t="s">
        <v>1024</v>
      </c>
      <c r="B9" s="36">
        <v>595595520</v>
      </c>
      <c r="C9" s="49">
        <f>+B9*1.04</f>
        <v>619419340.80000007</v>
      </c>
      <c r="D9" s="49">
        <f>+C9*1.045</f>
        <v>647293211.13600004</v>
      </c>
      <c r="E9" s="49">
        <f>+D9*1.05</f>
        <v>679657871.69280005</v>
      </c>
      <c r="F9" s="44"/>
      <c r="G9" s="44"/>
      <c r="H9" s="44"/>
      <c r="I9" s="44"/>
    </row>
    <row r="10" spans="1:9">
      <c r="A10" s="46" t="s">
        <v>1025</v>
      </c>
      <c r="B10" s="47">
        <f>+B3-B6</f>
        <v>262387968.17769384</v>
      </c>
      <c r="C10" s="47">
        <f>+C3-C6</f>
        <v>272883486.90480137</v>
      </c>
      <c r="D10" s="47">
        <f>+D3-D6</f>
        <v>285163243.8155179</v>
      </c>
      <c r="E10" s="47">
        <f>+E3-E6</f>
        <v>299421406.00629377</v>
      </c>
      <c r="F10" s="44"/>
      <c r="G10" s="44"/>
      <c r="H10" s="44"/>
      <c r="I10" s="44"/>
    </row>
    <row r="11" spans="1:9">
      <c r="A11" s="46" t="s">
        <v>1026</v>
      </c>
      <c r="B11" s="62">
        <f>-SUM(B14:B15)</f>
        <v>-153207694</v>
      </c>
      <c r="C11" s="51">
        <f>-SUM(C14:C16)</f>
        <v>-143423078</v>
      </c>
      <c r="D11" s="51">
        <f>-SUM(D14:D16)</f>
        <v>-133638462</v>
      </c>
      <c r="E11" s="51">
        <f>-SUM(E14:E16)</f>
        <v>-31380766</v>
      </c>
      <c r="F11" s="44"/>
      <c r="G11" s="44"/>
      <c r="H11" s="44"/>
      <c r="I11" s="44"/>
    </row>
    <row r="12" spans="1:9">
      <c r="A12" s="52" t="s">
        <v>1027</v>
      </c>
      <c r="B12" s="49">
        <f>-SUM(B14:B15)</f>
        <v>-153207694</v>
      </c>
      <c r="C12" s="49">
        <f>-SUM(C13:C15)</f>
        <v>-143423078</v>
      </c>
      <c r="D12" s="49">
        <f>-SUM(D13:D15)</f>
        <v>-133638462</v>
      </c>
      <c r="E12" s="49">
        <f>-SUM(E13:E15)</f>
        <v>-31380766</v>
      </c>
      <c r="F12" s="44"/>
      <c r="G12" s="44"/>
      <c r="H12" s="44"/>
      <c r="I12" s="44"/>
    </row>
    <row r="13" spans="1:9">
      <c r="A13" s="48" t="s">
        <v>1028</v>
      </c>
      <c r="B13" s="49">
        <v>0</v>
      </c>
      <c r="C13" s="49">
        <v>0</v>
      </c>
      <c r="D13" s="49">
        <v>0</v>
      </c>
      <c r="E13" s="49">
        <v>0</v>
      </c>
      <c r="F13" s="44"/>
      <c r="G13" s="44"/>
      <c r="H13" s="44"/>
      <c r="I13" s="44"/>
    </row>
    <row r="14" spans="1:9">
      <c r="A14" s="48" t="s">
        <v>1029</v>
      </c>
      <c r="B14" s="49">
        <v>123076924</v>
      </c>
      <c r="C14" s="49">
        <v>123076924</v>
      </c>
      <c r="D14" s="49">
        <v>123076924</v>
      </c>
      <c r="E14" s="49">
        <v>30769228</v>
      </c>
      <c r="F14" s="44"/>
      <c r="G14" s="44"/>
      <c r="H14" s="44"/>
      <c r="I14" s="44"/>
    </row>
    <row r="15" spans="1:9">
      <c r="A15" s="48" t="s">
        <v>1030</v>
      </c>
      <c r="B15" s="49">
        <v>30130770</v>
      </c>
      <c r="C15" s="49">
        <v>20346154</v>
      </c>
      <c r="D15" s="49">
        <v>10561538</v>
      </c>
      <c r="E15" s="49">
        <v>611538</v>
      </c>
      <c r="F15" s="44"/>
      <c r="G15" s="44"/>
      <c r="H15" s="44"/>
      <c r="I15" s="44"/>
    </row>
    <row r="16" spans="1:9">
      <c r="A16" s="48" t="s">
        <v>1031</v>
      </c>
      <c r="B16" s="49">
        <v>0</v>
      </c>
      <c r="C16" s="49">
        <f>+B16*1.008</f>
        <v>0</v>
      </c>
      <c r="D16" s="49">
        <f>+C16*1.008</f>
        <v>0</v>
      </c>
      <c r="E16" s="49">
        <f>+D16*1.008</f>
        <v>0</v>
      </c>
      <c r="F16" s="44"/>
      <c r="G16" s="44"/>
      <c r="H16" s="44"/>
      <c r="I16" s="44"/>
    </row>
    <row r="17" spans="1:9">
      <c r="A17" s="46" t="s">
        <v>1032</v>
      </c>
      <c r="B17" s="53">
        <f>+B10+B11</f>
        <v>109180274.17769384</v>
      </c>
      <c r="C17" s="53">
        <f>+C10+C11</f>
        <v>129460408.90480137</v>
      </c>
      <c r="D17" s="53">
        <f>+D10+D11</f>
        <v>151524781.8155179</v>
      </c>
      <c r="E17" s="53">
        <f>+E10+E11</f>
        <v>268040640.00629377</v>
      </c>
      <c r="F17" s="44"/>
      <c r="G17" s="44"/>
      <c r="H17" s="44"/>
      <c r="I17" s="44"/>
    </row>
    <row r="18" spans="1:9" ht="17.25" customHeight="1">
      <c r="A18" s="44"/>
      <c r="B18" s="44"/>
      <c r="C18" s="44"/>
      <c r="D18" s="44"/>
      <c r="E18" s="44"/>
      <c r="F18" s="44"/>
      <c r="G18" s="44"/>
      <c r="H18" s="44"/>
      <c r="I18" s="44"/>
    </row>
    <row r="19" spans="1:9">
      <c r="A19" s="44"/>
      <c r="B19" s="44"/>
      <c r="C19" s="44"/>
      <c r="D19" s="44"/>
      <c r="E19" s="44"/>
      <c r="F19" s="44"/>
      <c r="G19" s="44"/>
      <c r="H19" s="44"/>
      <c r="I19" s="44"/>
    </row>
    <row r="20" spans="1:9">
      <c r="A20" s="44"/>
      <c r="B20" s="44"/>
      <c r="C20" s="44"/>
      <c r="D20" s="44"/>
      <c r="E20" s="44"/>
      <c r="F20" s="44"/>
      <c r="G20" s="44"/>
      <c r="H20" s="44"/>
      <c r="I20" s="44"/>
    </row>
    <row r="21" spans="1:9">
      <c r="A21" s="44"/>
      <c r="B21" s="44"/>
      <c r="C21" s="44"/>
      <c r="D21" s="44"/>
      <c r="E21" s="44"/>
      <c r="F21" s="44"/>
      <c r="G21" s="44"/>
      <c r="H21" s="44"/>
      <c r="I21" s="44"/>
    </row>
    <row r="22" spans="1:9">
      <c r="A22" s="44"/>
      <c r="B22" s="44"/>
      <c r="C22" s="44"/>
      <c r="D22" s="44"/>
      <c r="E22" s="44"/>
      <c r="F22" s="44"/>
      <c r="G22" s="44"/>
      <c r="H22" s="44"/>
      <c r="I22" s="44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>
      <c r="A24" s="44"/>
      <c r="B24" s="44"/>
      <c r="C24" s="44"/>
      <c r="D24" s="44"/>
      <c r="E24" s="44"/>
      <c r="F24" s="44"/>
      <c r="G24" s="44"/>
      <c r="H24" s="44"/>
      <c r="I24" s="44"/>
    </row>
    <row r="25" spans="1:9">
      <c r="A25" s="44"/>
      <c r="B25" s="44"/>
      <c r="C25" s="44"/>
      <c r="D25" s="44"/>
      <c r="E25" s="44"/>
      <c r="F25" s="44"/>
      <c r="G25" s="44"/>
      <c r="H25" s="44"/>
      <c r="I25" s="44"/>
    </row>
    <row r="26" spans="1:9">
      <c r="A26" s="44"/>
      <c r="B26" s="44"/>
      <c r="C26" s="44"/>
      <c r="D26" s="44"/>
      <c r="E26" s="44"/>
      <c r="F26" s="44"/>
      <c r="G26" s="44"/>
      <c r="H26" s="44"/>
      <c r="I26" s="44"/>
    </row>
    <row r="27" spans="1:9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44"/>
      <c r="B28" s="44"/>
      <c r="C28" s="44"/>
      <c r="D28" s="44"/>
      <c r="E28" s="44"/>
      <c r="F28" s="44"/>
      <c r="G28" s="44"/>
      <c r="H28" s="44"/>
      <c r="I28" s="44"/>
    </row>
    <row r="29" spans="1:9">
      <c r="A29" s="44"/>
      <c r="B29" s="44"/>
      <c r="C29" s="44"/>
      <c r="D29" s="44"/>
      <c r="E29" s="44"/>
      <c r="F29" s="44"/>
      <c r="G29" s="44"/>
      <c r="H29" s="44"/>
      <c r="I29" s="44"/>
    </row>
    <row r="30" spans="1:9">
      <c r="A30" s="44"/>
      <c r="B30" s="44"/>
      <c r="C30" s="44"/>
      <c r="D30" s="44"/>
      <c r="E30" s="44"/>
      <c r="F30" s="44"/>
      <c r="G30" s="44"/>
      <c r="H30" s="44"/>
      <c r="I30" s="44"/>
    </row>
    <row r="31" spans="1:9">
      <c r="A31" s="44"/>
      <c r="B31" s="44"/>
      <c r="C31" s="44"/>
      <c r="D31" s="44"/>
      <c r="E31" s="44"/>
      <c r="F31" s="44"/>
      <c r="G31" s="44"/>
      <c r="H31" s="44"/>
      <c r="I31" s="44"/>
    </row>
    <row r="32" spans="1:9">
      <c r="A32" s="44"/>
      <c r="B32" s="44"/>
      <c r="C32" s="44"/>
      <c r="D32" s="44"/>
      <c r="E32" s="44"/>
      <c r="F32" s="44"/>
      <c r="G32" s="44"/>
      <c r="H32" s="44"/>
      <c r="I32" s="44"/>
    </row>
    <row r="33" spans="1:11">
      <c r="A33" s="44"/>
      <c r="B33" s="44"/>
      <c r="C33" s="44"/>
      <c r="D33" s="44"/>
      <c r="E33" s="44"/>
      <c r="F33" s="44"/>
      <c r="G33" s="44"/>
      <c r="H33" s="44"/>
      <c r="I33" s="44"/>
    </row>
    <row r="34" spans="1:11">
      <c r="A34" s="44"/>
      <c r="B34" s="44"/>
      <c r="C34" s="44"/>
      <c r="D34" s="44"/>
      <c r="E34" s="44"/>
      <c r="F34" s="44"/>
      <c r="G34" s="44"/>
      <c r="H34" s="44"/>
      <c r="I34" s="44"/>
    </row>
    <row r="35" spans="1:11">
      <c r="A35" s="44"/>
      <c r="B35" s="44"/>
      <c r="C35" s="44"/>
      <c r="D35" s="44"/>
      <c r="E35" s="44"/>
      <c r="F35" s="44"/>
      <c r="G35" s="44"/>
      <c r="H35" s="44"/>
      <c r="I35" s="44"/>
      <c r="K35" s="54">
        <f t="shared" ref="K35:K48" si="0">+I35+J35</f>
        <v>0</v>
      </c>
    </row>
    <row r="36" spans="1:11">
      <c r="A36" s="44"/>
      <c r="B36" s="44"/>
      <c r="C36" s="44"/>
      <c r="D36" s="44"/>
      <c r="E36" s="44"/>
      <c r="F36" s="44"/>
      <c r="G36" s="44"/>
      <c r="H36" s="44"/>
      <c r="I36" s="44"/>
      <c r="K36" s="54">
        <f t="shared" si="0"/>
        <v>0</v>
      </c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K37" s="54">
        <f t="shared" si="0"/>
        <v>0</v>
      </c>
    </row>
    <row r="38" spans="1:11">
      <c r="A38" s="44"/>
      <c r="B38" s="44"/>
      <c r="C38" s="44"/>
      <c r="D38" s="44"/>
      <c r="E38" s="44"/>
      <c r="F38" s="44"/>
      <c r="G38" s="44"/>
      <c r="H38" s="44"/>
      <c r="I38" s="44"/>
      <c r="K38" s="54">
        <f t="shared" si="0"/>
        <v>0</v>
      </c>
    </row>
    <row r="39" spans="1:11">
      <c r="A39" s="44"/>
      <c r="B39" s="44"/>
      <c r="C39" s="44"/>
      <c r="D39" s="44"/>
      <c r="E39" s="44"/>
      <c r="F39" s="44"/>
      <c r="G39" s="44"/>
      <c r="H39" s="44"/>
      <c r="I39" s="44"/>
      <c r="K39" s="54">
        <f t="shared" si="0"/>
        <v>0</v>
      </c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K40" s="54">
        <f t="shared" si="0"/>
        <v>0</v>
      </c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K41" s="54">
        <f t="shared" si="0"/>
        <v>0</v>
      </c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K42" s="54">
        <f t="shared" si="0"/>
        <v>0</v>
      </c>
    </row>
    <row r="43" spans="1:11">
      <c r="A43" s="44"/>
      <c r="B43" s="44"/>
      <c r="C43" s="44"/>
      <c r="D43" s="44"/>
      <c r="E43" s="44"/>
      <c r="F43" s="44"/>
      <c r="G43" s="44"/>
      <c r="H43" s="44"/>
      <c r="I43" s="44"/>
      <c r="K43" s="54">
        <f t="shared" si="0"/>
        <v>0</v>
      </c>
    </row>
    <row r="44" spans="1:11">
      <c r="A44" s="44"/>
      <c r="B44" s="44"/>
      <c r="C44" s="44"/>
      <c r="D44" s="44"/>
      <c r="E44" s="44"/>
      <c r="F44" s="44"/>
      <c r="G44" s="44"/>
      <c r="H44" s="44"/>
      <c r="I44" s="44"/>
      <c r="K44" s="54">
        <f t="shared" si="0"/>
        <v>0</v>
      </c>
    </row>
    <row r="45" spans="1:11">
      <c r="A45" s="44"/>
      <c r="B45" s="44"/>
      <c r="C45" s="44"/>
      <c r="D45" s="44"/>
      <c r="E45" s="44"/>
      <c r="F45" s="44"/>
      <c r="G45" s="44"/>
      <c r="H45" s="44"/>
      <c r="I45" s="44"/>
      <c r="K45" s="54">
        <f t="shared" si="0"/>
        <v>0</v>
      </c>
    </row>
    <row r="46" spans="1:11">
      <c r="A46" s="44"/>
      <c r="B46" s="44"/>
      <c r="C46" s="44"/>
      <c r="D46" s="44"/>
      <c r="E46" s="44"/>
      <c r="F46" s="44"/>
      <c r="G46" s="44"/>
      <c r="H46" s="44"/>
      <c r="I46" s="44"/>
      <c r="K46" s="54">
        <f t="shared" si="0"/>
        <v>0</v>
      </c>
    </row>
    <row r="47" spans="1:11">
      <c r="A47" s="44"/>
      <c r="B47" s="44"/>
      <c r="C47" s="44"/>
      <c r="D47" s="44"/>
      <c r="E47" s="44"/>
      <c r="F47" s="44"/>
      <c r="G47" s="44"/>
      <c r="H47" s="44"/>
      <c r="I47" s="44"/>
      <c r="K47" s="54">
        <f t="shared" si="0"/>
        <v>0</v>
      </c>
    </row>
    <row r="48" spans="1:11">
      <c r="A48" s="44"/>
      <c r="B48" s="44"/>
      <c r="C48" s="44"/>
      <c r="D48" s="44"/>
      <c r="E48" s="44"/>
      <c r="F48" s="44"/>
      <c r="G48" s="44"/>
      <c r="H48" s="44"/>
      <c r="I48" s="44"/>
      <c r="K48" s="54">
        <f t="shared" si="0"/>
        <v>0</v>
      </c>
    </row>
    <row r="49" spans="1:9">
      <c r="A49" s="44"/>
      <c r="B49" s="44"/>
      <c r="C49" s="44"/>
      <c r="D49" s="44"/>
      <c r="E49" s="44"/>
      <c r="F49" s="44"/>
      <c r="G49" s="44"/>
      <c r="H49" s="44"/>
      <c r="I49" s="44"/>
    </row>
    <row r="50" spans="1:9">
      <c r="A50" s="44"/>
      <c r="B50" s="44"/>
      <c r="C50" s="44"/>
      <c r="D50" s="44"/>
      <c r="E50" s="44"/>
      <c r="F50" s="44"/>
      <c r="G50" s="44"/>
      <c r="H50" s="44"/>
      <c r="I50" s="44"/>
    </row>
    <row r="51" spans="1:9">
      <c r="A51" s="44"/>
      <c r="B51" s="44"/>
      <c r="C51" s="44"/>
      <c r="D51" s="44"/>
      <c r="E51" s="44"/>
      <c r="F51" s="44"/>
      <c r="G51" s="44"/>
      <c r="H51" s="44"/>
      <c r="I51" s="44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selection activeCell="N8" sqref="N8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8" style="2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508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>
        <v>1.04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C7+C28+C47+C51+C70+C76+C101+#REF!+#REF!+#REF!+#REF!+#REF!+#REF!+#REF!</f>
        <v>#REF!</v>
      </c>
      <c r="D5" s="6" t="s">
        <v>1</v>
      </c>
      <c r="E5" s="6" t="e">
        <f>E7+E28+E47+E51+E70+E76+E101+#REF!+#REF!+#REF!+#REF!+#REF!+#REF!+#REF!</f>
        <v>#REF!</v>
      </c>
      <c r="F5" s="6" t="s">
        <v>3</v>
      </c>
      <c r="G5" s="6" t="e">
        <f>G7+G28+G47+G51+G70+G76+G101+#REF!+#REF!+#REF!+#REF!+#REF!+#REF!+#REF!</f>
        <v>#REF!</v>
      </c>
      <c r="H5" s="6" t="s">
        <v>4</v>
      </c>
      <c r="I5" s="6" t="s">
        <v>5</v>
      </c>
      <c r="J5" s="6" t="e">
        <f>J7+J28+J47+J51+J70+J76+J101+#REF!+#REF!+#REF!+#REF!+#REF!+#REF!+#REF!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s="14" customFormat="1" ht="28.5">
      <c r="A7" s="11" t="s">
        <v>118</v>
      </c>
      <c r="B7" s="12">
        <f t="shared" ref="B7:I7" si="0">SUM(B8:B16)</f>
        <v>0</v>
      </c>
      <c r="C7" s="12">
        <f t="shared" si="0"/>
        <v>0</v>
      </c>
      <c r="D7" s="12">
        <f t="shared" si="0"/>
        <v>2512539559.9200001</v>
      </c>
      <c r="E7" s="12">
        <f t="shared" si="0"/>
        <v>0</v>
      </c>
      <c r="F7" s="12">
        <f t="shared" si="0"/>
        <v>96363612.799999997</v>
      </c>
      <c r="G7" s="12">
        <f t="shared" si="0"/>
        <v>0</v>
      </c>
      <c r="H7" s="12">
        <f t="shared" si="0"/>
        <v>0</v>
      </c>
      <c r="I7" s="12">
        <f t="shared" si="0"/>
        <v>2579508734.4000001</v>
      </c>
      <c r="J7" s="12"/>
      <c r="K7" s="13">
        <f t="shared" ref="K7:K31" si="1">+B7+D7+F7+H7+I7</f>
        <v>5188411907.1200008</v>
      </c>
    </row>
    <row r="8" spans="1:11" ht="28.5">
      <c r="A8" s="8" t="s">
        <v>119</v>
      </c>
      <c r="B8" s="9"/>
      <c r="C8" s="9"/>
      <c r="D8" s="9">
        <f>20000000*$A$4</f>
        <v>20800000</v>
      </c>
      <c r="E8" s="9"/>
      <c r="F8" s="9">
        <f>10000000*A4</f>
        <v>10400000</v>
      </c>
      <c r="G8" s="9"/>
      <c r="H8" s="9"/>
      <c r="I8" s="9"/>
      <c r="J8" s="9"/>
      <c r="K8" s="15">
        <f t="shared" si="1"/>
        <v>31200000</v>
      </c>
    </row>
    <row r="9" spans="1:11" ht="28.5">
      <c r="A9" s="8" t="s">
        <v>120</v>
      </c>
      <c r="B9" s="9"/>
      <c r="C9" s="9"/>
      <c r="D9" s="9">
        <f>(30000000+11889320-10000000)*A4</f>
        <v>33164892.800000001</v>
      </c>
      <c r="E9" s="9"/>
      <c r="F9" s="9">
        <f>10000000*A4</f>
        <v>10400000</v>
      </c>
      <c r="G9" s="9"/>
      <c r="H9" s="9"/>
      <c r="I9" s="9"/>
      <c r="J9" s="9"/>
      <c r="K9" s="15">
        <f t="shared" si="1"/>
        <v>43564892.799999997</v>
      </c>
    </row>
    <row r="10" spans="1:11" ht="27.75" customHeight="1">
      <c r="A10" s="8" t="s">
        <v>121</v>
      </c>
      <c r="B10" s="9"/>
      <c r="C10" s="9"/>
      <c r="D10" s="9">
        <f>20000000*$A$4</f>
        <v>20800000</v>
      </c>
      <c r="E10" s="9"/>
      <c r="F10" s="9"/>
      <c r="G10" s="9"/>
      <c r="H10" s="9"/>
      <c r="I10" s="9"/>
      <c r="J10" s="9"/>
      <c r="K10" s="15">
        <f t="shared" si="1"/>
        <v>20800000</v>
      </c>
    </row>
    <row r="11" spans="1:11" ht="21" customHeight="1">
      <c r="A11" s="8" t="s">
        <v>122</v>
      </c>
      <c r="B11" s="9"/>
      <c r="C11" s="9"/>
      <c r="D11" s="9"/>
      <c r="E11" s="9"/>
      <c r="F11" s="9">
        <f>10000000*A4</f>
        <v>10400000</v>
      </c>
      <c r="G11" s="9"/>
      <c r="H11" s="9"/>
      <c r="I11" s="9"/>
      <c r="J11" s="9"/>
      <c r="K11" s="15">
        <f t="shared" si="1"/>
        <v>10400000</v>
      </c>
    </row>
    <row r="12" spans="1:11" ht="18.75" customHeight="1">
      <c r="A12" s="8" t="s">
        <v>123</v>
      </c>
      <c r="B12" s="9"/>
      <c r="C12" s="9"/>
      <c r="D12" s="9">
        <f>(20490998-3654820)*A4</f>
        <v>17509625.120000001</v>
      </c>
      <c r="E12" s="9"/>
      <c r="F12" s="9">
        <f>3654820*A4</f>
        <v>3801012.8000000003</v>
      </c>
      <c r="G12" s="9"/>
      <c r="H12" s="9"/>
      <c r="I12" s="9"/>
      <c r="J12" s="9"/>
      <c r="K12" s="15">
        <f t="shared" si="1"/>
        <v>21310637.920000002</v>
      </c>
    </row>
    <row r="13" spans="1:11" ht="42.75">
      <c r="A13" s="8" t="s">
        <v>128</v>
      </c>
      <c r="B13" s="9"/>
      <c r="C13" s="9"/>
      <c r="D13" s="9">
        <f>30000000*A4</f>
        <v>31200000</v>
      </c>
      <c r="E13" s="9"/>
      <c r="F13" s="9"/>
      <c r="G13" s="9"/>
      <c r="H13" s="9"/>
      <c r="I13" s="9"/>
      <c r="J13" s="9"/>
      <c r="K13" s="15">
        <f t="shared" si="1"/>
        <v>31200000</v>
      </c>
    </row>
    <row r="14" spans="1:11" ht="31.5" customHeight="1">
      <c r="A14" s="8" t="s">
        <v>124</v>
      </c>
      <c r="B14" s="9"/>
      <c r="C14" s="9"/>
      <c r="D14" s="9">
        <f>10000000*A4</f>
        <v>10400000</v>
      </c>
      <c r="E14" s="9"/>
      <c r="F14" s="9"/>
      <c r="G14" s="9"/>
      <c r="H14" s="9"/>
      <c r="I14" s="9"/>
      <c r="J14" s="9"/>
      <c r="K14" s="15">
        <f t="shared" si="1"/>
        <v>10400000</v>
      </c>
    </row>
    <row r="15" spans="1:11" ht="28.5">
      <c r="A15" s="8" t="s">
        <v>125</v>
      </c>
      <c r="B15" s="9"/>
      <c r="C15" s="9"/>
      <c r="D15" s="9">
        <f>13000000*A4</f>
        <v>13520000</v>
      </c>
      <c r="E15" s="9"/>
      <c r="F15" s="9"/>
      <c r="G15" s="9"/>
      <c r="H15" s="9"/>
      <c r="I15" s="9"/>
      <c r="J15" s="9"/>
      <c r="K15" s="15">
        <f t="shared" si="1"/>
        <v>13520000</v>
      </c>
    </row>
    <row r="16" spans="1:11" ht="28.5">
      <c r="A16" s="8" t="s">
        <v>126</v>
      </c>
      <c r="B16" s="9"/>
      <c r="C16" s="9"/>
      <c r="D16" s="9">
        <f>2274177925*A4</f>
        <v>2365145042</v>
      </c>
      <c r="E16" s="9"/>
      <c r="F16" s="9">
        <f>59002500*A4</f>
        <v>61362600</v>
      </c>
      <c r="G16" s="9"/>
      <c r="H16" s="9"/>
      <c r="I16" s="9">
        <f>(2453403311+26893549)*A4</f>
        <v>2579508734.4000001</v>
      </c>
      <c r="J16" s="9"/>
      <c r="K16" s="15">
        <f t="shared" si="1"/>
        <v>5006016376.3999996</v>
      </c>
    </row>
    <row r="17" spans="1:11" ht="28.5">
      <c r="A17" s="11" t="s">
        <v>127</v>
      </c>
      <c r="B17" s="12">
        <f t="shared" ref="B17:I17" si="2">SUM(B18:B19)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24960000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25"/>
      <c r="K17" s="13">
        <f t="shared" si="1"/>
        <v>24960000</v>
      </c>
    </row>
    <row r="18" spans="1:11" ht="28.5">
      <c r="A18" s="8" t="s">
        <v>129</v>
      </c>
      <c r="B18" s="9"/>
      <c r="C18" s="9"/>
      <c r="D18" s="9"/>
      <c r="E18" s="16"/>
      <c r="F18" s="9">
        <f>16000000*A4</f>
        <v>16640000</v>
      </c>
      <c r="G18" s="9"/>
      <c r="H18" s="9"/>
      <c r="I18" s="9"/>
      <c r="J18" s="9"/>
      <c r="K18" s="13">
        <f t="shared" si="1"/>
        <v>16640000</v>
      </c>
    </row>
    <row r="19" spans="1:11" ht="45.75" customHeight="1">
      <c r="A19" s="8" t="s">
        <v>130</v>
      </c>
      <c r="B19" s="9"/>
      <c r="C19" s="9"/>
      <c r="D19" s="9"/>
      <c r="E19" s="9"/>
      <c r="F19" s="16">
        <f>8000000*A4</f>
        <v>8320000</v>
      </c>
      <c r="G19" s="16"/>
      <c r="H19" s="16"/>
      <c r="I19" s="9"/>
      <c r="J19" s="9"/>
      <c r="K19" s="13">
        <f t="shared" si="1"/>
        <v>8320000</v>
      </c>
    </row>
    <row r="20" spans="1:11" ht="18" customHeight="1">
      <c r="A20" s="11" t="s">
        <v>131</v>
      </c>
      <c r="B20" s="12">
        <f>SUM(B21:B23)</f>
        <v>0</v>
      </c>
      <c r="C20" s="12"/>
      <c r="D20" s="12">
        <f>SUM(D21:D23)</f>
        <v>44057658.32</v>
      </c>
      <c r="E20" s="25"/>
      <c r="F20" s="12">
        <f>SUM(F21:F23)</f>
        <v>19520800</v>
      </c>
      <c r="G20" s="25"/>
      <c r="H20" s="12">
        <f>SUM(H21:H23)</f>
        <v>0</v>
      </c>
      <c r="I20" s="12">
        <f>SUM(I21:I23)</f>
        <v>109200000</v>
      </c>
      <c r="J20" s="25"/>
      <c r="K20" s="13">
        <f t="shared" si="1"/>
        <v>172778458.31999999</v>
      </c>
    </row>
    <row r="21" spans="1:11" ht="42.75">
      <c r="A21" s="8" t="s">
        <v>132</v>
      </c>
      <c r="B21" s="9"/>
      <c r="C21" s="9"/>
      <c r="D21" s="9">
        <f>26680000*A4</f>
        <v>27747200</v>
      </c>
      <c r="E21" s="9"/>
      <c r="F21" s="9">
        <f>(20000000+4500000-4336867-3000000-6000000)*A4</f>
        <v>11609658.32</v>
      </c>
      <c r="G21" s="9"/>
      <c r="H21" s="9"/>
      <c r="I21" s="9">
        <f>52500000*A4</f>
        <v>54600000</v>
      </c>
      <c r="J21" s="9"/>
      <c r="K21" s="13">
        <f t="shared" si="1"/>
        <v>93956858.319999993</v>
      </c>
    </row>
    <row r="22" spans="1:11" ht="28.5">
      <c r="A22" s="8" t="s">
        <v>133</v>
      </c>
      <c r="B22" s="9"/>
      <c r="C22" s="9"/>
      <c r="D22" s="9">
        <f>(5000000+8230000-3000000-4000000+623133+1000000)*A4</f>
        <v>8167258.3200000003</v>
      </c>
      <c r="E22" s="9"/>
      <c r="F22" s="9">
        <f>(4500000+106867+3000000)*A4</f>
        <v>7911141.6800000006</v>
      </c>
      <c r="G22" s="9"/>
      <c r="H22" s="9"/>
      <c r="I22" s="9">
        <f>49500000*A4</f>
        <v>51480000</v>
      </c>
      <c r="J22" s="9"/>
      <c r="K22" s="13">
        <f t="shared" si="1"/>
        <v>67558400</v>
      </c>
    </row>
    <row r="23" spans="1:11" ht="28.5">
      <c r="A23" s="8" t="s">
        <v>517</v>
      </c>
      <c r="B23" s="9"/>
      <c r="C23" s="9"/>
      <c r="D23" s="9">
        <f>(5000000+8230000-3000000-4000000+1000000+600000)*A4</f>
        <v>8143200</v>
      </c>
      <c r="E23" s="9"/>
      <c r="F23" s="9"/>
      <c r="G23" s="9"/>
      <c r="H23" s="9"/>
      <c r="I23" s="9">
        <f>3000000*A4</f>
        <v>3120000</v>
      </c>
      <c r="J23" s="9"/>
      <c r="K23" s="13">
        <f t="shared" si="1"/>
        <v>11263200</v>
      </c>
    </row>
    <row r="24" spans="1:11" ht="28.5">
      <c r="A24" s="11" t="s">
        <v>134</v>
      </c>
      <c r="B24" s="12">
        <f>SUM(B25:B28)</f>
        <v>2080000</v>
      </c>
      <c r="C24" s="25"/>
      <c r="D24" s="12">
        <f>SUM(D25:D28)</f>
        <v>21416044</v>
      </c>
      <c r="E24" s="25"/>
      <c r="F24" s="12">
        <f>SUM(F25:F28)</f>
        <v>41600000</v>
      </c>
      <c r="G24" s="25"/>
      <c r="H24" s="12">
        <f>SUM(H25:H28)</f>
        <v>0</v>
      </c>
      <c r="I24" s="12">
        <v>105000000</v>
      </c>
      <c r="J24" s="25"/>
      <c r="K24" s="13">
        <f t="shared" si="1"/>
        <v>170096044</v>
      </c>
    </row>
    <row r="25" spans="1:11" ht="28.5">
      <c r="A25" s="8" t="s">
        <v>135</v>
      </c>
      <c r="B25" s="9"/>
      <c r="C25" s="9"/>
      <c r="D25" s="9">
        <f>8000000*A4</f>
        <v>8320000</v>
      </c>
      <c r="E25" s="9"/>
      <c r="F25" s="9">
        <f>16000000*A4</f>
        <v>16640000</v>
      </c>
      <c r="G25" s="9"/>
      <c r="H25" s="9"/>
      <c r="I25" s="9">
        <f>52500000*A4</f>
        <v>54600000</v>
      </c>
      <c r="J25" s="9"/>
      <c r="K25" s="13">
        <f t="shared" si="1"/>
        <v>79560000</v>
      </c>
    </row>
    <row r="26" spans="1:11" ht="57">
      <c r="A26" s="8" t="s">
        <v>1034</v>
      </c>
      <c r="B26" s="9"/>
      <c r="C26" s="9"/>
      <c r="D26" s="9">
        <f>(8000000+220000)*A4</f>
        <v>8548800</v>
      </c>
      <c r="E26" s="9"/>
      <c r="F26" s="9">
        <f>(16000000-2000000)*A4</f>
        <v>14560000</v>
      </c>
      <c r="G26" s="9"/>
      <c r="H26" s="9"/>
      <c r="I26" s="9">
        <f>(30000000+3000000)*A4</f>
        <v>34320000</v>
      </c>
      <c r="J26" s="9"/>
      <c r="K26" s="13">
        <f t="shared" si="1"/>
        <v>57428800</v>
      </c>
    </row>
    <row r="27" spans="1:11" ht="28.5">
      <c r="A27" s="8" t="s">
        <v>136</v>
      </c>
      <c r="B27" s="9">
        <f>2000000*A4</f>
        <v>2080000</v>
      </c>
      <c r="C27" s="9"/>
      <c r="D27" s="9">
        <f>+(4372350)*A4</f>
        <v>4547244</v>
      </c>
      <c r="E27" s="9"/>
      <c r="F27" s="9">
        <f>6000000*A4</f>
        <v>6240000</v>
      </c>
      <c r="G27" s="9"/>
      <c r="H27" s="9"/>
      <c r="I27" s="9">
        <f>20000000*A4</f>
        <v>20800000</v>
      </c>
      <c r="J27" s="9"/>
      <c r="K27" s="13">
        <f t="shared" si="1"/>
        <v>33667244</v>
      </c>
    </row>
    <row r="28" spans="1:11" s="14" customFormat="1" ht="28.5">
      <c r="A28" s="8" t="s">
        <v>137</v>
      </c>
      <c r="B28" s="9"/>
      <c r="C28" s="9"/>
      <c r="D28" s="9"/>
      <c r="E28" s="9"/>
      <c r="F28" s="9">
        <f>4000000*A4</f>
        <v>4160000</v>
      </c>
      <c r="G28" s="9"/>
      <c r="H28" s="9"/>
      <c r="I28" s="9"/>
      <c r="J28" s="19"/>
      <c r="K28" s="13">
        <f t="shared" si="1"/>
        <v>4160000</v>
      </c>
    </row>
    <row r="29" spans="1:11" s="14" customFormat="1" ht="28.5">
      <c r="A29" s="11" t="s">
        <v>138</v>
      </c>
      <c r="B29" s="12">
        <f t="shared" ref="B29:I29" si="3">SUM(B30)</f>
        <v>0</v>
      </c>
      <c r="C29" s="12">
        <f t="shared" si="3"/>
        <v>0</v>
      </c>
      <c r="D29" s="12">
        <f t="shared" si="3"/>
        <v>31200000</v>
      </c>
      <c r="E29" s="12">
        <f t="shared" si="3"/>
        <v>0</v>
      </c>
      <c r="F29" s="12">
        <f t="shared" si="3"/>
        <v>12480000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25"/>
      <c r="K29" s="13">
        <f t="shared" si="1"/>
        <v>43680000</v>
      </c>
    </row>
    <row r="30" spans="1:11" s="14" customFormat="1">
      <c r="A30" s="8" t="s">
        <v>139</v>
      </c>
      <c r="B30" s="9">
        <v>0</v>
      </c>
      <c r="C30" s="20"/>
      <c r="D30" s="9">
        <f>30000000*A4</f>
        <v>31200000</v>
      </c>
      <c r="E30" s="19"/>
      <c r="F30" s="9">
        <f>12000000*A4</f>
        <v>12480000</v>
      </c>
      <c r="G30" s="19"/>
      <c r="H30" s="19"/>
      <c r="I30" s="19"/>
      <c r="J30" s="19"/>
      <c r="K30" s="15">
        <f t="shared" si="1"/>
        <v>43680000</v>
      </c>
    </row>
    <row r="31" spans="1:11" s="14" customFormat="1" ht="57">
      <c r="A31" s="11" t="s">
        <v>146</v>
      </c>
      <c r="B31" s="12">
        <f t="shared" ref="B31:I31" si="4">SUM(B32)</f>
        <v>0</v>
      </c>
      <c r="C31" s="12">
        <f t="shared" si="4"/>
        <v>0</v>
      </c>
      <c r="D31" s="12">
        <f t="shared" si="4"/>
        <v>10400000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25"/>
      <c r="K31" s="13">
        <f t="shared" si="1"/>
        <v>10400000</v>
      </c>
    </row>
    <row r="32" spans="1:11" s="14" customFormat="1">
      <c r="A32" s="8" t="s">
        <v>147</v>
      </c>
      <c r="B32" s="19"/>
      <c r="C32" s="20"/>
      <c r="D32" s="9">
        <f>10000000*A4</f>
        <v>10400000</v>
      </c>
      <c r="E32" s="19"/>
      <c r="F32" s="9"/>
      <c r="G32" s="19"/>
      <c r="H32" s="19"/>
      <c r="I32" s="19"/>
      <c r="J32" s="19"/>
      <c r="K32" s="15">
        <f>SUM(B32:I32)</f>
        <v>10400000</v>
      </c>
    </row>
    <row r="33" spans="1:11" s="14" customFormat="1" ht="28.5">
      <c r="A33" s="11" t="s">
        <v>148</v>
      </c>
      <c r="B33" s="12">
        <f t="shared" ref="B33:K33" si="5">SUM(B34)</f>
        <v>3120000</v>
      </c>
      <c r="C33" s="12">
        <f t="shared" si="5"/>
        <v>0</v>
      </c>
      <c r="D33" s="12">
        <f t="shared" si="5"/>
        <v>27401296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30521296</v>
      </c>
    </row>
    <row r="34" spans="1:11" s="14" customFormat="1" ht="28.5">
      <c r="A34" s="8" t="s">
        <v>149</v>
      </c>
      <c r="B34" s="9">
        <f>3000000*A4</f>
        <v>3120000</v>
      </c>
      <c r="C34" s="20"/>
      <c r="D34" s="9">
        <f>26347400*A4</f>
        <v>27401296</v>
      </c>
      <c r="E34" s="19"/>
      <c r="F34" s="19"/>
      <c r="G34" s="19"/>
      <c r="H34" s="19"/>
      <c r="I34" s="19"/>
      <c r="J34" s="19"/>
      <c r="K34" s="15">
        <f>SUM(B34:I34)</f>
        <v>30521296</v>
      </c>
    </row>
    <row r="35" spans="1:11" s="14" customFormat="1" ht="28.5">
      <c r="A35" s="11" t="s">
        <v>150</v>
      </c>
      <c r="B35" s="12">
        <f t="shared" ref="B35:K35" si="6">SUM(B36:B38)</f>
        <v>0</v>
      </c>
      <c r="C35" s="12">
        <f t="shared" si="6"/>
        <v>0</v>
      </c>
      <c r="D35" s="12">
        <f t="shared" si="6"/>
        <v>54007392.400000006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54007392.400000006</v>
      </c>
    </row>
    <row r="36" spans="1:11" s="14" customFormat="1" ht="28.5">
      <c r="A36" s="8" t="s">
        <v>151</v>
      </c>
      <c r="B36" s="19"/>
      <c r="C36" s="20"/>
      <c r="D36" s="9">
        <f>18000000*A4</f>
        <v>18720000</v>
      </c>
      <c r="E36" s="19"/>
      <c r="F36" s="19"/>
      <c r="G36" s="19"/>
      <c r="H36" s="19"/>
      <c r="I36" s="19"/>
      <c r="J36" s="19"/>
      <c r="K36" s="15">
        <f>SUM(B36:I36)</f>
        <v>18720000</v>
      </c>
    </row>
    <row r="37" spans="1:11" s="14" customFormat="1" ht="42.75">
      <c r="A37" s="8" t="s">
        <v>152</v>
      </c>
      <c r="B37" s="19"/>
      <c r="C37" s="20"/>
      <c r="D37" s="9">
        <f>25223685*A4</f>
        <v>26232632.400000002</v>
      </c>
      <c r="E37" s="19"/>
      <c r="F37" s="19"/>
      <c r="G37" s="19"/>
      <c r="H37" s="19"/>
      <c r="I37" s="19"/>
      <c r="J37" s="19"/>
      <c r="K37" s="15">
        <f>SUM(B37:I37)</f>
        <v>26232632.400000002</v>
      </c>
    </row>
    <row r="38" spans="1:11" s="14" customFormat="1" ht="42.75">
      <c r="A38" s="8" t="s">
        <v>153</v>
      </c>
      <c r="B38" s="19"/>
      <c r="C38" s="20"/>
      <c r="D38" s="9">
        <f>8706500*A4</f>
        <v>9054760</v>
      </c>
      <c r="E38" s="19"/>
      <c r="F38" s="19"/>
      <c r="G38" s="19"/>
      <c r="H38" s="19"/>
      <c r="I38" s="19"/>
      <c r="J38" s="19"/>
      <c r="K38" s="15">
        <f>SUM(B38:I38)</f>
        <v>9054760</v>
      </c>
    </row>
    <row r="39" spans="1:11" s="14" customFormat="1" ht="54">
      <c r="A39" s="22" t="s">
        <v>140</v>
      </c>
      <c r="B39" s="23">
        <f t="shared" ref="B39:K39" si="7">+B35+B33+B31+B29+B24+B20+B17+B7</f>
        <v>5200000</v>
      </c>
      <c r="C39" s="23">
        <f t="shared" si="7"/>
        <v>0</v>
      </c>
      <c r="D39" s="23">
        <f t="shared" si="7"/>
        <v>2701021950.6399999</v>
      </c>
      <c r="E39" s="23">
        <f t="shared" si="7"/>
        <v>0</v>
      </c>
      <c r="F39" s="23">
        <f t="shared" si="7"/>
        <v>194924412.80000001</v>
      </c>
      <c r="G39" s="23">
        <f t="shared" si="7"/>
        <v>0</v>
      </c>
      <c r="H39" s="23">
        <f t="shared" si="7"/>
        <v>0</v>
      </c>
      <c r="I39" s="23">
        <f t="shared" si="7"/>
        <v>2793708734.4000001</v>
      </c>
      <c r="J39" s="23">
        <f t="shared" si="7"/>
        <v>0</v>
      </c>
      <c r="K39" s="23">
        <f t="shared" si="7"/>
        <v>5694855097.8400011</v>
      </c>
    </row>
    <row r="40" spans="1:11">
      <c r="A40" s="8"/>
      <c r="B40" s="9"/>
      <c r="C40" s="17"/>
      <c r="D40" s="9"/>
      <c r="E40" s="9"/>
      <c r="F40" s="9"/>
      <c r="G40" s="9"/>
      <c r="H40" s="9"/>
      <c r="I40" s="9"/>
      <c r="J40" s="9"/>
      <c r="K40" s="15"/>
    </row>
    <row r="41" spans="1:11" ht="57">
      <c r="A41" s="5" t="s">
        <v>6</v>
      </c>
      <c r="B41" s="6" t="s">
        <v>2</v>
      </c>
      <c r="C41" s="6" t="e">
        <f>C43+C53+C75+C80+#REF!+#REF!+#REF!+#REF!+#REF!+#REF!+#REF!+#REF!+#REF!+#REF!</f>
        <v>#REF!</v>
      </c>
      <c r="D41" s="6" t="s">
        <v>1</v>
      </c>
      <c r="E41" s="6" t="e">
        <f>E43+E53+E75+E80+#REF!+#REF!+#REF!+#REF!+#REF!+#REF!+#REF!+#REF!+#REF!+#REF!</f>
        <v>#REF!</v>
      </c>
      <c r="F41" s="6" t="s">
        <v>3</v>
      </c>
      <c r="G41" s="6" t="e">
        <f>G43+G53+G75+G80+#REF!+#REF!+#REF!+#REF!+#REF!+#REF!+#REF!+#REF!+#REF!+#REF!</f>
        <v>#REF!</v>
      </c>
      <c r="H41" s="6" t="s">
        <v>4</v>
      </c>
      <c r="I41" s="6" t="s">
        <v>5</v>
      </c>
      <c r="J41" s="9">
        <v>200000</v>
      </c>
      <c r="K41" s="7" t="s">
        <v>0</v>
      </c>
    </row>
    <row r="42" spans="1:11" ht="25.5">
      <c r="A42" s="29" t="s">
        <v>141</v>
      </c>
      <c r="B42" s="9"/>
      <c r="C42" s="9"/>
      <c r="D42" s="9"/>
      <c r="E42" s="9"/>
      <c r="F42" s="9"/>
      <c r="G42" s="9"/>
      <c r="H42" s="9"/>
      <c r="I42" s="9"/>
      <c r="J42" s="9"/>
      <c r="K42" s="15"/>
    </row>
    <row r="43" spans="1:11" ht="29.25" customHeight="1">
      <c r="A43" s="11" t="s">
        <v>154</v>
      </c>
      <c r="B43" s="12">
        <f t="shared" ref="B43:I43" si="8">SUM(B44:B46)</f>
        <v>12480000</v>
      </c>
      <c r="C43" s="12">
        <f t="shared" si="8"/>
        <v>0</v>
      </c>
      <c r="D43" s="12">
        <f t="shared" si="8"/>
        <v>10400000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300000000</v>
      </c>
      <c r="I43" s="12">
        <f t="shared" si="8"/>
        <v>0</v>
      </c>
      <c r="J43" s="12"/>
      <c r="K43" s="13">
        <f>SUM(B43:I43)</f>
        <v>322880000</v>
      </c>
    </row>
    <row r="44" spans="1:11" ht="42.75">
      <c r="A44" s="8" t="s">
        <v>155</v>
      </c>
      <c r="B44" s="9">
        <v>0</v>
      </c>
      <c r="C44" s="9"/>
      <c r="D44" s="9">
        <f>10000000*A4</f>
        <v>10400000</v>
      </c>
      <c r="E44" s="9"/>
      <c r="F44" s="9">
        <v>0</v>
      </c>
      <c r="G44" s="9"/>
      <c r="H44" s="9">
        <v>150000000</v>
      </c>
      <c r="I44" s="9"/>
      <c r="J44" s="9"/>
      <c r="K44" s="15">
        <f>SUM(B44:I44)</f>
        <v>160400000</v>
      </c>
    </row>
    <row r="45" spans="1:11" ht="28.5">
      <c r="A45" s="8" t="s">
        <v>156</v>
      </c>
      <c r="B45" s="9">
        <f>12000000*A4</f>
        <v>12480000</v>
      </c>
      <c r="C45" s="9"/>
      <c r="D45" s="9"/>
      <c r="E45" s="9"/>
      <c r="F45" s="9"/>
      <c r="G45" s="9"/>
      <c r="H45" s="9">
        <v>100000000</v>
      </c>
      <c r="I45" s="9"/>
      <c r="J45" s="9"/>
      <c r="K45" s="15">
        <f>SUM(B45:I45)</f>
        <v>112480000</v>
      </c>
    </row>
    <row r="46" spans="1:11" ht="28.5">
      <c r="A46" s="8" t="s">
        <v>157</v>
      </c>
      <c r="B46" s="9"/>
      <c r="C46" s="9"/>
      <c r="D46" s="9"/>
      <c r="E46" s="9"/>
      <c r="F46" s="9"/>
      <c r="G46" s="9"/>
      <c r="H46" s="9">
        <v>50000000</v>
      </c>
      <c r="I46" s="9"/>
      <c r="J46" s="9"/>
      <c r="K46" s="15">
        <f>SUM(B46:I46)</f>
        <v>50000000</v>
      </c>
    </row>
    <row r="47" spans="1:11" s="14" customFormat="1" ht="28.5">
      <c r="A47" s="11" t="s">
        <v>158</v>
      </c>
      <c r="B47" s="12">
        <f t="shared" ref="B47:K47" si="9">SUM(B48:B49)</f>
        <v>8320000</v>
      </c>
      <c r="C47" s="12">
        <f t="shared" si="9"/>
        <v>0</v>
      </c>
      <c r="D47" s="12">
        <f t="shared" si="9"/>
        <v>167389023.04000002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9"/>
        <v>0</v>
      </c>
      <c r="J47" s="12">
        <f t="shared" si="9"/>
        <v>0</v>
      </c>
      <c r="K47" s="12">
        <f t="shared" si="9"/>
        <v>175709023.04000002</v>
      </c>
    </row>
    <row r="48" spans="1:11" ht="28.5">
      <c r="A48" s="8" t="s">
        <v>159</v>
      </c>
      <c r="B48" s="9">
        <f>4000000*A4</f>
        <v>4160000</v>
      </c>
      <c r="C48" s="9"/>
      <c r="D48" s="9">
        <f>(45388050+7000000)*A4</f>
        <v>54483572</v>
      </c>
      <c r="E48" s="9"/>
      <c r="F48" s="9"/>
      <c r="G48" s="9"/>
      <c r="H48" s="9"/>
      <c r="I48" s="9"/>
      <c r="J48" s="9"/>
      <c r="K48" s="15">
        <f t="shared" ref="K48:K53" si="10">SUM(B48:I48)</f>
        <v>58643572</v>
      </c>
    </row>
    <row r="49" spans="1:11">
      <c r="A49" s="8" t="s">
        <v>160</v>
      </c>
      <c r="B49" s="9">
        <f>4000000*A4</f>
        <v>4160000</v>
      </c>
      <c r="C49" s="9"/>
      <c r="D49" s="9">
        <f>(105905450+7000000)+A4</f>
        <v>112905451.04000001</v>
      </c>
      <c r="E49" s="9"/>
      <c r="F49" s="9"/>
      <c r="G49" s="9"/>
      <c r="H49" s="9"/>
      <c r="I49" s="9"/>
      <c r="J49" s="9"/>
      <c r="K49" s="15">
        <f t="shared" si="10"/>
        <v>117065451.04000001</v>
      </c>
    </row>
    <row r="50" spans="1:11" ht="28.5">
      <c r="A50" s="11" t="s">
        <v>143</v>
      </c>
      <c r="B50" s="12">
        <f>SUM(B51:B53)</f>
        <v>27360723.52</v>
      </c>
      <c r="C50" s="25"/>
      <c r="D50" s="12">
        <f>11410000+10000000+31400000+6000000</f>
        <v>58810000</v>
      </c>
      <c r="E50" s="25"/>
      <c r="F50" s="12">
        <f>SUM(F51:F53)</f>
        <v>0</v>
      </c>
      <c r="G50" s="12">
        <f>SUM(G51:G53)</f>
        <v>0</v>
      </c>
      <c r="H50" s="12">
        <f>SUM(H51:H53)</f>
        <v>0</v>
      </c>
      <c r="I50" s="12">
        <f>SUM(I51:I53)</f>
        <v>0</v>
      </c>
      <c r="J50" s="25"/>
      <c r="K50" s="13">
        <f t="shared" si="10"/>
        <v>86170723.519999996</v>
      </c>
    </row>
    <row r="51" spans="1:11" s="14" customFormat="1" ht="28.5">
      <c r="A51" s="8" t="s">
        <v>161</v>
      </c>
      <c r="B51" s="9">
        <f>5000000*A4</f>
        <v>5200000</v>
      </c>
      <c r="C51" s="9"/>
      <c r="D51" s="9"/>
      <c r="E51" s="19"/>
      <c r="F51" s="9"/>
      <c r="G51" s="19"/>
      <c r="H51" s="19"/>
      <c r="I51" s="19"/>
      <c r="J51" s="19"/>
      <c r="K51" s="15">
        <f t="shared" si="10"/>
        <v>5200000</v>
      </c>
    </row>
    <row r="52" spans="1:11" ht="28.5">
      <c r="A52" s="8" t="s">
        <v>144</v>
      </c>
      <c r="B52" s="9">
        <f>20000000*A4</f>
        <v>20800000</v>
      </c>
      <c r="C52" s="9"/>
      <c r="D52" s="9">
        <f>11410000*A4</f>
        <v>11866400</v>
      </c>
      <c r="E52" s="9"/>
      <c r="F52" s="9"/>
      <c r="G52" s="9"/>
      <c r="H52" s="9"/>
      <c r="I52" s="9"/>
      <c r="J52" s="9"/>
      <c r="K52" s="15">
        <f t="shared" si="10"/>
        <v>32666400</v>
      </c>
    </row>
    <row r="53" spans="1:11" ht="28.5">
      <c r="A53" s="8" t="s">
        <v>145</v>
      </c>
      <c r="B53" s="9">
        <f>1308388*A4</f>
        <v>1360723.52</v>
      </c>
      <c r="C53" s="9"/>
      <c r="D53" s="9">
        <f>31400000*A4</f>
        <v>32656000</v>
      </c>
      <c r="E53" s="9"/>
      <c r="F53" s="9"/>
      <c r="G53" s="9"/>
      <c r="H53" s="9"/>
      <c r="I53" s="9"/>
      <c r="J53" s="9"/>
      <c r="K53" s="15">
        <f t="shared" si="10"/>
        <v>34016723.520000003</v>
      </c>
    </row>
    <row r="54" spans="1:11" ht="28.5">
      <c r="A54" s="11" t="s">
        <v>162</v>
      </c>
      <c r="B54" s="12">
        <f t="shared" ref="B54:K54" si="11">SUM(B55:B58)</f>
        <v>17634606.080000002</v>
      </c>
      <c r="C54" s="12">
        <f t="shared" si="11"/>
        <v>0</v>
      </c>
      <c r="D54" s="12">
        <f t="shared" si="11"/>
        <v>53527839.039999999</v>
      </c>
      <c r="E54" s="12">
        <f t="shared" si="11"/>
        <v>0</v>
      </c>
      <c r="F54" s="12">
        <f t="shared" si="11"/>
        <v>5200000</v>
      </c>
      <c r="G54" s="12">
        <f t="shared" si="11"/>
        <v>0</v>
      </c>
      <c r="H54" s="12">
        <f t="shared" si="11"/>
        <v>0</v>
      </c>
      <c r="I54" s="12">
        <f t="shared" si="11"/>
        <v>0</v>
      </c>
      <c r="J54" s="12">
        <f t="shared" si="11"/>
        <v>0</v>
      </c>
      <c r="K54" s="12">
        <f t="shared" si="11"/>
        <v>76362445.120000005</v>
      </c>
    </row>
    <row r="55" spans="1:11" ht="28.5">
      <c r="A55" s="8" t="s">
        <v>163</v>
      </c>
      <c r="B55" s="9"/>
      <c r="C55" s="9"/>
      <c r="D55" s="9">
        <f>10469076*A4</f>
        <v>10887839.040000001</v>
      </c>
      <c r="E55" s="9"/>
      <c r="F55" s="9"/>
      <c r="G55" s="9"/>
      <c r="H55" s="9"/>
      <c r="I55" s="9"/>
      <c r="J55" s="9"/>
      <c r="K55" s="15">
        <f>SUM(B55:I55)</f>
        <v>10887839.040000001</v>
      </c>
    </row>
    <row r="56" spans="1:11" ht="28.5">
      <c r="A56" s="8" t="s">
        <v>164</v>
      </c>
      <c r="B56" s="9"/>
      <c r="C56" s="9"/>
      <c r="D56" s="9">
        <f>13000000*A4</f>
        <v>13520000</v>
      </c>
      <c r="E56" s="9"/>
      <c r="F56" s="9">
        <f>5000000*A4</f>
        <v>5200000</v>
      </c>
      <c r="G56" s="9"/>
      <c r="H56" s="9"/>
      <c r="I56" s="9"/>
      <c r="J56" s="9"/>
      <c r="K56" s="15">
        <f>SUM(B56:I56)</f>
        <v>18720000</v>
      </c>
    </row>
    <row r="57" spans="1:11" ht="28.5">
      <c r="A57" s="8" t="s">
        <v>165</v>
      </c>
      <c r="B57" s="9"/>
      <c r="C57" s="9"/>
      <c r="D57" s="9">
        <f>11000000*A4</f>
        <v>11440000</v>
      </c>
      <c r="E57" s="9"/>
      <c r="F57" s="9"/>
      <c r="G57" s="9"/>
      <c r="H57" s="9"/>
      <c r="I57" s="9"/>
      <c r="J57" s="9"/>
      <c r="K57" s="15">
        <f>SUM(B57:I57)</f>
        <v>11440000</v>
      </c>
    </row>
    <row r="58" spans="1:11" ht="28.5">
      <c r="A58" s="8" t="s">
        <v>166</v>
      </c>
      <c r="B58" s="9">
        <f>(25000000-8043648)*A4</f>
        <v>17634606.080000002</v>
      </c>
      <c r="C58" s="9"/>
      <c r="D58" s="9">
        <f>17000000*A4</f>
        <v>17680000</v>
      </c>
      <c r="E58" s="9"/>
      <c r="F58" s="9"/>
      <c r="G58" s="9"/>
      <c r="H58" s="9"/>
      <c r="I58" s="9"/>
      <c r="J58" s="9"/>
      <c r="K58" s="15">
        <f>SUM(B58:I58)</f>
        <v>35314606.079999998</v>
      </c>
    </row>
    <row r="59" spans="1:11" ht="42.75">
      <c r="A59" s="11" t="s">
        <v>167</v>
      </c>
      <c r="B59" s="12">
        <f t="shared" ref="B59:K59" si="12">SUM(B60:B61)</f>
        <v>0</v>
      </c>
      <c r="C59" s="12">
        <f t="shared" si="12"/>
        <v>0</v>
      </c>
      <c r="D59" s="12">
        <f t="shared" si="12"/>
        <v>10212800</v>
      </c>
      <c r="E59" s="12">
        <f t="shared" si="12"/>
        <v>0</v>
      </c>
      <c r="F59" s="12">
        <f t="shared" si="12"/>
        <v>3120000</v>
      </c>
      <c r="G59" s="12">
        <f t="shared" si="12"/>
        <v>0</v>
      </c>
      <c r="H59" s="12">
        <f t="shared" si="12"/>
        <v>0</v>
      </c>
      <c r="I59" s="12">
        <f t="shared" si="12"/>
        <v>0</v>
      </c>
      <c r="J59" s="12">
        <f t="shared" si="12"/>
        <v>0</v>
      </c>
      <c r="K59" s="12">
        <f t="shared" si="12"/>
        <v>13332800</v>
      </c>
    </row>
    <row r="60" spans="1:11" ht="28.5">
      <c r="A60" s="8" t="s">
        <v>168</v>
      </c>
      <c r="B60" s="9"/>
      <c r="C60" s="9"/>
      <c r="D60" s="9">
        <f>9820000*A4</f>
        <v>10212800</v>
      </c>
      <c r="E60" s="9"/>
      <c r="F60" s="9"/>
      <c r="G60" s="9"/>
      <c r="H60" s="9"/>
      <c r="I60" s="9"/>
      <c r="J60" s="9"/>
      <c r="K60" s="15">
        <f>SUM(B60:I60)</f>
        <v>10212800</v>
      </c>
    </row>
    <row r="61" spans="1:11" ht="28.5">
      <c r="A61" s="8" t="s">
        <v>169</v>
      </c>
      <c r="B61" s="9"/>
      <c r="C61" s="9"/>
      <c r="D61" s="9"/>
      <c r="E61" s="9"/>
      <c r="F61" s="9">
        <f>3000000*A4</f>
        <v>3120000</v>
      </c>
      <c r="G61" s="9"/>
      <c r="H61" s="9"/>
      <c r="I61" s="9"/>
      <c r="J61" s="9"/>
      <c r="K61" s="15">
        <f>SUM(B61:I61)</f>
        <v>3120000</v>
      </c>
    </row>
    <row r="62" spans="1:11" ht="42.75">
      <c r="A62" s="11" t="s">
        <v>170</v>
      </c>
      <c r="B62" s="12">
        <f t="shared" ref="B62:K62" si="13">SUM(B63)</f>
        <v>0</v>
      </c>
      <c r="C62" s="12">
        <f t="shared" si="13"/>
        <v>0</v>
      </c>
      <c r="D62" s="12">
        <f t="shared" si="13"/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</row>
    <row r="63" spans="1:11">
      <c r="A63" s="8" t="s">
        <v>518</v>
      </c>
      <c r="B63" s="9"/>
      <c r="C63" s="9"/>
      <c r="D63" s="9"/>
      <c r="E63" s="9"/>
      <c r="F63" s="9"/>
      <c r="G63" s="9"/>
      <c r="H63" s="9"/>
      <c r="I63" s="9"/>
      <c r="J63" s="9"/>
      <c r="K63" s="15">
        <f>SUM(B63:I63)</f>
        <v>0</v>
      </c>
    </row>
    <row r="64" spans="1:11" ht="72">
      <c r="A64" s="22" t="s">
        <v>142</v>
      </c>
      <c r="B64" s="23">
        <f t="shared" ref="B64:K64" si="14">+B62+B59+B54+B50+B47+B43</f>
        <v>65795329.600000001</v>
      </c>
      <c r="C64" s="23">
        <f t="shared" si="14"/>
        <v>0</v>
      </c>
      <c r="D64" s="23">
        <f t="shared" si="14"/>
        <v>300339662.08000004</v>
      </c>
      <c r="E64" s="23">
        <f t="shared" si="14"/>
        <v>0</v>
      </c>
      <c r="F64" s="23">
        <f t="shared" si="14"/>
        <v>8320000</v>
      </c>
      <c r="G64" s="23">
        <f t="shared" si="14"/>
        <v>0</v>
      </c>
      <c r="H64" s="23">
        <f t="shared" si="14"/>
        <v>300000000</v>
      </c>
      <c r="I64" s="23">
        <f t="shared" si="14"/>
        <v>0</v>
      </c>
      <c r="J64" s="23">
        <f t="shared" si="14"/>
        <v>0</v>
      </c>
      <c r="K64" s="23">
        <f t="shared" si="14"/>
        <v>674454991.68000007</v>
      </c>
    </row>
    <row r="65" spans="1:11" ht="22.5" customHeight="1">
      <c r="A65" s="21"/>
      <c r="B65" s="9"/>
      <c r="C65" s="9"/>
      <c r="D65" s="9"/>
      <c r="E65" s="9"/>
      <c r="F65" s="9"/>
      <c r="G65" s="9"/>
      <c r="H65" s="9"/>
      <c r="I65" s="9"/>
      <c r="J65" s="9"/>
      <c r="K65" s="15"/>
    </row>
    <row r="66" spans="1:11" ht="57">
      <c r="A66" s="5" t="s">
        <v>7</v>
      </c>
      <c r="B66" s="6" t="s">
        <v>2</v>
      </c>
      <c r="C66" s="6" t="e">
        <f>C68+#REF!+#REF!+#REF!+#REF!+#REF!+#REF!+#REF!+#REF!+#REF!+#REF!+#REF!+#REF!+#REF!</f>
        <v>#REF!</v>
      </c>
      <c r="D66" s="6" t="s">
        <v>1</v>
      </c>
      <c r="E66" s="6" t="e">
        <f>E68+#REF!+#REF!+#REF!+#REF!+#REF!+#REF!+#REF!+#REF!+#REF!+#REF!+#REF!+#REF!+#REF!</f>
        <v>#REF!</v>
      </c>
      <c r="F66" s="6" t="s">
        <v>3</v>
      </c>
      <c r="G66" s="6" t="e">
        <f>G68+#REF!+#REF!+#REF!+#REF!+#REF!+#REF!+#REF!+#REF!+#REF!+#REF!+#REF!+#REF!+#REF!</f>
        <v>#REF!</v>
      </c>
      <c r="H66" s="6" t="s">
        <v>4</v>
      </c>
      <c r="I66" s="6" t="s">
        <v>5</v>
      </c>
      <c r="J66" s="9">
        <v>200000</v>
      </c>
      <c r="K66" s="7" t="s">
        <v>0</v>
      </c>
    </row>
    <row r="67" spans="1:11" ht="28.5">
      <c r="A67" s="33" t="s">
        <v>116</v>
      </c>
      <c r="B67" s="9"/>
      <c r="C67" s="9"/>
      <c r="D67" s="9"/>
      <c r="E67" s="9"/>
      <c r="F67" s="9"/>
      <c r="G67" s="9"/>
      <c r="H67" s="9"/>
      <c r="I67" s="9"/>
      <c r="J67" s="9"/>
      <c r="K67" s="15"/>
    </row>
    <row r="68" spans="1:11" ht="28.5">
      <c r="A68" s="11" t="s">
        <v>519</v>
      </c>
      <c r="B68" s="12">
        <f t="shared" ref="B68:I68" si="15">SUM(B69:B74)</f>
        <v>24800001.039999999</v>
      </c>
      <c r="C68" s="12">
        <f t="shared" si="15"/>
        <v>0</v>
      </c>
      <c r="D68" s="12">
        <f t="shared" si="15"/>
        <v>672267418.16000009</v>
      </c>
      <c r="E68" s="12">
        <f t="shared" si="15"/>
        <v>0</v>
      </c>
      <c r="F68" s="12">
        <f t="shared" si="15"/>
        <v>0</v>
      </c>
      <c r="G68" s="12">
        <f t="shared" si="15"/>
        <v>0</v>
      </c>
      <c r="H68" s="12">
        <f t="shared" si="15"/>
        <v>0</v>
      </c>
      <c r="I68" s="12">
        <f t="shared" si="15"/>
        <v>6240000</v>
      </c>
      <c r="J68" s="25"/>
      <c r="K68" s="13">
        <f>SUM(K69:K74)</f>
        <v>703307419.20000005</v>
      </c>
    </row>
    <row r="69" spans="1:11" ht="28.5">
      <c r="A69" s="8" t="s">
        <v>520</v>
      </c>
      <c r="B69" s="9"/>
      <c r="C69" s="9"/>
      <c r="D69" s="9"/>
      <c r="E69" s="9"/>
      <c r="F69" s="9"/>
      <c r="G69" s="9"/>
      <c r="H69" s="9"/>
      <c r="I69" s="9">
        <f>500000*A4</f>
        <v>520000</v>
      </c>
      <c r="J69" s="9"/>
      <c r="K69" s="15">
        <f t="shared" ref="K69:K74" si="16">SUM(B69:I69)</f>
        <v>520000</v>
      </c>
    </row>
    <row r="70" spans="1:11" s="14" customFormat="1" ht="28.5">
      <c r="A70" s="8" t="s">
        <v>521</v>
      </c>
      <c r="B70" s="19"/>
      <c r="C70" s="19"/>
      <c r="D70" s="19"/>
      <c r="E70" s="19"/>
      <c r="F70" s="19"/>
      <c r="G70" s="19"/>
      <c r="H70" s="19"/>
      <c r="I70" s="9">
        <f>500000*A4</f>
        <v>520000</v>
      </c>
      <c r="J70" s="19"/>
      <c r="K70" s="15">
        <f t="shared" si="16"/>
        <v>520000</v>
      </c>
    </row>
    <row r="71" spans="1:11" s="14" customFormat="1" ht="42.75">
      <c r="A71" s="8" t="s">
        <v>525</v>
      </c>
      <c r="B71" s="9">
        <f>4000000+A4</f>
        <v>4000001.04</v>
      </c>
      <c r="C71" s="19"/>
      <c r="D71" s="19"/>
      <c r="E71" s="19"/>
      <c r="F71" s="9"/>
      <c r="G71" s="19"/>
      <c r="H71" s="19"/>
      <c r="I71" s="9"/>
      <c r="J71" s="19"/>
      <c r="K71" s="15">
        <f t="shared" si="16"/>
        <v>4000001.04</v>
      </c>
    </row>
    <row r="72" spans="1:11" ht="28.5">
      <c r="A72" s="8" t="s">
        <v>522</v>
      </c>
      <c r="B72" s="9">
        <f>20000000*A4</f>
        <v>20800000</v>
      </c>
      <c r="C72" s="9"/>
      <c r="D72" s="9"/>
      <c r="E72" s="9"/>
      <c r="F72" s="9"/>
      <c r="G72" s="9"/>
      <c r="H72" s="9"/>
      <c r="I72" s="9">
        <f>5000000*A4</f>
        <v>5200000</v>
      </c>
      <c r="J72" s="9"/>
      <c r="K72" s="15">
        <f t="shared" si="16"/>
        <v>26000000</v>
      </c>
    </row>
    <row r="73" spans="1:11" ht="42.75">
      <c r="A73" s="8" t="s">
        <v>523</v>
      </c>
      <c r="B73" s="9"/>
      <c r="C73" s="9"/>
      <c r="D73" s="9">
        <f>(286774000+58328930+600000)*A4</f>
        <v>359531047.19999999</v>
      </c>
      <c r="E73" s="9"/>
      <c r="F73" s="9"/>
      <c r="G73" s="9"/>
      <c r="H73" s="9"/>
      <c r="I73" s="9"/>
      <c r="J73" s="9"/>
      <c r="K73" s="15">
        <f t="shared" si="16"/>
        <v>359531047.19999999</v>
      </c>
    </row>
    <row r="74" spans="1:11" ht="28.5">
      <c r="A74" s="8" t="s">
        <v>524</v>
      </c>
      <c r="B74" s="9"/>
      <c r="C74" s="9"/>
      <c r="D74" s="9">
        <f>300708049*A4</f>
        <v>312736370.96000004</v>
      </c>
      <c r="E74" s="9"/>
      <c r="F74" s="9"/>
      <c r="G74" s="9"/>
      <c r="H74" s="9"/>
      <c r="I74" s="9"/>
      <c r="J74" s="9"/>
      <c r="K74" s="15">
        <f t="shared" si="16"/>
        <v>312736370.96000004</v>
      </c>
    </row>
    <row r="75" spans="1:11" ht="28.5">
      <c r="A75" s="11" t="s">
        <v>526</v>
      </c>
      <c r="B75" s="12">
        <f t="shared" ref="B75:I75" si="17">SUM(B76:B78)</f>
        <v>65207644.32</v>
      </c>
      <c r="C75" s="12">
        <f t="shared" si="17"/>
        <v>0</v>
      </c>
      <c r="D75" s="12">
        <f t="shared" si="17"/>
        <v>21632000</v>
      </c>
      <c r="E75" s="12">
        <f t="shared" si="17"/>
        <v>0</v>
      </c>
      <c r="F75" s="12">
        <f t="shared" si="17"/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25"/>
      <c r="K75" s="13">
        <f>SUM(B75:J75)</f>
        <v>86839644.319999993</v>
      </c>
    </row>
    <row r="76" spans="1:11" s="14" customFormat="1" ht="42.75">
      <c r="A76" s="8" t="s">
        <v>527</v>
      </c>
      <c r="B76" s="9">
        <f>30000000*A4</f>
        <v>31200000</v>
      </c>
      <c r="C76" s="19"/>
      <c r="D76" s="9">
        <f>10000000*A4</f>
        <v>10400000</v>
      </c>
      <c r="E76" s="19"/>
      <c r="F76" s="9"/>
      <c r="G76" s="19"/>
      <c r="H76" s="19"/>
      <c r="I76" s="19"/>
      <c r="J76" s="19"/>
      <c r="K76" s="13">
        <f>SUM(B76:J76)</f>
        <v>41600000</v>
      </c>
    </row>
    <row r="77" spans="1:11" ht="28.5">
      <c r="A77" s="8" t="s">
        <v>528</v>
      </c>
      <c r="B77" s="9">
        <f>2699658*A4</f>
        <v>2807644.3200000003</v>
      </c>
      <c r="C77" s="9"/>
      <c r="D77" s="9">
        <f>10800000*A4</f>
        <v>11232000</v>
      </c>
      <c r="E77" s="9"/>
      <c r="F77" s="9"/>
      <c r="G77" s="9"/>
      <c r="H77" s="9"/>
      <c r="I77" s="9"/>
      <c r="J77" s="9"/>
      <c r="K77" s="13">
        <f>SUM(B77:J77)</f>
        <v>14039644.32</v>
      </c>
    </row>
    <row r="78" spans="1:11" ht="28.5">
      <c r="A78" s="8" t="s">
        <v>529</v>
      </c>
      <c r="B78" s="9">
        <f>30000000*A4</f>
        <v>31200000</v>
      </c>
      <c r="C78" s="9"/>
      <c r="D78" s="9"/>
      <c r="E78" s="9"/>
      <c r="F78" s="9"/>
      <c r="G78" s="9"/>
      <c r="H78" s="9"/>
      <c r="I78" s="9"/>
      <c r="J78" s="9"/>
      <c r="K78" s="13">
        <f>SUM(B78:J78)</f>
        <v>31200000</v>
      </c>
    </row>
    <row r="79" spans="1:11" ht="28.5">
      <c r="A79" s="11" t="s">
        <v>530</v>
      </c>
      <c r="B79" s="12">
        <f t="shared" ref="B79:I79" si="18">SUM(B80:B81)</f>
        <v>0</v>
      </c>
      <c r="C79" s="12">
        <f t="shared" si="18"/>
        <v>0</v>
      </c>
      <c r="D79" s="12">
        <f t="shared" si="18"/>
        <v>60112000</v>
      </c>
      <c r="E79" s="12">
        <f t="shared" si="18"/>
        <v>0</v>
      </c>
      <c r="F79" s="12">
        <f t="shared" si="18"/>
        <v>18720000</v>
      </c>
      <c r="G79" s="12">
        <f t="shared" si="18"/>
        <v>0</v>
      </c>
      <c r="H79" s="12">
        <f t="shared" si="18"/>
        <v>0</v>
      </c>
      <c r="I79" s="12">
        <f t="shared" si="18"/>
        <v>0</v>
      </c>
      <c r="J79" s="25"/>
      <c r="K79" s="13">
        <f t="shared" ref="K79:K84" si="19">SUM(B79:I79)</f>
        <v>78832000</v>
      </c>
    </row>
    <row r="80" spans="1:11" ht="28.5">
      <c r="A80" s="8" t="s">
        <v>531</v>
      </c>
      <c r="B80" s="9"/>
      <c r="C80" s="9"/>
      <c r="D80" s="9">
        <f>2200000*A4</f>
        <v>2288000</v>
      </c>
      <c r="E80" s="9"/>
      <c r="F80" s="9">
        <f>12000000*A4</f>
        <v>12480000</v>
      </c>
      <c r="G80" s="9"/>
      <c r="H80" s="9"/>
      <c r="I80" s="9"/>
      <c r="J80" s="9"/>
      <c r="K80" s="15">
        <f t="shared" si="19"/>
        <v>14768000</v>
      </c>
    </row>
    <row r="81" spans="1:11" ht="42.75">
      <c r="A81" s="8" t="s">
        <v>532</v>
      </c>
      <c r="B81" s="9"/>
      <c r="C81" s="9"/>
      <c r="D81" s="9">
        <f>55600000*A4</f>
        <v>57824000</v>
      </c>
      <c r="E81" s="9"/>
      <c r="F81" s="9">
        <f>6000000*A4</f>
        <v>6240000</v>
      </c>
      <c r="G81" s="9"/>
      <c r="H81" s="9"/>
      <c r="I81" s="9"/>
      <c r="J81" s="9"/>
      <c r="K81" s="15">
        <f t="shared" si="19"/>
        <v>64064000</v>
      </c>
    </row>
    <row r="82" spans="1:11" ht="28.5">
      <c r="A82" s="11" t="s">
        <v>533</v>
      </c>
      <c r="B82" s="12">
        <f t="shared" ref="B82:I82" si="20">SUM(B83:B84)</f>
        <v>0</v>
      </c>
      <c r="C82" s="12">
        <f t="shared" si="20"/>
        <v>0</v>
      </c>
      <c r="D82" s="12">
        <f t="shared" si="20"/>
        <v>619089132.48000002</v>
      </c>
      <c r="E82" s="12">
        <f t="shared" si="20"/>
        <v>0</v>
      </c>
      <c r="F82" s="12">
        <f t="shared" si="20"/>
        <v>0</v>
      </c>
      <c r="G82" s="12">
        <f t="shared" si="20"/>
        <v>0</v>
      </c>
      <c r="H82" s="12">
        <f t="shared" si="20"/>
        <v>0</v>
      </c>
      <c r="I82" s="12">
        <f t="shared" si="20"/>
        <v>0</v>
      </c>
      <c r="J82" s="25"/>
      <c r="K82" s="13">
        <f t="shared" si="19"/>
        <v>619089132.48000002</v>
      </c>
    </row>
    <row r="83" spans="1:11" ht="28.5">
      <c r="A83" s="8" t="s">
        <v>534</v>
      </c>
      <c r="B83" s="9"/>
      <c r="C83" s="9"/>
      <c r="D83" s="9">
        <f>383665330*A4</f>
        <v>399011943.19999999</v>
      </c>
      <c r="E83" s="9"/>
      <c r="F83" s="9"/>
      <c r="G83" s="9"/>
      <c r="H83" s="9"/>
      <c r="I83" s="9"/>
      <c r="J83" s="9"/>
      <c r="K83" s="15">
        <f t="shared" si="19"/>
        <v>399011943.19999999</v>
      </c>
    </row>
    <row r="84" spans="1:11" ht="28.5">
      <c r="A84" s="8" t="s">
        <v>535</v>
      </c>
      <c r="B84" s="9"/>
      <c r="C84" s="9"/>
      <c r="D84" s="9">
        <f>(201374935+10237747)*A4</f>
        <v>220077189.28</v>
      </c>
      <c r="E84" s="9"/>
      <c r="F84" s="9"/>
      <c r="G84" s="9"/>
      <c r="H84" s="9"/>
      <c r="I84" s="9"/>
      <c r="J84" s="9"/>
      <c r="K84" s="15">
        <f t="shared" si="19"/>
        <v>220077189.28</v>
      </c>
    </row>
    <row r="85" spans="1:11" ht="28.5">
      <c r="A85" s="39" t="s">
        <v>536</v>
      </c>
      <c r="B85" s="12">
        <f>SUM(B86)</f>
        <v>1040000</v>
      </c>
      <c r="C85" s="12">
        <f t="shared" ref="C85:K85" si="21">SUM(C86)</f>
        <v>0</v>
      </c>
      <c r="D85" s="12">
        <f t="shared" si="21"/>
        <v>0</v>
      </c>
      <c r="E85" s="12">
        <f t="shared" si="21"/>
        <v>0</v>
      </c>
      <c r="F85" s="12">
        <f t="shared" si="21"/>
        <v>0</v>
      </c>
      <c r="G85" s="12">
        <f t="shared" si="21"/>
        <v>0</v>
      </c>
      <c r="H85" s="12">
        <f t="shared" si="21"/>
        <v>0</v>
      </c>
      <c r="I85" s="12">
        <f t="shared" si="21"/>
        <v>0</v>
      </c>
      <c r="J85" s="12">
        <f t="shared" si="21"/>
        <v>0</v>
      </c>
      <c r="K85" s="12">
        <f t="shared" si="21"/>
        <v>1040000</v>
      </c>
    </row>
    <row r="86" spans="1:11" ht="18" customHeight="1">
      <c r="A86" s="9" t="s">
        <v>546</v>
      </c>
      <c r="B86" s="9">
        <f>1000000*A4</f>
        <v>1040000</v>
      </c>
      <c r="C86" s="19"/>
      <c r="D86" s="19"/>
      <c r="E86" s="19"/>
      <c r="F86" s="9"/>
      <c r="G86" s="19"/>
      <c r="H86" s="19"/>
      <c r="I86" s="19"/>
      <c r="J86" s="9"/>
      <c r="K86" s="19">
        <f>SUM(B86:J86)</f>
        <v>1040000</v>
      </c>
    </row>
    <row r="87" spans="1:11" ht="54">
      <c r="A87" s="22" t="s">
        <v>506</v>
      </c>
      <c r="B87" s="23">
        <f>+B85+B82+B79+B75+B68</f>
        <v>91047645.359999999</v>
      </c>
      <c r="C87" s="23">
        <f t="shared" ref="C87:K87" si="22">+C85+C82+C79+C75+C68</f>
        <v>0</v>
      </c>
      <c r="D87" s="23">
        <f t="shared" si="22"/>
        <v>1373100550.6400001</v>
      </c>
      <c r="E87" s="23">
        <f t="shared" si="22"/>
        <v>0</v>
      </c>
      <c r="F87" s="23">
        <f t="shared" si="22"/>
        <v>18720000</v>
      </c>
      <c r="G87" s="23">
        <f t="shared" si="22"/>
        <v>0</v>
      </c>
      <c r="H87" s="23">
        <f t="shared" si="22"/>
        <v>0</v>
      </c>
      <c r="I87" s="23">
        <f t="shared" si="22"/>
        <v>6240000</v>
      </c>
      <c r="J87" s="23">
        <f t="shared" si="22"/>
        <v>0</v>
      </c>
      <c r="K87" s="23">
        <f t="shared" si="22"/>
        <v>1489108196</v>
      </c>
    </row>
    <row r="88" spans="1:11" ht="18">
      <c r="A88" s="31"/>
      <c r="B88" s="19"/>
      <c r="C88" s="19"/>
      <c r="D88" s="19"/>
      <c r="E88" s="19"/>
      <c r="F88" s="19"/>
      <c r="G88" s="19"/>
      <c r="H88" s="19"/>
      <c r="I88" s="19"/>
      <c r="J88" s="19"/>
      <c r="K88" s="32"/>
    </row>
    <row r="89" spans="1:11" ht="57">
      <c r="A89" s="5" t="s">
        <v>507</v>
      </c>
      <c r="B89" s="6" t="s">
        <v>2</v>
      </c>
      <c r="C89" s="6" t="e">
        <f>C91+#REF!+#REF!+#REF!+#REF!+#REF!+#REF!+#REF!+#REF!+#REF!+#REF!+#REF!+#REF!+#REF!</f>
        <v>#REF!</v>
      </c>
      <c r="D89" s="6" t="s">
        <v>1</v>
      </c>
      <c r="E89" s="6" t="e">
        <f>E91+#REF!+#REF!+#REF!+#REF!+#REF!+#REF!+#REF!+#REF!+#REF!+#REF!+#REF!+#REF!+#REF!</f>
        <v>#REF!</v>
      </c>
      <c r="F89" s="6" t="s">
        <v>3</v>
      </c>
      <c r="G89" s="6" t="e">
        <f>G91+#REF!+#REF!+#REF!+#REF!+#REF!+#REF!+#REF!+#REF!+#REF!+#REF!+#REF!+#REF!+#REF!</f>
        <v>#REF!</v>
      </c>
      <c r="H89" s="6" t="s">
        <v>4</v>
      </c>
      <c r="I89" s="6" t="s">
        <v>5</v>
      </c>
      <c r="J89" s="9">
        <v>200000</v>
      </c>
      <c r="K89" s="7" t="s">
        <v>0</v>
      </c>
    </row>
    <row r="90" spans="1:11" ht="28.5">
      <c r="A90" s="33" t="s">
        <v>117</v>
      </c>
      <c r="B90" s="9"/>
      <c r="C90" s="9"/>
      <c r="D90" s="9"/>
      <c r="E90" s="9"/>
      <c r="F90" s="9"/>
      <c r="G90" s="9"/>
      <c r="H90" s="9"/>
      <c r="I90" s="9"/>
      <c r="J90" s="9"/>
      <c r="K90" s="15"/>
    </row>
    <row r="91" spans="1:11" ht="28.5">
      <c r="A91" s="11" t="s">
        <v>537</v>
      </c>
      <c r="B91" s="12">
        <f t="shared" ref="B91:K91" si="23">SUM(B92)</f>
        <v>0</v>
      </c>
      <c r="C91" s="12">
        <f t="shared" si="23"/>
        <v>0</v>
      </c>
      <c r="D91" s="12">
        <f t="shared" si="23"/>
        <v>8320000</v>
      </c>
      <c r="E91" s="12">
        <f t="shared" si="23"/>
        <v>0</v>
      </c>
      <c r="F91" s="12">
        <f t="shared" si="23"/>
        <v>0</v>
      </c>
      <c r="G91" s="12">
        <f t="shared" si="23"/>
        <v>0</v>
      </c>
      <c r="H91" s="12">
        <f t="shared" si="23"/>
        <v>0</v>
      </c>
      <c r="I91" s="12">
        <f t="shared" si="23"/>
        <v>0</v>
      </c>
      <c r="J91" s="12">
        <f t="shared" si="23"/>
        <v>0</v>
      </c>
      <c r="K91" s="12">
        <f t="shared" si="23"/>
        <v>8320000</v>
      </c>
    </row>
    <row r="92" spans="1:11" ht="28.5">
      <c r="A92" s="8" t="s">
        <v>538</v>
      </c>
      <c r="B92" s="9"/>
      <c r="C92" s="19"/>
      <c r="D92" s="9">
        <f>8000000*A4</f>
        <v>8320000</v>
      </c>
      <c r="E92" s="19"/>
      <c r="F92" s="9"/>
      <c r="G92" s="19"/>
      <c r="H92" s="19"/>
      <c r="I92" s="19"/>
      <c r="J92" s="9"/>
      <c r="K92" s="15">
        <f>SUM(B92:I92)</f>
        <v>8320000</v>
      </c>
    </row>
    <row r="93" spans="1:11" ht="28.5">
      <c r="A93" s="11" t="s">
        <v>539</v>
      </c>
      <c r="B93" s="12">
        <f t="shared" ref="B93:K93" si="24">SUM(B94)</f>
        <v>0</v>
      </c>
      <c r="C93" s="12">
        <f t="shared" si="24"/>
        <v>0</v>
      </c>
      <c r="D93" s="12">
        <f t="shared" si="24"/>
        <v>8320000</v>
      </c>
      <c r="E93" s="12">
        <f t="shared" si="24"/>
        <v>0</v>
      </c>
      <c r="F93" s="12">
        <f t="shared" si="24"/>
        <v>0</v>
      </c>
      <c r="G93" s="12">
        <f t="shared" si="24"/>
        <v>0</v>
      </c>
      <c r="H93" s="12">
        <f t="shared" si="24"/>
        <v>0</v>
      </c>
      <c r="I93" s="12">
        <f t="shared" si="24"/>
        <v>0</v>
      </c>
      <c r="J93" s="12">
        <f t="shared" si="24"/>
        <v>0</v>
      </c>
      <c r="K93" s="12">
        <f t="shared" si="24"/>
        <v>8320000</v>
      </c>
    </row>
    <row r="94" spans="1:11" ht="28.5">
      <c r="A94" s="8" t="s">
        <v>540</v>
      </c>
      <c r="B94" s="19"/>
      <c r="C94" s="19"/>
      <c r="D94" s="9">
        <f>8000000*A4</f>
        <v>8320000</v>
      </c>
      <c r="E94" s="19"/>
      <c r="F94" s="9"/>
      <c r="G94" s="19"/>
      <c r="H94" s="19"/>
      <c r="I94" s="19"/>
      <c r="J94" s="9"/>
      <c r="K94" s="15">
        <f>SUM(B94:I94)</f>
        <v>8320000</v>
      </c>
    </row>
    <row r="95" spans="1:11" ht="28.5">
      <c r="A95" s="11" t="s">
        <v>541</v>
      </c>
      <c r="B95" s="12">
        <f t="shared" ref="B95:K95" si="25">SUM(B96:B97)</f>
        <v>0</v>
      </c>
      <c r="C95" s="12">
        <f t="shared" si="25"/>
        <v>0</v>
      </c>
      <c r="D95" s="12">
        <f t="shared" si="25"/>
        <v>72176000</v>
      </c>
      <c r="E95" s="12">
        <f t="shared" si="25"/>
        <v>0</v>
      </c>
      <c r="F95" s="12">
        <f t="shared" si="25"/>
        <v>0</v>
      </c>
      <c r="G95" s="12">
        <f t="shared" si="25"/>
        <v>0</v>
      </c>
      <c r="H95" s="12">
        <f t="shared" si="25"/>
        <v>0</v>
      </c>
      <c r="I95" s="12">
        <f t="shared" si="25"/>
        <v>0</v>
      </c>
      <c r="J95" s="12">
        <f t="shared" si="25"/>
        <v>0</v>
      </c>
      <c r="K95" s="12">
        <f t="shared" si="25"/>
        <v>72176000</v>
      </c>
    </row>
    <row r="96" spans="1:11" ht="28.5">
      <c r="A96" s="8" t="s">
        <v>542</v>
      </c>
      <c r="B96" s="9"/>
      <c r="C96" s="9"/>
      <c r="D96" s="9">
        <f>60400000*A4</f>
        <v>62816000</v>
      </c>
      <c r="E96" s="9"/>
      <c r="F96" s="9"/>
      <c r="G96" s="19"/>
      <c r="H96" s="19"/>
      <c r="I96" s="19"/>
      <c r="J96" s="9"/>
      <c r="K96" s="15">
        <f>SUM(B96:I96)</f>
        <v>62816000</v>
      </c>
    </row>
    <row r="97" spans="1:11" ht="42.75">
      <c r="A97" s="8" t="s">
        <v>543</v>
      </c>
      <c r="B97" s="9"/>
      <c r="C97" s="9"/>
      <c r="D97" s="9">
        <f>9000000*A4</f>
        <v>9360000</v>
      </c>
      <c r="E97" s="9"/>
      <c r="F97" s="9"/>
      <c r="G97" s="19"/>
      <c r="H97" s="19"/>
      <c r="I97" s="19"/>
      <c r="J97" s="9"/>
      <c r="K97" s="15">
        <f>SUM(B97:I97)</f>
        <v>9360000</v>
      </c>
    </row>
    <row r="98" spans="1:11" ht="28.5">
      <c r="A98" s="11" t="s">
        <v>544</v>
      </c>
      <c r="B98" s="12">
        <f>SUM(B99)</f>
        <v>0</v>
      </c>
      <c r="C98" s="12">
        <f t="shared" ref="C98:K98" si="26">SUM(C99)</f>
        <v>0</v>
      </c>
      <c r="D98" s="12">
        <f t="shared" si="26"/>
        <v>150680250.24000001</v>
      </c>
      <c r="E98" s="12">
        <f t="shared" si="26"/>
        <v>0</v>
      </c>
      <c r="F98" s="12">
        <f t="shared" si="26"/>
        <v>21131904.560000002</v>
      </c>
      <c r="G98" s="12">
        <f t="shared" si="26"/>
        <v>0</v>
      </c>
      <c r="H98" s="12">
        <f t="shared" si="26"/>
        <v>0</v>
      </c>
      <c r="I98" s="12">
        <f t="shared" si="26"/>
        <v>0</v>
      </c>
      <c r="J98" s="12">
        <f t="shared" si="26"/>
        <v>0</v>
      </c>
      <c r="K98" s="12">
        <f t="shared" si="26"/>
        <v>171812154.80000001</v>
      </c>
    </row>
    <row r="99" spans="1:11" ht="28.5">
      <c r="A99" s="8" t="s">
        <v>545</v>
      </c>
      <c r="B99" s="2">
        <v>0</v>
      </c>
      <c r="C99" s="19"/>
      <c r="D99" s="9">
        <f>144884856*A4</f>
        <v>150680250.24000001</v>
      </c>
      <c r="E99" s="19"/>
      <c r="F99" s="9">
        <f>(20000000+319139)*A4</f>
        <v>21131904.560000002</v>
      </c>
      <c r="G99" s="19"/>
      <c r="H99" s="19"/>
      <c r="I99" s="19"/>
      <c r="J99" s="9"/>
      <c r="K99" s="15">
        <f>SUM(C99:I99)</f>
        <v>171812154.80000001</v>
      </c>
    </row>
    <row r="100" spans="1:11" ht="36">
      <c r="A100" s="22" t="s">
        <v>9</v>
      </c>
      <c r="B100" s="23">
        <f t="shared" ref="B100:K100" si="27">+B98+B95+B93+B91</f>
        <v>0</v>
      </c>
      <c r="C100" s="23">
        <f t="shared" si="27"/>
        <v>0</v>
      </c>
      <c r="D100" s="23">
        <f t="shared" si="27"/>
        <v>239496250.24000001</v>
      </c>
      <c r="E100" s="23">
        <f t="shared" si="27"/>
        <v>0</v>
      </c>
      <c r="F100" s="23">
        <f t="shared" si="27"/>
        <v>21131904.560000002</v>
      </c>
      <c r="G100" s="23">
        <f t="shared" si="27"/>
        <v>0</v>
      </c>
      <c r="H100" s="23">
        <f t="shared" si="27"/>
        <v>0</v>
      </c>
      <c r="I100" s="23">
        <f t="shared" si="27"/>
        <v>0</v>
      </c>
      <c r="J100" s="23">
        <f t="shared" si="27"/>
        <v>0</v>
      </c>
      <c r="K100" s="23">
        <f t="shared" si="27"/>
        <v>260628154.80000001</v>
      </c>
    </row>
    <row r="101" spans="1:11" s="14" customForma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5"/>
    </row>
    <row r="102" spans="1:11" ht="18">
      <c r="A102" s="24" t="s">
        <v>8</v>
      </c>
      <c r="B102" s="34">
        <f t="shared" ref="B102:K102" si="28">+B100+B87+B64+B39</f>
        <v>162042974.96000001</v>
      </c>
      <c r="C102" s="34">
        <f t="shared" si="28"/>
        <v>0</v>
      </c>
      <c r="D102" s="34">
        <f t="shared" si="28"/>
        <v>4613958413.6000004</v>
      </c>
      <c r="E102" s="34">
        <f t="shared" si="28"/>
        <v>0</v>
      </c>
      <c r="F102" s="34">
        <f t="shared" si="28"/>
        <v>243096317.36000001</v>
      </c>
      <c r="G102" s="34">
        <f t="shared" si="28"/>
        <v>0</v>
      </c>
      <c r="H102" s="34">
        <f t="shared" si="28"/>
        <v>300000000</v>
      </c>
      <c r="I102" s="34">
        <f t="shared" si="28"/>
        <v>2799948734.4000001</v>
      </c>
      <c r="J102" s="34">
        <f t="shared" si="28"/>
        <v>0</v>
      </c>
      <c r="K102" s="34">
        <f t="shared" si="28"/>
        <v>8119046440.3200016</v>
      </c>
    </row>
  </sheetData>
  <mergeCells count="2">
    <mergeCell ref="A1:K1"/>
    <mergeCell ref="A3:K3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topLeftCell="A21" workbookViewId="0">
      <selection activeCell="A26" sqref="A26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5703125" style="2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509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>
        <v>1.0449999999999999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C7+C28+C47+C51+C70+C76+C101+#REF!+#REF!+#REF!+#REF!+#REF!+#REF!+#REF!</f>
        <v>#REF!</v>
      </c>
      <c r="D5" s="6" t="s">
        <v>1</v>
      </c>
      <c r="E5" s="6" t="e">
        <f>E7+E28+E47+E51+E70+E76+E101+#REF!+#REF!+#REF!+#REF!+#REF!+#REF!+#REF!</f>
        <v>#REF!</v>
      </c>
      <c r="F5" s="6" t="s">
        <v>3</v>
      </c>
      <c r="G5" s="6" t="e">
        <f>G7+G28+G47+G51+G70+G76+G101+#REF!+#REF!+#REF!+#REF!+#REF!+#REF!+#REF!</f>
        <v>#REF!</v>
      </c>
      <c r="H5" s="6" t="s">
        <v>4</v>
      </c>
      <c r="I5" s="6" t="s">
        <v>5</v>
      </c>
      <c r="J5" s="6" t="e">
        <f>J7+J28+J47+J51+J70+J76+J101+#REF!+#REF!+#REF!+#REF!+#REF!+#REF!+#REF!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s="14" customFormat="1" ht="28.5">
      <c r="A7" s="11" t="s">
        <v>118</v>
      </c>
      <c r="B7" s="12">
        <f t="shared" ref="B7:I7" si="0">SUM(B8:B16)</f>
        <v>0</v>
      </c>
      <c r="C7" s="12">
        <f t="shared" si="0"/>
        <v>0</v>
      </c>
      <c r="D7" s="12">
        <f t="shared" si="0"/>
        <v>2524619077.0349998</v>
      </c>
      <c r="E7" s="12">
        <f t="shared" si="0"/>
        <v>0</v>
      </c>
      <c r="F7" s="12">
        <f t="shared" si="0"/>
        <v>96826899.399999991</v>
      </c>
      <c r="G7" s="12">
        <f t="shared" si="0"/>
        <v>0</v>
      </c>
      <c r="H7" s="12">
        <f t="shared" si="0"/>
        <v>0</v>
      </c>
      <c r="I7" s="12">
        <f t="shared" si="0"/>
        <v>2591910218.6999998</v>
      </c>
      <c r="J7" s="12"/>
      <c r="K7" s="13">
        <f t="shared" ref="K7:K31" si="1">+B7+D7+F7+H7+I7</f>
        <v>5213356195.1350002</v>
      </c>
    </row>
    <row r="8" spans="1:11" ht="28.5">
      <c r="A8" s="8" t="s">
        <v>119</v>
      </c>
      <c r="B8" s="9"/>
      <c r="C8" s="9"/>
      <c r="D8" s="9">
        <f>20000000*$A$4</f>
        <v>20900000</v>
      </c>
      <c r="E8" s="9"/>
      <c r="F8" s="9">
        <f>10000000*A4</f>
        <v>10450000</v>
      </c>
      <c r="G8" s="9"/>
      <c r="H8" s="9"/>
      <c r="I8" s="9"/>
      <c r="J8" s="9"/>
      <c r="K8" s="15">
        <f t="shared" si="1"/>
        <v>31350000</v>
      </c>
    </row>
    <row r="9" spans="1:11" ht="28.5">
      <c r="A9" s="8" t="s">
        <v>120</v>
      </c>
      <c r="B9" s="9"/>
      <c r="C9" s="9"/>
      <c r="D9" s="9">
        <f>(30000000+11889320-10000000)*A4</f>
        <v>33324339.399999999</v>
      </c>
      <c r="E9" s="9"/>
      <c r="F9" s="9">
        <f>10000000*A4</f>
        <v>10450000</v>
      </c>
      <c r="G9" s="9"/>
      <c r="H9" s="9"/>
      <c r="I9" s="9"/>
      <c r="J9" s="9"/>
      <c r="K9" s="15">
        <f t="shared" si="1"/>
        <v>43774339.399999999</v>
      </c>
    </row>
    <row r="10" spans="1:11" ht="27.75" customHeight="1">
      <c r="A10" s="8" t="s">
        <v>121</v>
      </c>
      <c r="B10" s="9"/>
      <c r="C10" s="9"/>
      <c r="D10" s="9">
        <f>20000000*$A$4</f>
        <v>20900000</v>
      </c>
      <c r="E10" s="9"/>
      <c r="F10" s="9"/>
      <c r="G10" s="9"/>
      <c r="H10" s="9"/>
      <c r="I10" s="9"/>
      <c r="J10" s="9"/>
      <c r="K10" s="15">
        <f t="shared" si="1"/>
        <v>20900000</v>
      </c>
    </row>
    <row r="11" spans="1:11" ht="21" customHeight="1">
      <c r="A11" s="8" t="s">
        <v>122</v>
      </c>
      <c r="B11" s="9"/>
      <c r="C11" s="9"/>
      <c r="D11" s="9"/>
      <c r="E11" s="9"/>
      <c r="F11" s="9">
        <f>10000000*A4</f>
        <v>10450000</v>
      </c>
      <c r="G11" s="9"/>
      <c r="H11" s="9"/>
      <c r="I11" s="9"/>
      <c r="J11" s="9"/>
      <c r="K11" s="15">
        <f t="shared" si="1"/>
        <v>10450000</v>
      </c>
    </row>
    <row r="12" spans="1:11" ht="18.75" customHeight="1">
      <c r="A12" s="8" t="s">
        <v>123</v>
      </c>
      <c r="B12" s="9"/>
      <c r="C12" s="9"/>
      <c r="D12" s="9">
        <f>(20490998-3654820)*A4</f>
        <v>17593806.009999998</v>
      </c>
      <c r="E12" s="9"/>
      <c r="F12" s="9">
        <f>3654820*A4</f>
        <v>3819286.9</v>
      </c>
      <c r="G12" s="9"/>
      <c r="H12" s="9"/>
      <c r="I12" s="9"/>
      <c r="J12" s="9"/>
      <c r="K12" s="15">
        <f t="shared" si="1"/>
        <v>21413092.909999996</v>
      </c>
    </row>
    <row r="13" spans="1:11" ht="42.75">
      <c r="A13" s="8" t="s">
        <v>128</v>
      </c>
      <c r="B13" s="9"/>
      <c r="C13" s="9"/>
      <c r="D13" s="9">
        <f>30000000*A4</f>
        <v>31349999.999999996</v>
      </c>
      <c r="E13" s="9"/>
      <c r="F13" s="9"/>
      <c r="G13" s="9"/>
      <c r="H13" s="9"/>
      <c r="I13" s="9"/>
      <c r="J13" s="9"/>
      <c r="K13" s="15">
        <f t="shared" si="1"/>
        <v>31349999.999999996</v>
      </c>
    </row>
    <row r="14" spans="1:11" ht="31.5" customHeight="1">
      <c r="A14" s="8" t="s">
        <v>124</v>
      </c>
      <c r="B14" s="9"/>
      <c r="C14" s="9"/>
      <c r="D14" s="9">
        <f>10000000*A4</f>
        <v>10450000</v>
      </c>
      <c r="E14" s="9"/>
      <c r="F14" s="9"/>
      <c r="G14" s="9"/>
      <c r="H14" s="9"/>
      <c r="I14" s="9"/>
      <c r="J14" s="9"/>
      <c r="K14" s="15">
        <f t="shared" si="1"/>
        <v>10450000</v>
      </c>
    </row>
    <row r="15" spans="1:11" ht="28.5">
      <c r="A15" s="8" t="s">
        <v>125</v>
      </c>
      <c r="B15" s="9"/>
      <c r="C15" s="9"/>
      <c r="D15" s="9">
        <f>13000000*A4</f>
        <v>13585000</v>
      </c>
      <c r="E15" s="9"/>
      <c r="F15" s="9"/>
      <c r="G15" s="9"/>
      <c r="H15" s="9"/>
      <c r="I15" s="9"/>
      <c r="J15" s="9"/>
      <c r="K15" s="15">
        <f t="shared" si="1"/>
        <v>13585000</v>
      </c>
    </row>
    <row r="16" spans="1:11" ht="28.5">
      <c r="A16" s="8" t="s">
        <v>126</v>
      </c>
      <c r="B16" s="9"/>
      <c r="C16" s="9"/>
      <c r="D16" s="9">
        <f>2274177925*A4</f>
        <v>2376515931.625</v>
      </c>
      <c r="E16" s="9"/>
      <c r="F16" s="9">
        <f>59002500*A4</f>
        <v>61657612.499999993</v>
      </c>
      <c r="G16" s="9"/>
      <c r="H16" s="9"/>
      <c r="I16" s="9">
        <f>(2453403311+26893549)*A4</f>
        <v>2591910218.6999998</v>
      </c>
      <c r="J16" s="9"/>
      <c r="K16" s="15">
        <f t="shared" si="1"/>
        <v>5030083762.8249998</v>
      </c>
    </row>
    <row r="17" spans="1:11" ht="28.5">
      <c r="A17" s="11" t="s">
        <v>127</v>
      </c>
      <c r="B17" s="12">
        <f t="shared" ref="B17:I17" si="2">SUM(B18:B19)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25079999.999999996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25"/>
      <c r="K17" s="13">
        <f t="shared" si="1"/>
        <v>25079999.999999996</v>
      </c>
    </row>
    <row r="18" spans="1:11" ht="28.5">
      <c r="A18" s="8" t="s">
        <v>129</v>
      </c>
      <c r="B18" s="9"/>
      <c r="C18" s="9"/>
      <c r="D18" s="9"/>
      <c r="E18" s="16"/>
      <c r="F18" s="9">
        <f>16000000*A4</f>
        <v>16719999.999999998</v>
      </c>
      <c r="G18" s="9"/>
      <c r="H18" s="9"/>
      <c r="I18" s="9"/>
      <c r="J18" s="9"/>
      <c r="K18" s="13">
        <f t="shared" si="1"/>
        <v>16719999.999999998</v>
      </c>
    </row>
    <row r="19" spans="1:11" ht="45.75" customHeight="1">
      <c r="A19" s="8" t="s">
        <v>130</v>
      </c>
      <c r="B19" s="9"/>
      <c r="C19" s="9"/>
      <c r="D19" s="9"/>
      <c r="E19" s="9"/>
      <c r="F19" s="16">
        <f>8000000*A4</f>
        <v>8359999.9999999991</v>
      </c>
      <c r="G19" s="16"/>
      <c r="H19" s="16"/>
      <c r="I19" s="9"/>
      <c r="J19" s="9"/>
      <c r="K19" s="13">
        <f t="shared" si="1"/>
        <v>8359999.9999999991</v>
      </c>
    </row>
    <row r="20" spans="1:11" ht="18" customHeight="1">
      <c r="A20" s="11" t="s">
        <v>131</v>
      </c>
      <c r="B20" s="12">
        <f>SUM(B21:B23)</f>
        <v>0</v>
      </c>
      <c r="C20" s="12"/>
      <c r="D20" s="12">
        <f>SUM(D21:D23)</f>
        <v>44269473.984999999</v>
      </c>
      <c r="E20" s="25"/>
      <c r="F20" s="12">
        <f>SUM(F21:F23)</f>
        <v>19614650</v>
      </c>
      <c r="G20" s="25"/>
      <c r="H20" s="12">
        <f>SUM(H21:H23)</f>
        <v>0</v>
      </c>
      <c r="I20" s="12">
        <f>SUM(I21:I23)</f>
        <v>109725000</v>
      </c>
      <c r="J20" s="25"/>
      <c r="K20" s="13">
        <f t="shared" si="1"/>
        <v>173609123.98500001</v>
      </c>
    </row>
    <row r="21" spans="1:11" ht="42.75">
      <c r="A21" s="8" t="s">
        <v>132</v>
      </c>
      <c r="B21" s="9"/>
      <c r="C21" s="9"/>
      <c r="D21" s="9">
        <f>26680000*A4</f>
        <v>27880599.999999996</v>
      </c>
      <c r="E21" s="9"/>
      <c r="F21" s="9">
        <f>(20000000+4500000-4336867-3000000-6000000)*A4</f>
        <v>11665473.984999999</v>
      </c>
      <c r="G21" s="9"/>
      <c r="H21" s="9"/>
      <c r="I21" s="9">
        <f>52500000*A4</f>
        <v>54862499.999999993</v>
      </c>
      <c r="J21" s="9"/>
      <c r="K21" s="13">
        <f t="shared" si="1"/>
        <v>94408573.984999985</v>
      </c>
    </row>
    <row r="22" spans="1:11" ht="28.5">
      <c r="A22" s="8" t="s">
        <v>133</v>
      </c>
      <c r="B22" s="9"/>
      <c r="C22" s="9"/>
      <c r="D22" s="9">
        <f>(5000000+8230000-3000000-4000000+623133+1000000)*A4</f>
        <v>8206523.9849999994</v>
      </c>
      <c r="E22" s="9"/>
      <c r="F22" s="9">
        <f>(4500000+106867+3000000)*A4</f>
        <v>7949176.0149999997</v>
      </c>
      <c r="G22" s="9"/>
      <c r="H22" s="9"/>
      <c r="I22" s="9">
        <f>49500000*A4</f>
        <v>51727500</v>
      </c>
      <c r="J22" s="9"/>
      <c r="K22" s="13">
        <f t="shared" si="1"/>
        <v>67883200</v>
      </c>
    </row>
    <row r="23" spans="1:11" ht="28.5">
      <c r="A23" s="8" t="s">
        <v>517</v>
      </c>
      <c r="B23" s="9"/>
      <c r="C23" s="9"/>
      <c r="D23" s="9">
        <f>(5000000+8230000-3000000-4000000+1000000+600000)*A4</f>
        <v>8182349.9999999991</v>
      </c>
      <c r="E23" s="9"/>
      <c r="F23" s="9"/>
      <c r="G23" s="9"/>
      <c r="H23" s="9"/>
      <c r="I23" s="9">
        <f>3000000*A4</f>
        <v>3135000</v>
      </c>
      <c r="J23" s="9"/>
      <c r="K23" s="13">
        <f t="shared" si="1"/>
        <v>11317350</v>
      </c>
    </row>
    <row r="24" spans="1:11" ht="28.5">
      <c r="A24" s="11" t="s">
        <v>134</v>
      </c>
      <c r="B24" s="12">
        <f>SUM(B25:B28)</f>
        <v>2089999.9999999998</v>
      </c>
      <c r="C24" s="25"/>
      <c r="D24" s="12">
        <f>SUM(D25:D28)</f>
        <v>21519005.75</v>
      </c>
      <c r="E24" s="25"/>
      <c r="F24" s="12">
        <f>SUM(F25:F28)</f>
        <v>41800000</v>
      </c>
      <c r="G24" s="25"/>
      <c r="H24" s="12">
        <f>SUM(H25:H28)</f>
        <v>0</v>
      </c>
      <c r="I24" s="12">
        <v>105000000</v>
      </c>
      <c r="J24" s="25"/>
      <c r="K24" s="13">
        <f t="shared" si="1"/>
        <v>170409005.75</v>
      </c>
    </row>
    <row r="25" spans="1:11" ht="28.5">
      <c r="A25" s="8" t="s">
        <v>135</v>
      </c>
      <c r="B25" s="9"/>
      <c r="C25" s="9"/>
      <c r="D25" s="9">
        <f>8000000*A4</f>
        <v>8359999.9999999991</v>
      </c>
      <c r="E25" s="9"/>
      <c r="F25" s="9">
        <f>16000000*A4</f>
        <v>16719999.999999998</v>
      </c>
      <c r="G25" s="9"/>
      <c r="H25" s="9"/>
      <c r="I25" s="9">
        <f>52500000*A4</f>
        <v>54862499.999999993</v>
      </c>
      <c r="J25" s="9"/>
      <c r="K25" s="13">
        <f t="shared" si="1"/>
        <v>79942499.999999985</v>
      </c>
    </row>
    <row r="26" spans="1:11" ht="57">
      <c r="A26" s="8" t="s">
        <v>1034</v>
      </c>
      <c r="B26" s="9"/>
      <c r="C26" s="9"/>
      <c r="D26" s="9">
        <f>(8000000+220000)*A4</f>
        <v>8589900</v>
      </c>
      <c r="E26" s="9"/>
      <c r="F26" s="9">
        <f>(16000000-2000000)*A4</f>
        <v>14629999.999999998</v>
      </c>
      <c r="G26" s="9"/>
      <c r="H26" s="9"/>
      <c r="I26" s="9">
        <f>(30000000+3000000)*A4</f>
        <v>34485000</v>
      </c>
      <c r="J26" s="9"/>
      <c r="K26" s="13">
        <f t="shared" si="1"/>
        <v>57704900</v>
      </c>
    </row>
    <row r="27" spans="1:11" ht="28.5">
      <c r="A27" s="8" t="s">
        <v>136</v>
      </c>
      <c r="B27" s="9">
        <f>2000000*A4</f>
        <v>2089999.9999999998</v>
      </c>
      <c r="C27" s="9"/>
      <c r="D27" s="9">
        <f>+(4372350)*A4</f>
        <v>4569105.75</v>
      </c>
      <c r="E27" s="9"/>
      <c r="F27" s="9">
        <f>6000000*A4</f>
        <v>6270000</v>
      </c>
      <c r="G27" s="9"/>
      <c r="H27" s="9"/>
      <c r="I27" s="9">
        <f>20000000*A4</f>
        <v>20900000</v>
      </c>
      <c r="J27" s="9"/>
      <c r="K27" s="13">
        <f t="shared" si="1"/>
        <v>33829105.75</v>
      </c>
    </row>
    <row r="28" spans="1:11" s="14" customFormat="1" ht="28.5">
      <c r="A28" s="8" t="s">
        <v>137</v>
      </c>
      <c r="B28" s="9"/>
      <c r="C28" s="9"/>
      <c r="D28" s="9"/>
      <c r="E28" s="9"/>
      <c r="F28" s="9">
        <f>4000000*A4</f>
        <v>4179999.9999999995</v>
      </c>
      <c r="G28" s="9"/>
      <c r="H28" s="9"/>
      <c r="I28" s="9"/>
      <c r="J28" s="19"/>
      <c r="K28" s="13">
        <f t="shared" si="1"/>
        <v>4179999.9999999995</v>
      </c>
    </row>
    <row r="29" spans="1:11" s="14" customFormat="1" ht="28.5">
      <c r="A29" s="11" t="s">
        <v>138</v>
      </c>
      <c r="B29" s="12">
        <f t="shared" ref="B29:I29" si="3">SUM(B30)</f>
        <v>0</v>
      </c>
      <c r="C29" s="12">
        <f t="shared" si="3"/>
        <v>0</v>
      </c>
      <c r="D29" s="12">
        <f t="shared" si="3"/>
        <v>31349999.999999996</v>
      </c>
      <c r="E29" s="12">
        <f t="shared" si="3"/>
        <v>0</v>
      </c>
      <c r="F29" s="12">
        <f t="shared" si="3"/>
        <v>12540000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25"/>
      <c r="K29" s="13">
        <f t="shared" si="1"/>
        <v>43890000</v>
      </c>
    </row>
    <row r="30" spans="1:11" s="14" customFormat="1">
      <c r="A30" s="8" t="s">
        <v>139</v>
      </c>
      <c r="B30" s="9">
        <v>0</v>
      </c>
      <c r="C30" s="20"/>
      <c r="D30" s="9">
        <f>30000000*A4</f>
        <v>31349999.999999996</v>
      </c>
      <c r="E30" s="19"/>
      <c r="F30" s="9">
        <f>12000000*A4</f>
        <v>12540000</v>
      </c>
      <c r="G30" s="19"/>
      <c r="H30" s="19"/>
      <c r="I30" s="19"/>
      <c r="J30" s="19"/>
      <c r="K30" s="15">
        <f t="shared" si="1"/>
        <v>43890000</v>
      </c>
    </row>
    <row r="31" spans="1:11" s="14" customFormat="1" ht="57">
      <c r="A31" s="11" t="s">
        <v>146</v>
      </c>
      <c r="B31" s="12">
        <f t="shared" ref="B31:I31" si="4">SUM(B32)</f>
        <v>0</v>
      </c>
      <c r="C31" s="12">
        <f t="shared" si="4"/>
        <v>0</v>
      </c>
      <c r="D31" s="12">
        <f t="shared" si="4"/>
        <v>10450000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25"/>
      <c r="K31" s="13">
        <f t="shared" si="1"/>
        <v>10450000</v>
      </c>
    </row>
    <row r="32" spans="1:11" s="14" customFormat="1">
      <c r="A32" s="8" t="s">
        <v>147</v>
      </c>
      <c r="B32" s="19"/>
      <c r="C32" s="20"/>
      <c r="D32" s="9">
        <f>10000000*A4</f>
        <v>10450000</v>
      </c>
      <c r="E32" s="19"/>
      <c r="F32" s="9"/>
      <c r="G32" s="19"/>
      <c r="H32" s="19"/>
      <c r="I32" s="19"/>
      <c r="J32" s="19"/>
      <c r="K32" s="15">
        <f>SUM(B32:I32)</f>
        <v>10450000</v>
      </c>
    </row>
    <row r="33" spans="1:11" s="14" customFormat="1" ht="28.5">
      <c r="A33" s="11" t="s">
        <v>148</v>
      </c>
      <c r="B33" s="12">
        <f t="shared" ref="B33:K33" si="5">SUM(B34)</f>
        <v>3135000</v>
      </c>
      <c r="C33" s="12">
        <f t="shared" si="5"/>
        <v>0</v>
      </c>
      <c r="D33" s="12">
        <f t="shared" si="5"/>
        <v>27533032.999999996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30668032.999999996</v>
      </c>
    </row>
    <row r="34" spans="1:11" s="14" customFormat="1" ht="28.5">
      <c r="A34" s="8" t="s">
        <v>149</v>
      </c>
      <c r="B34" s="9">
        <f>3000000*A4</f>
        <v>3135000</v>
      </c>
      <c r="C34" s="20"/>
      <c r="D34" s="9">
        <f>26347400*A4</f>
        <v>27533032.999999996</v>
      </c>
      <c r="E34" s="19"/>
      <c r="F34" s="19"/>
      <c r="G34" s="19"/>
      <c r="H34" s="19"/>
      <c r="I34" s="19"/>
      <c r="J34" s="19"/>
      <c r="K34" s="15">
        <f>SUM(B34:I34)</f>
        <v>30668032.999999996</v>
      </c>
    </row>
    <row r="35" spans="1:11" s="14" customFormat="1" ht="28.5">
      <c r="A35" s="11" t="s">
        <v>150</v>
      </c>
      <c r="B35" s="12">
        <f t="shared" ref="B35:K35" si="6">SUM(B36:B38)</f>
        <v>0</v>
      </c>
      <c r="C35" s="12">
        <f t="shared" si="6"/>
        <v>0</v>
      </c>
      <c r="D35" s="12">
        <f t="shared" si="6"/>
        <v>54267043.325000003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54267043.325000003</v>
      </c>
    </row>
    <row r="36" spans="1:11" s="14" customFormat="1" ht="28.5">
      <c r="A36" s="8" t="s">
        <v>151</v>
      </c>
      <c r="B36" s="19"/>
      <c r="C36" s="20"/>
      <c r="D36" s="9">
        <f>18000000*A4</f>
        <v>18810000</v>
      </c>
      <c r="E36" s="19"/>
      <c r="F36" s="19"/>
      <c r="G36" s="19"/>
      <c r="H36" s="19"/>
      <c r="I36" s="19"/>
      <c r="J36" s="19"/>
      <c r="K36" s="15">
        <f>SUM(B36:I36)</f>
        <v>18810000</v>
      </c>
    </row>
    <row r="37" spans="1:11" s="14" customFormat="1" ht="42.75">
      <c r="A37" s="8" t="s">
        <v>152</v>
      </c>
      <c r="B37" s="19"/>
      <c r="C37" s="20"/>
      <c r="D37" s="9">
        <f>25223685*A4</f>
        <v>26358750.824999999</v>
      </c>
      <c r="E37" s="19"/>
      <c r="F37" s="19"/>
      <c r="G37" s="19"/>
      <c r="H37" s="19"/>
      <c r="I37" s="19"/>
      <c r="J37" s="19"/>
      <c r="K37" s="15">
        <f>SUM(B37:I37)</f>
        <v>26358750.824999999</v>
      </c>
    </row>
    <row r="38" spans="1:11" s="14" customFormat="1" ht="42.75">
      <c r="A38" s="8" t="s">
        <v>153</v>
      </c>
      <c r="B38" s="19"/>
      <c r="C38" s="20"/>
      <c r="D38" s="9">
        <f>8706500*A4</f>
        <v>9098292.5</v>
      </c>
      <c r="E38" s="19"/>
      <c r="F38" s="19"/>
      <c r="G38" s="19"/>
      <c r="H38" s="19"/>
      <c r="I38" s="19"/>
      <c r="J38" s="19"/>
      <c r="K38" s="15">
        <f>SUM(B38:I38)</f>
        <v>9098292.5</v>
      </c>
    </row>
    <row r="39" spans="1:11" s="14" customFormat="1" ht="54">
      <c r="A39" s="22" t="s">
        <v>140</v>
      </c>
      <c r="B39" s="23">
        <f t="shared" ref="B39:K39" si="7">+B35+B33+B31+B29+B24+B20+B17+B7</f>
        <v>5225000</v>
      </c>
      <c r="C39" s="23">
        <f t="shared" si="7"/>
        <v>0</v>
      </c>
      <c r="D39" s="23">
        <f t="shared" si="7"/>
        <v>2714007633.0949998</v>
      </c>
      <c r="E39" s="23">
        <f t="shared" si="7"/>
        <v>0</v>
      </c>
      <c r="F39" s="23">
        <f t="shared" si="7"/>
        <v>195861549.39999998</v>
      </c>
      <c r="G39" s="23">
        <f t="shared" si="7"/>
        <v>0</v>
      </c>
      <c r="H39" s="23">
        <f t="shared" si="7"/>
        <v>0</v>
      </c>
      <c r="I39" s="23">
        <f t="shared" si="7"/>
        <v>2806635218.6999998</v>
      </c>
      <c r="J39" s="23">
        <f t="shared" si="7"/>
        <v>0</v>
      </c>
      <c r="K39" s="23">
        <f t="shared" si="7"/>
        <v>5721729401.1950006</v>
      </c>
    </row>
    <row r="40" spans="1:11">
      <c r="A40" s="8"/>
      <c r="B40" s="9"/>
      <c r="C40" s="17"/>
      <c r="D40" s="9"/>
      <c r="E40" s="9"/>
      <c r="F40" s="9"/>
      <c r="G40" s="9"/>
      <c r="H40" s="9"/>
      <c r="I40" s="9"/>
      <c r="J40" s="9"/>
      <c r="K40" s="15"/>
    </row>
    <row r="41" spans="1:11" ht="57">
      <c r="A41" s="5" t="s">
        <v>6</v>
      </c>
      <c r="B41" s="6" t="s">
        <v>2</v>
      </c>
      <c r="C41" s="6" t="e">
        <f>C43+C53+C75+C80+#REF!+#REF!+#REF!+#REF!+#REF!+#REF!+#REF!+#REF!+#REF!+#REF!</f>
        <v>#REF!</v>
      </c>
      <c r="D41" s="6" t="s">
        <v>1</v>
      </c>
      <c r="E41" s="6" t="e">
        <f>E43+E53+E75+E80+#REF!+#REF!+#REF!+#REF!+#REF!+#REF!+#REF!+#REF!+#REF!+#REF!</f>
        <v>#REF!</v>
      </c>
      <c r="F41" s="6" t="s">
        <v>3</v>
      </c>
      <c r="G41" s="6" t="e">
        <f>G43+G53+G75+G80+#REF!+#REF!+#REF!+#REF!+#REF!+#REF!+#REF!+#REF!+#REF!+#REF!</f>
        <v>#REF!</v>
      </c>
      <c r="H41" s="6" t="s">
        <v>4</v>
      </c>
      <c r="I41" s="6" t="s">
        <v>5</v>
      </c>
      <c r="J41" s="9">
        <v>200000</v>
      </c>
      <c r="K41" s="7" t="s">
        <v>0</v>
      </c>
    </row>
    <row r="42" spans="1:11" ht="25.5">
      <c r="A42" s="29" t="s">
        <v>141</v>
      </c>
      <c r="B42" s="9"/>
      <c r="C42" s="9"/>
      <c r="D42" s="9"/>
      <c r="E42" s="9"/>
      <c r="F42" s="9"/>
      <c r="G42" s="9"/>
      <c r="H42" s="9"/>
      <c r="I42" s="9"/>
      <c r="J42" s="9"/>
      <c r="K42" s="15"/>
    </row>
    <row r="43" spans="1:11" ht="29.25" customHeight="1">
      <c r="A43" s="11" t="s">
        <v>154</v>
      </c>
      <c r="B43" s="12">
        <f t="shared" ref="B43:I43" si="8">SUM(B44:B46)</f>
        <v>12540000</v>
      </c>
      <c r="C43" s="12">
        <f t="shared" si="8"/>
        <v>0</v>
      </c>
      <c r="D43" s="12">
        <f t="shared" si="8"/>
        <v>10450000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300000000</v>
      </c>
      <c r="I43" s="12">
        <f t="shared" si="8"/>
        <v>0</v>
      </c>
      <c r="J43" s="12"/>
      <c r="K43" s="13">
        <f>SUM(B43:I43)</f>
        <v>322990000</v>
      </c>
    </row>
    <row r="44" spans="1:11" ht="42.75">
      <c r="A44" s="8" t="s">
        <v>155</v>
      </c>
      <c r="B44" s="9">
        <v>0</v>
      </c>
      <c r="C44" s="9"/>
      <c r="D44" s="9">
        <f>10000000*A4</f>
        <v>10450000</v>
      </c>
      <c r="E44" s="9"/>
      <c r="F44" s="9">
        <v>0</v>
      </c>
      <c r="G44" s="9"/>
      <c r="H44" s="9">
        <v>150000000</v>
      </c>
      <c r="I44" s="9"/>
      <c r="J44" s="9"/>
      <c r="K44" s="15">
        <f>SUM(B44:I44)</f>
        <v>160450000</v>
      </c>
    </row>
    <row r="45" spans="1:11" ht="28.5">
      <c r="A45" s="8" t="s">
        <v>156</v>
      </c>
      <c r="B45" s="9">
        <f>12000000*A4</f>
        <v>12540000</v>
      </c>
      <c r="C45" s="9"/>
      <c r="D45" s="9"/>
      <c r="E45" s="9"/>
      <c r="F45" s="9"/>
      <c r="G45" s="9"/>
      <c r="H45" s="9">
        <v>100000000</v>
      </c>
      <c r="I45" s="9"/>
      <c r="J45" s="9"/>
      <c r="K45" s="15">
        <f>SUM(B45:I45)</f>
        <v>112540000</v>
      </c>
    </row>
    <row r="46" spans="1:11" ht="28.5">
      <c r="A46" s="8" t="s">
        <v>157</v>
      </c>
      <c r="B46" s="9"/>
      <c r="C46" s="9"/>
      <c r="D46" s="9"/>
      <c r="E46" s="9"/>
      <c r="F46" s="9"/>
      <c r="G46" s="9"/>
      <c r="H46" s="9">
        <v>50000000</v>
      </c>
      <c r="I46" s="9"/>
      <c r="J46" s="9"/>
      <c r="K46" s="15">
        <f>SUM(B46:I46)</f>
        <v>50000000</v>
      </c>
    </row>
    <row r="47" spans="1:11" s="14" customFormat="1" ht="28.5">
      <c r="A47" s="11" t="s">
        <v>158</v>
      </c>
      <c r="B47" s="12">
        <f t="shared" ref="B47:K47" si="9">SUM(B48:B49)</f>
        <v>8359999.9999999991</v>
      </c>
      <c r="C47" s="12">
        <f t="shared" si="9"/>
        <v>0</v>
      </c>
      <c r="D47" s="12">
        <f t="shared" si="9"/>
        <v>167650963.29500002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9"/>
        <v>0</v>
      </c>
      <c r="J47" s="12">
        <f t="shared" si="9"/>
        <v>0</v>
      </c>
      <c r="K47" s="12">
        <f t="shared" si="9"/>
        <v>176010963.29500002</v>
      </c>
    </row>
    <row r="48" spans="1:11" ht="28.5">
      <c r="A48" s="8" t="s">
        <v>159</v>
      </c>
      <c r="B48" s="9">
        <f>4000000*A4</f>
        <v>4179999.9999999995</v>
      </c>
      <c r="C48" s="9"/>
      <c r="D48" s="9">
        <f>(45388050+7000000)*A4</f>
        <v>54745512.25</v>
      </c>
      <c r="E48" s="9"/>
      <c r="F48" s="9"/>
      <c r="G48" s="9"/>
      <c r="H48" s="9"/>
      <c r="I48" s="9"/>
      <c r="J48" s="9"/>
      <c r="K48" s="15">
        <f t="shared" ref="K48:K53" si="10">SUM(B48:I48)</f>
        <v>58925512.25</v>
      </c>
    </row>
    <row r="49" spans="1:11">
      <c r="A49" s="8" t="s">
        <v>160</v>
      </c>
      <c r="B49" s="9">
        <f>4000000*A4</f>
        <v>4179999.9999999995</v>
      </c>
      <c r="C49" s="9"/>
      <c r="D49" s="9">
        <f>(105905450+7000000)+A4</f>
        <v>112905451.045</v>
      </c>
      <c r="E49" s="9"/>
      <c r="F49" s="9"/>
      <c r="G49" s="9"/>
      <c r="H49" s="9"/>
      <c r="I49" s="9"/>
      <c r="J49" s="9"/>
      <c r="K49" s="15">
        <f t="shared" si="10"/>
        <v>117085451.045</v>
      </c>
    </row>
    <row r="50" spans="1:11" ht="28.5">
      <c r="A50" s="11" t="s">
        <v>143</v>
      </c>
      <c r="B50" s="12">
        <f>SUM(B51:B53)</f>
        <v>27492265.460000001</v>
      </c>
      <c r="C50" s="25"/>
      <c r="D50" s="12">
        <f>11410000+10000000+31400000+6000000</f>
        <v>58810000</v>
      </c>
      <c r="E50" s="25"/>
      <c r="F50" s="12">
        <f>SUM(F51:F53)</f>
        <v>0</v>
      </c>
      <c r="G50" s="12">
        <f>SUM(G51:G53)</f>
        <v>0</v>
      </c>
      <c r="H50" s="12">
        <f>SUM(H51:H53)</f>
        <v>0</v>
      </c>
      <c r="I50" s="12">
        <f>SUM(I51:I53)</f>
        <v>0</v>
      </c>
      <c r="J50" s="25"/>
      <c r="K50" s="13">
        <f t="shared" si="10"/>
        <v>86302265.460000008</v>
      </c>
    </row>
    <row r="51" spans="1:11" s="14" customFormat="1" ht="28.5">
      <c r="A51" s="8" t="s">
        <v>161</v>
      </c>
      <c r="B51" s="9">
        <f>5000000*A4</f>
        <v>5225000</v>
      </c>
      <c r="C51" s="9"/>
      <c r="D51" s="9"/>
      <c r="E51" s="19"/>
      <c r="F51" s="9"/>
      <c r="G51" s="19"/>
      <c r="H51" s="19"/>
      <c r="I51" s="19"/>
      <c r="J51" s="19"/>
      <c r="K51" s="15">
        <f t="shared" si="10"/>
        <v>5225000</v>
      </c>
    </row>
    <row r="52" spans="1:11" ht="28.5">
      <c r="A52" s="8" t="s">
        <v>144</v>
      </c>
      <c r="B52" s="9">
        <f>20000000*A4</f>
        <v>20900000</v>
      </c>
      <c r="C52" s="9"/>
      <c r="D52" s="9">
        <f>11410000*A4</f>
        <v>11923450</v>
      </c>
      <c r="E52" s="9"/>
      <c r="F52" s="9"/>
      <c r="G52" s="9"/>
      <c r="H52" s="9"/>
      <c r="I52" s="9"/>
      <c r="J52" s="9"/>
      <c r="K52" s="15">
        <f t="shared" si="10"/>
        <v>32823450</v>
      </c>
    </row>
    <row r="53" spans="1:11" ht="28.5">
      <c r="A53" s="8" t="s">
        <v>145</v>
      </c>
      <c r="B53" s="9">
        <f>1308388*A4</f>
        <v>1367265.46</v>
      </c>
      <c r="C53" s="9"/>
      <c r="D53" s="9">
        <f>31400000*A4</f>
        <v>32812999.999999996</v>
      </c>
      <c r="E53" s="9"/>
      <c r="F53" s="9"/>
      <c r="G53" s="9"/>
      <c r="H53" s="9"/>
      <c r="I53" s="9"/>
      <c r="J53" s="9"/>
      <c r="K53" s="15">
        <f t="shared" si="10"/>
        <v>34180265.459999993</v>
      </c>
    </row>
    <row r="54" spans="1:11" ht="28.5">
      <c r="A54" s="11" t="s">
        <v>162</v>
      </c>
      <c r="B54" s="12">
        <f t="shared" ref="B54:K54" si="11">SUM(B55:B58)</f>
        <v>17719387.84</v>
      </c>
      <c r="C54" s="12">
        <f t="shared" si="11"/>
        <v>0</v>
      </c>
      <c r="D54" s="12">
        <f t="shared" si="11"/>
        <v>53785184.420000002</v>
      </c>
      <c r="E54" s="12">
        <f t="shared" si="11"/>
        <v>0</v>
      </c>
      <c r="F54" s="12">
        <f t="shared" si="11"/>
        <v>5225000</v>
      </c>
      <c r="G54" s="12">
        <f t="shared" si="11"/>
        <v>0</v>
      </c>
      <c r="H54" s="12">
        <f t="shared" si="11"/>
        <v>0</v>
      </c>
      <c r="I54" s="12">
        <f t="shared" si="11"/>
        <v>0</v>
      </c>
      <c r="J54" s="12">
        <f t="shared" si="11"/>
        <v>0</v>
      </c>
      <c r="K54" s="12">
        <f t="shared" si="11"/>
        <v>76729572.260000005</v>
      </c>
    </row>
    <row r="55" spans="1:11" ht="28.5">
      <c r="A55" s="8" t="s">
        <v>163</v>
      </c>
      <c r="B55" s="9"/>
      <c r="C55" s="9"/>
      <c r="D55" s="9">
        <f>10469076*A4</f>
        <v>10940184.42</v>
      </c>
      <c r="E55" s="9"/>
      <c r="F55" s="9"/>
      <c r="G55" s="9"/>
      <c r="H55" s="9"/>
      <c r="I55" s="9"/>
      <c r="J55" s="9"/>
      <c r="K55" s="15">
        <f>SUM(B55:I55)</f>
        <v>10940184.42</v>
      </c>
    </row>
    <row r="56" spans="1:11" ht="28.5">
      <c r="A56" s="8" t="s">
        <v>164</v>
      </c>
      <c r="B56" s="9"/>
      <c r="C56" s="9"/>
      <c r="D56" s="9">
        <f>13000000*A4</f>
        <v>13585000</v>
      </c>
      <c r="E56" s="9"/>
      <c r="F56" s="9">
        <f>5000000*A4</f>
        <v>5225000</v>
      </c>
      <c r="G56" s="9"/>
      <c r="H56" s="9"/>
      <c r="I56" s="9"/>
      <c r="J56" s="9"/>
      <c r="K56" s="15">
        <f>SUM(B56:I56)</f>
        <v>18810000</v>
      </c>
    </row>
    <row r="57" spans="1:11" ht="28.5">
      <c r="A57" s="8" t="s">
        <v>165</v>
      </c>
      <c r="B57" s="9"/>
      <c r="C57" s="9"/>
      <c r="D57" s="9">
        <f>11000000*A4</f>
        <v>11495000</v>
      </c>
      <c r="E57" s="9"/>
      <c r="F57" s="9"/>
      <c r="G57" s="9"/>
      <c r="H57" s="9"/>
      <c r="I57" s="9"/>
      <c r="J57" s="9"/>
      <c r="K57" s="15">
        <f>SUM(B57:I57)</f>
        <v>11495000</v>
      </c>
    </row>
    <row r="58" spans="1:11" ht="28.5">
      <c r="A58" s="8" t="s">
        <v>166</v>
      </c>
      <c r="B58" s="9">
        <f>(25000000-8043648)*A4</f>
        <v>17719387.84</v>
      </c>
      <c r="C58" s="9"/>
      <c r="D58" s="9">
        <f>17000000*A4</f>
        <v>17765000</v>
      </c>
      <c r="E58" s="9"/>
      <c r="F58" s="9"/>
      <c r="G58" s="9"/>
      <c r="H58" s="9"/>
      <c r="I58" s="9"/>
      <c r="J58" s="9"/>
      <c r="K58" s="15">
        <f>SUM(B58:I58)</f>
        <v>35484387.840000004</v>
      </c>
    </row>
    <row r="59" spans="1:11" ht="42.75">
      <c r="A59" s="11" t="s">
        <v>167</v>
      </c>
      <c r="B59" s="12">
        <f t="shared" ref="B59:K59" si="12">SUM(B60:B61)</f>
        <v>0</v>
      </c>
      <c r="C59" s="12">
        <f t="shared" si="12"/>
        <v>0</v>
      </c>
      <c r="D59" s="12">
        <f t="shared" si="12"/>
        <v>10261900</v>
      </c>
      <c r="E59" s="12">
        <f t="shared" si="12"/>
        <v>0</v>
      </c>
      <c r="F59" s="12">
        <f t="shared" si="12"/>
        <v>3135000</v>
      </c>
      <c r="G59" s="12">
        <f t="shared" si="12"/>
        <v>0</v>
      </c>
      <c r="H59" s="12">
        <f t="shared" si="12"/>
        <v>0</v>
      </c>
      <c r="I59" s="12">
        <f t="shared" si="12"/>
        <v>0</v>
      </c>
      <c r="J59" s="12">
        <f t="shared" si="12"/>
        <v>0</v>
      </c>
      <c r="K59" s="12">
        <f t="shared" si="12"/>
        <v>13396900</v>
      </c>
    </row>
    <row r="60" spans="1:11" ht="28.5">
      <c r="A60" s="8" t="s">
        <v>168</v>
      </c>
      <c r="B60" s="9"/>
      <c r="C60" s="9"/>
      <c r="D60" s="9">
        <f>9820000*A4</f>
        <v>10261900</v>
      </c>
      <c r="E60" s="9"/>
      <c r="F60" s="9"/>
      <c r="G60" s="9"/>
      <c r="H60" s="9"/>
      <c r="I60" s="9"/>
      <c r="J60" s="9"/>
      <c r="K60" s="15">
        <f>SUM(B60:I60)</f>
        <v>10261900</v>
      </c>
    </row>
    <row r="61" spans="1:11" ht="28.5">
      <c r="A61" s="8" t="s">
        <v>169</v>
      </c>
      <c r="B61" s="9"/>
      <c r="C61" s="9"/>
      <c r="D61" s="9"/>
      <c r="E61" s="9"/>
      <c r="F61" s="9">
        <f>3000000*A4</f>
        <v>3135000</v>
      </c>
      <c r="G61" s="9"/>
      <c r="H61" s="9"/>
      <c r="I61" s="9"/>
      <c r="J61" s="9"/>
      <c r="K61" s="15">
        <f>SUM(B61:I61)</f>
        <v>3135000</v>
      </c>
    </row>
    <row r="62" spans="1:11" ht="42.75">
      <c r="A62" s="11" t="s">
        <v>170</v>
      </c>
      <c r="B62" s="12">
        <f t="shared" ref="B62:K62" si="13">SUM(B63)</f>
        <v>0</v>
      </c>
      <c r="C62" s="12">
        <f t="shared" si="13"/>
        <v>0</v>
      </c>
      <c r="D62" s="12">
        <f t="shared" si="13"/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</row>
    <row r="63" spans="1:11">
      <c r="A63" s="8" t="s">
        <v>518</v>
      </c>
      <c r="B63" s="9"/>
      <c r="C63" s="9"/>
      <c r="D63" s="9"/>
      <c r="E63" s="9"/>
      <c r="F63" s="9"/>
      <c r="G63" s="9"/>
      <c r="H63" s="9"/>
      <c r="I63" s="9"/>
      <c r="J63" s="9"/>
      <c r="K63" s="15">
        <f>SUM(B63:I63)</f>
        <v>0</v>
      </c>
    </row>
    <row r="64" spans="1:11" ht="72">
      <c r="A64" s="22" t="s">
        <v>142</v>
      </c>
      <c r="B64" s="23">
        <f t="shared" ref="B64:K64" si="14">+B62+B59+B54+B50+B47+B43</f>
        <v>66111653.299999997</v>
      </c>
      <c r="C64" s="23">
        <f t="shared" si="14"/>
        <v>0</v>
      </c>
      <c r="D64" s="23">
        <f t="shared" si="14"/>
        <v>300958047.71500003</v>
      </c>
      <c r="E64" s="23">
        <f t="shared" si="14"/>
        <v>0</v>
      </c>
      <c r="F64" s="23">
        <f t="shared" si="14"/>
        <v>8360000</v>
      </c>
      <c r="G64" s="23">
        <f t="shared" si="14"/>
        <v>0</v>
      </c>
      <c r="H64" s="23">
        <f t="shared" si="14"/>
        <v>300000000</v>
      </c>
      <c r="I64" s="23">
        <f t="shared" si="14"/>
        <v>0</v>
      </c>
      <c r="J64" s="23">
        <f t="shared" si="14"/>
        <v>0</v>
      </c>
      <c r="K64" s="23">
        <f t="shared" si="14"/>
        <v>675429701.0150001</v>
      </c>
    </row>
    <row r="65" spans="1:11" ht="22.5" customHeight="1">
      <c r="A65" s="21"/>
      <c r="B65" s="9"/>
      <c r="C65" s="9"/>
      <c r="D65" s="9"/>
      <c r="E65" s="9"/>
      <c r="F65" s="9"/>
      <c r="G65" s="9"/>
      <c r="H65" s="9"/>
      <c r="I65" s="9"/>
      <c r="J65" s="9"/>
      <c r="K65" s="15"/>
    </row>
    <row r="66" spans="1:11" ht="57">
      <c r="A66" s="5" t="s">
        <v>7</v>
      </c>
      <c r="B66" s="6" t="s">
        <v>2</v>
      </c>
      <c r="C66" s="6" t="e">
        <f>C68+#REF!+#REF!+#REF!+#REF!+#REF!+#REF!+#REF!+#REF!+#REF!+#REF!+#REF!+#REF!+#REF!</f>
        <v>#REF!</v>
      </c>
      <c r="D66" s="6" t="s">
        <v>1</v>
      </c>
      <c r="E66" s="6" t="e">
        <f>E68+#REF!+#REF!+#REF!+#REF!+#REF!+#REF!+#REF!+#REF!+#REF!+#REF!+#REF!+#REF!+#REF!</f>
        <v>#REF!</v>
      </c>
      <c r="F66" s="6" t="s">
        <v>3</v>
      </c>
      <c r="G66" s="6" t="e">
        <f>G68+#REF!+#REF!+#REF!+#REF!+#REF!+#REF!+#REF!+#REF!+#REF!+#REF!+#REF!+#REF!+#REF!</f>
        <v>#REF!</v>
      </c>
      <c r="H66" s="6" t="s">
        <v>4</v>
      </c>
      <c r="I66" s="6" t="s">
        <v>5</v>
      </c>
      <c r="J66" s="9">
        <v>200000</v>
      </c>
      <c r="K66" s="7" t="s">
        <v>0</v>
      </c>
    </row>
    <row r="67" spans="1:11" ht="28.5">
      <c r="A67" s="33" t="s">
        <v>116</v>
      </c>
      <c r="B67" s="9"/>
      <c r="C67" s="9"/>
      <c r="D67" s="9"/>
      <c r="E67" s="9"/>
      <c r="F67" s="9"/>
      <c r="G67" s="9"/>
      <c r="H67" s="9"/>
      <c r="I67" s="9"/>
      <c r="J67" s="9"/>
      <c r="K67" s="15"/>
    </row>
    <row r="68" spans="1:11" ht="28.5">
      <c r="A68" s="11" t="s">
        <v>519</v>
      </c>
      <c r="B68" s="12">
        <f t="shared" ref="B68:I68" si="15">SUM(B69:B74)</f>
        <v>24900001.045000002</v>
      </c>
      <c r="C68" s="12">
        <f t="shared" si="15"/>
        <v>0</v>
      </c>
      <c r="D68" s="12">
        <f t="shared" si="15"/>
        <v>675499473.05499995</v>
      </c>
      <c r="E68" s="12">
        <f t="shared" si="15"/>
        <v>0</v>
      </c>
      <c r="F68" s="12">
        <f t="shared" si="15"/>
        <v>0</v>
      </c>
      <c r="G68" s="12">
        <f t="shared" si="15"/>
        <v>0</v>
      </c>
      <c r="H68" s="12">
        <f t="shared" si="15"/>
        <v>0</v>
      </c>
      <c r="I68" s="12">
        <f t="shared" si="15"/>
        <v>6270000</v>
      </c>
      <c r="J68" s="25"/>
      <c r="K68" s="13">
        <f>SUM(K69:K74)</f>
        <v>706669474.0999999</v>
      </c>
    </row>
    <row r="69" spans="1:11" ht="28.5">
      <c r="A69" s="8" t="s">
        <v>520</v>
      </c>
      <c r="B69" s="9"/>
      <c r="C69" s="9"/>
      <c r="D69" s="9"/>
      <c r="E69" s="9"/>
      <c r="F69" s="9"/>
      <c r="G69" s="9"/>
      <c r="H69" s="9"/>
      <c r="I69" s="9">
        <f>500000*A4</f>
        <v>522499.99999999994</v>
      </c>
      <c r="J69" s="9"/>
      <c r="K69" s="15">
        <f t="shared" ref="K69:K74" si="16">SUM(B69:I69)</f>
        <v>522499.99999999994</v>
      </c>
    </row>
    <row r="70" spans="1:11" s="14" customFormat="1" ht="28.5">
      <c r="A70" s="8" t="s">
        <v>521</v>
      </c>
      <c r="B70" s="19"/>
      <c r="C70" s="19"/>
      <c r="D70" s="19"/>
      <c r="E70" s="19"/>
      <c r="F70" s="19"/>
      <c r="G70" s="19"/>
      <c r="H70" s="19"/>
      <c r="I70" s="9">
        <f>500000*A4</f>
        <v>522499.99999999994</v>
      </c>
      <c r="J70" s="19"/>
      <c r="K70" s="15">
        <f t="shared" si="16"/>
        <v>522499.99999999994</v>
      </c>
    </row>
    <row r="71" spans="1:11" s="14" customFormat="1" ht="42.75">
      <c r="A71" s="8" t="s">
        <v>525</v>
      </c>
      <c r="B71" s="9">
        <f>4000000+A4</f>
        <v>4000001.0449999999</v>
      </c>
      <c r="C71" s="19"/>
      <c r="D71" s="19"/>
      <c r="E71" s="19"/>
      <c r="F71" s="9"/>
      <c r="G71" s="19"/>
      <c r="H71" s="19"/>
      <c r="I71" s="9"/>
      <c r="J71" s="19"/>
      <c r="K71" s="15">
        <f t="shared" si="16"/>
        <v>4000001.0449999999</v>
      </c>
    </row>
    <row r="72" spans="1:11" ht="28.5">
      <c r="A72" s="8" t="s">
        <v>522</v>
      </c>
      <c r="B72" s="9">
        <f>20000000*A4</f>
        <v>20900000</v>
      </c>
      <c r="C72" s="9"/>
      <c r="D72" s="9"/>
      <c r="E72" s="9"/>
      <c r="F72" s="9"/>
      <c r="G72" s="9"/>
      <c r="H72" s="9"/>
      <c r="I72" s="9">
        <f>5000000*A4</f>
        <v>5225000</v>
      </c>
      <c r="J72" s="9"/>
      <c r="K72" s="15">
        <f t="shared" si="16"/>
        <v>26125000</v>
      </c>
    </row>
    <row r="73" spans="1:11" ht="42.75">
      <c r="A73" s="8" t="s">
        <v>523</v>
      </c>
      <c r="B73" s="9"/>
      <c r="C73" s="9"/>
      <c r="D73" s="9">
        <f>(286774000+58328930+600000)*A4</f>
        <v>361259561.84999996</v>
      </c>
      <c r="E73" s="9"/>
      <c r="F73" s="9"/>
      <c r="G73" s="9"/>
      <c r="H73" s="9"/>
      <c r="I73" s="9"/>
      <c r="J73" s="9"/>
      <c r="K73" s="15">
        <f t="shared" si="16"/>
        <v>361259561.84999996</v>
      </c>
    </row>
    <row r="74" spans="1:11" ht="28.5">
      <c r="A74" s="8" t="s">
        <v>524</v>
      </c>
      <c r="B74" s="9"/>
      <c r="C74" s="9"/>
      <c r="D74" s="9">
        <f>300708049*A4</f>
        <v>314239911.20499998</v>
      </c>
      <c r="E74" s="9"/>
      <c r="F74" s="9"/>
      <c r="G74" s="9"/>
      <c r="H74" s="9"/>
      <c r="I74" s="9"/>
      <c r="J74" s="9"/>
      <c r="K74" s="15">
        <f t="shared" si="16"/>
        <v>314239911.20499998</v>
      </c>
    </row>
    <row r="75" spans="1:11" ht="28.5">
      <c r="A75" s="11" t="s">
        <v>526</v>
      </c>
      <c r="B75" s="12">
        <f t="shared" ref="B75:I75" si="17">SUM(B76:B78)</f>
        <v>65521142.609999999</v>
      </c>
      <c r="C75" s="12">
        <f t="shared" si="17"/>
        <v>0</v>
      </c>
      <c r="D75" s="12">
        <f t="shared" si="17"/>
        <v>21736000</v>
      </c>
      <c r="E75" s="12">
        <f t="shared" si="17"/>
        <v>0</v>
      </c>
      <c r="F75" s="12">
        <f t="shared" si="17"/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25"/>
      <c r="K75" s="13">
        <f>SUM(B75:J75)</f>
        <v>87257142.609999999</v>
      </c>
    </row>
    <row r="76" spans="1:11" s="14" customFormat="1" ht="42.75">
      <c r="A76" s="8" t="s">
        <v>527</v>
      </c>
      <c r="B76" s="9">
        <f>30000000*A4</f>
        <v>31349999.999999996</v>
      </c>
      <c r="C76" s="19"/>
      <c r="D76" s="9">
        <f>10000000*A4</f>
        <v>10450000</v>
      </c>
      <c r="E76" s="19"/>
      <c r="F76" s="9"/>
      <c r="G76" s="19"/>
      <c r="H76" s="19"/>
      <c r="I76" s="19"/>
      <c r="J76" s="19"/>
      <c r="K76" s="13">
        <f>SUM(B76:J76)</f>
        <v>41800000</v>
      </c>
    </row>
    <row r="77" spans="1:11" ht="28.5">
      <c r="A77" s="8" t="s">
        <v>528</v>
      </c>
      <c r="B77" s="9">
        <f>2699658*A4</f>
        <v>2821142.61</v>
      </c>
      <c r="C77" s="9"/>
      <c r="D77" s="9">
        <f>10800000*A4</f>
        <v>11286000</v>
      </c>
      <c r="E77" s="9"/>
      <c r="F77" s="9"/>
      <c r="G77" s="9"/>
      <c r="H77" s="9"/>
      <c r="I77" s="9"/>
      <c r="J77" s="9"/>
      <c r="K77" s="13">
        <f>SUM(B77:J77)</f>
        <v>14107142.609999999</v>
      </c>
    </row>
    <row r="78" spans="1:11" ht="28.5">
      <c r="A78" s="8" t="s">
        <v>529</v>
      </c>
      <c r="B78" s="9">
        <f>30000000*A4</f>
        <v>31349999.999999996</v>
      </c>
      <c r="C78" s="9"/>
      <c r="D78" s="9"/>
      <c r="E78" s="9"/>
      <c r="F78" s="9"/>
      <c r="G78" s="9"/>
      <c r="H78" s="9"/>
      <c r="I78" s="9"/>
      <c r="J78" s="9"/>
      <c r="K78" s="13">
        <f>SUM(B78:J78)</f>
        <v>31349999.999999996</v>
      </c>
    </row>
    <row r="79" spans="1:11" ht="28.5">
      <c r="A79" s="11" t="s">
        <v>530</v>
      </c>
      <c r="B79" s="12">
        <f t="shared" ref="B79:I79" si="18">SUM(B80:B81)</f>
        <v>0</v>
      </c>
      <c r="C79" s="12">
        <f t="shared" si="18"/>
        <v>0</v>
      </c>
      <c r="D79" s="12">
        <f t="shared" si="18"/>
        <v>60400999.999999993</v>
      </c>
      <c r="E79" s="12">
        <f t="shared" si="18"/>
        <v>0</v>
      </c>
      <c r="F79" s="12">
        <f t="shared" si="18"/>
        <v>18810000</v>
      </c>
      <c r="G79" s="12">
        <f t="shared" si="18"/>
        <v>0</v>
      </c>
      <c r="H79" s="12">
        <f t="shared" si="18"/>
        <v>0</v>
      </c>
      <c r="I79" s="12">
        <f t="shared" si="18"/>
        <v>0</v>
      </c>
      <c r="J79" s="25"/>
      <c r="K79" s="13">
        <f t="shared" ref="K79:K84" si="19">SUM(B79:I79)</f>
        <v>79211000</v>
      </c>
    </row>
    <row r="80" spans="1:11" ht="28.5">
      <c r="A80" s="8" t="s">
        <v>531</v>
      </c>
      <c r="B80" s="9"/>
      <c r="C80" s="9"/>
      <c r="D80" s="9">
        <f>2200000*A4</f>
        <v>2299000</v>
      </c>
      <c r="E80" s="9"/>
      <c r="F80" s="9">
        <f>12000000*A4</f>
        <v>12540000</v>
      </c>
      <c r="G80" s="9"/>
      <c r="H80" s="9"/>
      <c r="I80" s="9"/>
      <c r="J80" s="9"/>
      <c r="K80" s="15">
        <f t="shared" si="19"/>
        <v>14839000</v>
      </c>
    </row>
    <row r="81" spans="1:11" ht="42.75">
      <c r="A81" s="8" t="s">
        <v>532</v>
      </c>
      <c r="B81" s="9"/>
      <c r="C81" s="9"/>
      <c r="D81" s="9">
        <f>55600000*A4</f>
        <v>58101999.999999993</v>
      </c>
      <c r="E81" s="9"/>
      <c r="F81" s="9">
        <f>6000000*A4</f>
        <v>6270000</v>
      </c>
      <c r="G81" s="9"/>
      <c r="H81" s="9"/>
      <c r="I81" s="9"/>
      <c r="J81" s="9"/>
      <c r="K81" s="15">
        <f t="shared" si="19"/>
        <v>64371999.999999993</v>
      </c>
    </row>
    <row r="82" spans="1:11" ht="28.5">
      <c r="A82" s="11" t="s">
        <v>533</v>
      </c>
      <c r="B82" s="12">
        <f t="shared" ref="B82:I82" si="20">SUM(B83:B84)</f>
        <v>0</v>
      </c>
      <c r="C82" s="12">
        <f t="shared" si="20"/>
        <v>0</v>
      </c>
      <c r="D82" s="12">
        <f t="shared" si="20"/>
        <v>622065522.53999996</v>
      </c>
      <c r="E82" s="12">
        <f t="shared" si="20"/>
        <v>0</v>
      </c>
      <c r="F82" s="12">
        <f t="shared" si="20"/>
        <v>0</v>
      </c>
      <c r="G82" s="12">
        <f t="shared" si="20"/>
        <v>0</v>
      </c>
      <c r="H82" s="12">
        <f t="shared" si="20"/>
        <v>0</v>
      </c>
      <c r="I82" s="12">
        <f t="shared" si="20"/>
        <v>0</v>
      </c>
      <c r="J82" s="25"/>
      <c r="K82" s="13">
        <f t="shared" si="19"/>
        <v>622065522.53999996</v>
      </c>
    </row>
    <row r="83" spans="1:11" ht="28.5">
      <c r="A83" s="8" t="s">
        <v>534</v>
      </c>
      <c r="B83" s="9"/>
      <c r="C83" s="9"/>
      <c r="D83" s="9">
        <f>383665330*A4</f>
        <v>400930269.84999996</v>
      </c>
      <c r="E83" s="9"/>
      <c r="F83" s="9"/>
      <c r="G83" s="9"/>
      <c r="H83" s="9"/>
      <c r="I83" s="9"/>
      <c r="J83" s="9"/>
      <c r="K83" s="15">
        <f t="shared" si="19"/>
        <v>400930269.84999996</v>
      </c>
    </row>
    <row r="84" spans="1:11" ht="28.5">
      <c r="A84" s="8" t="s">
        <v>535</v>
      </c>
      <c r="B84" s="9"/>
      <c r="C84" s="9"/>
      <c r="D84" s="9">
        <f>(201374935+10237747)*A4</f>
        <v>221135252.69</v>
      </c>
      <c r="E84" s="9"/>
      <c r="F84" s="9"/>
      <c r="G84" s="9"/>
      <c r="H84" s="9"/>
      <c r="I84" s="9"/>
      <c r="J84" s="9"/>
      <c r="K84" s="15">
        <f t="shared" si="19"/>
        <v>221135252.69</v>
      </c>
    </row>
    <row r="85" spans="1:11" ht="28.5">
      <c r="A85" s="39" t="s">
        <v>536</v>
      </c>
      <c r="B85" s="12">
        <f>SUM(B86)</f>
        <v>1044999.9999999999</v>
      </c>
      <c r="C85" s="12">
        <f t="shared" ref="C85:K85" si="21">SUM(C86)</f>
        <v>0</v>
      </c>
      <c r="D85" s="12">
        <f t="shared" si="21"/>
        <v>0</v>
      </c>
      <c r="E85" s="12">
        <f t="shared" si="21"/>
        <v>0</v>
      </c>
      <c r="F85" s="12">
        <f t="shared" si="21"/>
        <v>0</v>
      </c>
      <c r="G85" s="12">
        <f t="shared" si="21"/>
        <v>0</v>
      </c>
      <c r="H85" s="12">
        <f t="shared" si="21"/>
        <v>0</v>
      </c>
      <c r="I85" s="12">
        <f t="shared" si="21"/>
        <v>0</v>
      </c>
      <c r="J85" s="12">
        <f t="shared" si="21"/>
        <v>0</v>
      </c>
      <c r="K85" s="12">
        <f t="shared" si="21"/>
        <v>1044999.9999999999</v>
      </c>
    </row>
    <row r="86" spans="1:11">
      <c r="A86" s="9" t="s">
        <v>546</v>
      </c>
      <c r="B86" s="9">
        <f>1000000*A4</f>
        <v>1044999.9999999999</v>
      </c>
      <c r="C86" s="19"/>
      <c r="D86" s="19"/>
      <c r="E86" s="19"/>
      <c r="F86" s="9"/>
      <c r="G86" s="19"/>
      <c r="H86" s="19"/>
      <c r="I86" s="19"/>
      <c r="J86" s="9"/>
      <c r="K86" s="19">
        <f>SUM(B86:J86)</f>
        <v>1044999.9999999999</v>
      </c>
    </row>
    <row r="87" spans="1:11" ht="54">
      <c r="A87" s="22" t="s">
        <v>506</v>
      </c>
      <c r="B87" s="23">
        <f>+B85+B82+B79+B75+B68</f>
        <v>91466143.655000001</v>
      </c>
      <c r="C87" s="23">
        <f t="shared" ref="C87:K87" si="22">+C85+C82+C79+C75+C68</f>
        <v>0</v>
      </c>
      <c r="D87" s="23">
        <f t="shared" si="22"/>
        <v>1379701995.5949998</v>
      </c>
      <c r="E87" s="23">
        <f t="shared" si="22"/>
        <v>0</v>
      </c>
      <c r="F87" s="23">
        <f t="shared" si="22"/>
        <v>18810000</v>
      </c>
      <c r="G87" s="23">
        <f t="shared" si="22"/>
        <v>0</v>
      </c>
      <c r="H87" s="23">
        <f t="shared" si="22"/>
        <v>0</v>
      </c>
      <c r="I87" s="23">
        <f t="shared" si="22"/>
        <v>6270000</v>
      </c>
      <c r="J87" s="23">
        <f t="shared" si="22"/>
        <v>0</v>
      </c>
      <c r="K87" s="23">
        <f t="shared" si="22"/>
        <v>1496248139.25</v>
      </c>
    </row>
    <row r="88" spans="1:11" ht="18">
      <c r="A88" s="31"/>
      <c r="B88" s="19"/>
      <c r="C88" s="19"/>
      <c r="D88" s="19"/>
      <c r="E88" s="19"/>
      <c r="F88" s="19"/>
      <c r="G88" s="19"/>
      <c r="H88" s="19"/>
      <c r="I88" s="19"/>
      <c r="J88" s="19"/>
      <c r="K88" s="32"/>
    </row>
    <row r="89" spans="1:11" ht="57">
      <c r="A89" s="5" t="s">
        <v>507</v>
      </c>
      <c r="B89" s="6" t="s">
        <v>2</v>
      </c>
      <c r="C89" s="6" t="e">
        <f>C91+#REF!+#REF!+#REF!+#REF!+#REF!+#REF!+#REF!+#REF!+#REF!+#REF!+#REF!+#REF!+#REF!</f>
        <v>#REF!</v>
      </c>
      <c r="D89" s="6" t="s">
        <v>1</v>
      </c>
      <c r="E89" s="6" t="e">
        <f>E91+#REF!+#REF!+#REF!+#REF!+#REF!+#REF!+#REF!+#REF!+#REF!+#REF!+#REF!+#REF!+#REF!</f>
        <v>#REF!</v>
      </c>
      <c r="F89" s="6" t="s">
        <v>3</v>
      </c>
      <c r="G89" s="6" t="e">
        <f>G91+#REF!+#REF!+#REF!+#REF!+#REF!+#REF!+#REF!+#REF!+#REF!+#REF!+#REF!+#REF!+#REF!</f>
        <v>#REF!</v>
      </c>
      <c r="H89" s="6" t="s">
        <v>4</v>
      </c>
      <c r="I89" s="6" t="s">
        <v>5</v>
      </c>
      <c r="J89" s="9">
        <v>200000</v>
      </c>
      <c r="K89" s="7" t="s">
        <v>0</v>
      </c>
    </row>
    <row r="90" spans="1:11" ht="28.5">
      <c r="A90" s="33" t="s">
        <v>117</v>
      </c>
      <c r="B90" s="9"/>
      <c r="C90" s="9"/>
      <c r="D90" s="9"/>
      <c r="E90" s="9"/>
      <c r="F90" s="9"/>
      <c r="G90" s="9"/>
      <c r="H90" s="9"/>
      <c r="I90" s="9"/>
      <c r="J90" s="9"/>
      <c r="K90" s="15"/>
    </row>
    <row r="91" spans="1:11" ht="28.5">
      <c r="A91" s="11" t="s">
        <v>537</v>
      </c>
      <c r="B91" s="12">
        <f t="shared" ref="B91:K91" si="23">SUM(B92)</f>
        <v>0</v>
      </c>
      <c r="C91" s="12">
        <f t="shared" si="23"/>
        <v>0</v>
      </c>
      <c r="D91" s="12">
        <f t="shared" si="23"/>
        <v>8359999.9999999991</v>
      </c>
      <c r="E91" s="12">
        <f t="shared" si="23"/>
        <v>0</v>
      </c>
      <c r="F91" s="12">
        <f t="shared" si="23"/>
        <v>0</v>
      </c>
      <c r="G91" s="12">
        <f t="shared" si="23"/>
        <v>0</v>
      </c>
      <c r="H91" s="12">
        <f t="shared" si="23"/>
        <v>0</v>
      </c>
      <c r="I91" s="12">
        <f t="shared" si="23"/>
        <v>0</v>
      </c>
      <c r="J91" s="12">
        <f t="shared" si="23"/>
        <v>0</v>
      </c>
      <c r="K91" s="12">
        <f t="shared" si="23"/>
        <v>8359999.9999999991</v>
      </c>
    </row>
    <row r="92" spans="1:11" ht="28.5">
      <c r="A92" s="8" t="s">
        <v>538</v>
      </c>
      <c r="B92" s="9"/>
      <c r="C92" s="19"/>
      <c r="D92" s="9">
        <f>8000000*A4</f>
        <v>8359999.9999999991</v>
      </c>
      <c r="E92" s="19"/>
      <c r="F92" s="9"/>
      <c r="G92" s="19"/>
      <c r="H92" s="19"/>
      <c r="I92" s="19"/>
      <c r="J92" s="9"/>
      <c r="K92" s="15">
        <f>SUM(B92:I92)</f>
        <v>8359999.9999999991</v>
      </c>
    </row>
    <row r="93" spans="1:11" ht="28.5">
      <c r="A93" s="11" t="s">
        <v>539</v>
      </c>
      <c r="B93" s="12">
        <f t="shared" ref="B93:K93" si="24">SUM(B94)</f>
        <v>0</v>
      </c>
      <c r="C93" s="12">
        <f t="shared" si="24"/>
        <v>0</v>
      </c>
      <c r="D93" s="12">
        <f t="shared" si="24"/>
        <v>8359999.9999999991</v>
      </c>
      <c r="E93" s="12">
        <f t="shared" si="24"/>
        <v>0</v>
      </c>
      <c r="F93" s="12">
        <f t="shared" si="24"/>
        <v>0</v>
      </c>
      <c r="G93" s="12">
        <f t="shared" si="24"/>
        <v>0</v>
      </c>
      <c r="H93" s="12">
        <f t="shared" si="24"/>
        <v>0</v>
      </c>
      <c r="I93" s="12">
        <f t="shared" si="24"/>
        <v>0</v>
      </c>
      <c r="J93" s="12">
        <f t="shared" si="24"/>
        <v>0</v>
      </c>
      <c r="K93" s="12">
        <f t="shared" si="24"/>
        <v>8359999.9999999991</v>
      </c>
    </row>
    <row r="94" spans="1:11" ht="28.5">
      <c r="A94" s="8" t="s">
        <v>540</v>
      </c>
      <c r="B94" s="19"/>
      <c r="C94" s="19"/>
      <c r="D94" s="9">
        <f>8000000*A4</f>
        <v>8359999.9999999991</v>
      </c>
      <c r="E94" s="19"/>
      <c r="F94" s="9"/>
      <c r="G94" s="19"/>
      <c r="H94" s="19"/>
      <c r="I94" s="19"/>
      <c r="J94" s="9"/>
      <c r="K94" s="15">
        <f>SUM(B94:I94)</f>
        <v>8359999.9999999991</v>
      </c>
    </row>
    <row r="95" spans="1:11" ht="28.5">
      <c r="A95" s="11" t="s">
        <v>541</v>
      </c>
      <c r="B95" s="12">
        <f t="shared" ref="B95:K95" si="25">SUM(B96:B97)</f>
        <v>0</v>
      </c>
      <c r="C95" s="12">
        <f t="shared" si="25"/>
        <v>0</v>
      </c>
      <c r="D95" s="12">
        <f t="shared" si="25"/>
        <v>72523000</v>
      </c>
      <c r="E95" s="12">
        <f t="shared" si="25"/>
        <v>0</v>
      </c>
      <c r="F95" s="12">
        <f t="shared" si="25"/>
        <v>0</v>
      </c>
      <c r="G95" s="12">
        <f t="shared" si="25"/>
        <v>0</v>
      </c>
      <c r="H95" s="12">
        <f t="shared" si="25"/>
        <v>0</v>
      </c>
      <c r="I95" s="12">
        <f t="shared" si="25"/>
        <v>0</v>
      </c>
      <c r="J95" s="12">
        <f t="shared" si="25"/>
        <v>0</v>
      </c>
      <c r="K95" s="12">
        <f t="shared" si="25"/>
        <v>72523000</v>
      </c>
    </row>
    <row r="96" spans="1:11" ht="28.5">
      <c r="A96" s="8" t="s">
        <v>542</v>
      </c>
      <c r="B96" s="9"/>
      <c r="C96" s="9"/>
      <c r="D96" s="9">
        <f>60400000*A4</f>
        <v>63117999.999999993</v>
      </c>
      <c r="E96" s="9"/>
      <c r="F96" s="9"/>
      <c r="G96" s="19"/>
      <c r="H96" s="19"/>
      <c r="I96" s="19"/>
      <c r="J96" s="9"/>
      <c r="K96" s="15">
        <f>SUM(B96:I96)</f>
        <v>63117999.999999993</v>
      </c>
    </row>
    <row r="97" spans="1:11" ht="42.75">
      <c r="A97" s="8" t="s">
        <v>543</v>
      </c>
      <c r="B97" s="9"/>
      <c r="C97" s="9"/>
      <c r="D97" s="9">
        <f>9000000*A4</f>
        <v>9405000</v>
      </c>
      <c r="E97" s="9"/>
      <c r="F97" s="9"/>
      <c r="G97" s="19"/>
      <c r="H97" s="19"/>
      <c r="I97" s="19"/>
      <c r="J97" s="9"/>
      <c r="K97" s="15">
        <f>SUM(B97:I97)</f>
        <v>9405000</v>
      </c>
    </row>
    <row r="98" spans="1:11" ht="28.5">
      <c r="A98" s="11" t="s">
        <v>544</v>
      </c>
      <c r="B98" s="12">
        <f>SUM(B99)</f>
        <v>0</v>
      </c>
      <c r="C98" s="12">
        <f t="shared" ref="C98:K98" si="26">SUM(C99)</f>
        <v>0</v>
      </c>
      <c r="D98" s="12">
        <f t="shared" si="26"/>
        <v>151404674.51999998</v>
      </c>
      <c r="E98" s="12">
        <f t="shared" si="26"/>
        <v>0</v>
      </c>
      <c r="F98" s="12">
        <f t="shared" si="26"/>
        <v>21233500.254999999</v>
      </c>
      <c r="G98" s="12">
        <f t="shared" si="26"/>
        <v>0</v>
      </c>
      <c r="H98" s="12">
        <f t="shared" si="26"/>
        <v>0</v>
      </c>
      <c r="I98" s="12">
        <f t="shared" si="26"/>
        <v>0</v>
      </c>
      <c r="J98" s="12">
        <f t="shared" si="26"/>
        <v>0</v>
      </c>
      <c r="K98" s="12">
        <f t="shared" si="26"/>
        <v>172638174.77499998</v>
      </c>
    </row>
    <row r="99" spans="1:11" ht="28.5">
      <c r="A99" s="8" t="s">
        <v>545</v>
      </c>
      <c r="B99" s="2">
        <v>0</v>
      </c>
      <c r="C99" s="19"/>
      <c r="D99" s="9">
        <f>144884856*A4</f>
        <v>151404674.51999998</v>
      </c>
      <c r="E99" s="19"/>
      <c r="F99" s="9">
        <f>(20000000+319139)*A4</f>
        <v>21233500.254999999</v>
      </c>
      <c r="G99" s="19"/>
      <c r="H99" s="19"/>
      <c r="I99" s="19"/>
      <c r="J99" s="9"/>
      <c r="K99" s="15">
        <f>SUM(C99:I99)</f>
        <v>172638174.77499998</v>
      </c>
    </row>
    <row r="100" spans="1:11" ht="36">
      <c r="A100" s="22" t="s">
        <v>9</v>
      </c>
      <c r="B100" s="23">
        <f t="shared" ref="B100:K100" si="27">+B98+B95+B93+B91</f>
        <v>0</v>
      </c>
      <c r="C100" s="23">
        <f t="shared" si="27"/>
        <v>0</v>
      </c>
      <c r="D100" s="23">
        <f t="shared" si="27"/>
        <v>240647674.51999998</v>
      </c>
      <c r="E100" s="23">
        <f t="shared" si="27"/>
        <v>0</v>
      </c>
      <c r="F100" s="23">
        <f t="shared" si="27"/>
        <v>21233500.254999999</v>
      </c>
      <c r="G100" s="23">
        <f t="shared" si="27"/>
        <v>0</v>
      </c>
      <c r="H100" s="23">
        <f t="shared" si="27"/>
        <v>0</v>
      </c>
      <c r="I100" s="23">
        <f t="shared" si="27"/>
        <v>0</v>
      </c>
      <c r="J100" s="23">
        <f t="shared" si="27"/>
        <v>0</v>
      </c>
      <c r="K100" s="23">
        <f t="shared" si="27"/>
        <v>261881174.77499998</v>
      </c>
    </row>
    <row r="101" spans="1:11" s="14" customForma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5"/>
    </row>
    <row r="102" spans="1:11" ht="18">
      <c r="A102" s="24" t="s">
        <v>8</v>
      </c>
      <c r="B102" s="34">
        <f t="shared" ref="B102:K102" si="28">+B100+B87+B64+B39</f>
        <v>162802796.95499998</v>
      </c>
      <c r="C102" s="34">
        <f t="shared" si="28"/>
        <v>0</v>
      </c>
      <c r="D102" s="34">
        <f t="shared" si="28"/>
        <v>4635315350.9249992</v>
      </c>
      <c r="E102" s="34">
        <f t="shared" si="28"/>
        <v>0</v>
      </c>
      <c r="F102" s="34">
        <f t="shared" si="28"/>
        <v>244265049.65499997</v>
      </c>
      <c r="G102" s="34">
        <f t="shared" si="28"/>
        <v>0</v>
      </c>
      <c r="H102" s="34">
        <f t="shared" si="28"/>
        <v>300000000</v>
      </c>
      <c r="I102" s="34">
        <f t="shared" si="28"/>
        <v>2812905218.6999998</v>
      </c>
      <c r="J102" s="34">
        <f t="shared" si="28"/>
        <v>0</v>
      </c>
      <c r="K102" s="34">
        <f t="shared" si="28"/>
        <v>8155288416.2350006</v>
      </c>
    </row>
  </sheetData>
  <mergeCells count="2">
    <mergeCell ref="A1:K1"/>
    <mergeCell ref="A3:K3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>
      <selection activeCell="A26" sqref="A26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8" style="2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510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>
        <v>1.05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C7+C28+C47+C51+C70+C76+C101+#REF!+#REF!+#REF!+#REF!+#REF!+#REF!+#REF!</f>
        <v>#REF!</v>
      </c>
      <c r="D5" s="6" t="s">
        <v>1</v>
      </c>
      <c r="E5" s="6" t="e">
        <f>E7+E28+E47+E51+E70+E76+E101+#REF!+#REF!+#REF!+#REF!+#REF!+#REF!+#REF!</f>
        <v>#REF!</v>
      </c>
      <c r="F5" s="6" t="s">
        <v>3</v>
      </c>
      <c r="G5" s="6" t="e">
        <f>G7+G28+G47+G51+G70+G76+G101+#REF!+#REF!+#REF!+#REF!+#REF!+#REF!+#REF!</f>
        <v>#REF!</v>
      </c>
      <c r="H5" s="6" t="s">
        <v>4</v>
      </c>
      <c r="I5" s="6" t="s">
        <v>5</v>
      </c>
      <c r="J5" s="6" t="e">
        <f>J7+J28+J47+J51+J70+J76+J101+#REF!+#REF!+#REF!+#REF!+#REF!+#REF!+#REF!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s="14" customFormat="1" ht="28.5">
      <c r="A7" s="11" t="s">
        <v>118</v>
      </c>
      <c r="B7" s="12">
        <f t="shared" ref="B7:I7" si="0">SUM(B8:B16)</f>
        <v>0</v>
      </c>
      <c r="C7" s="12">
        <f t="shared" si="0"/>
        <v>0</v>
      </c>
      <c r="D7" s="12">
        <f t="shared" si="0"/>
        <v>2536698594.1500001</v>
      </c>
      <c r="E7" s="12">
        <f t="shared" si="0"/>
        <v>0</v>
      </c>
      <c r="F7" s="12">
        <f t="shared" si="0"/>
        <v>97290186</v>
      </c>
      <c r="G7" s="12">
        <f t="shared" si="0"/>
        <v>0</v>
      </c>
      <c r="H7" s="12">
        <f t="shared" si="0"/>
        <v>0</v>
      </c>
      <c r="I7" s="12">
        <f t="shared" si="0"/>
        <v>2604311703</v>
      </c>
      <c r="J7" s="12"/>
      <c r="K7" s="13">
        <f t="shared" ref="K7:K31" si="1">+B7+D7+F7+H7+I7</f>
        <v>5238300483.1499996</v>
      </c>
    </row>
    <row r="8" spans="1:11" ht="28.5">
      <c r="A8" s="8" t="s">
        <v>119</v>
      </c>
      <c r="B8" s="9"/>
      <c r="C8" s="9"/>
      <c r="D8" s="9">
        <f>20000000*$A$4</f>
        <v>21000000</v>
      </c>
      <c r="E8" s="9"/>
      <c r="F8" s="9">
        <f>10000000*A4</f>
        <v>10500000</v>
      </c>
      <c r="G8" s="9"/>
      <c r="H8" s="9"/>
      <c r="I8" s="9"/>
      <c r="J8" s="9"/>
      <c r="K8" s="15">
        <f t="shared" si="1"/>
        <v>31500000</v>
      </c>
    </row>
    <row r="9" spans="1:11" ht="28.5">
      <c r="A9" s="8" t="s">
        <v>120</v>
      </c>
      <c r="B9" s="9"/>
      <c r="C9" s="9"/>
      <c r="D9" s="9">
        <f>(30000000+11889320-10000000)*A4</f>
        <v>33483786</v>
      </c>
      <c r="E9" s="9"/>
      <c r="F9" s="9">
        <f>10000000*A4</f>
        <v>10500000</v>
      </c>
      <c r="G9" s="9"/>
      <c r="H9" s="9"/>
      <c r="I9" s="9"/>
      <c r="J9" s="9"/>
      <c r="K9" s="15">
        <f t="shared" si="1"/>
        <v>43983786</v>
      </c>
    </row>
    <row r="10" spans="1:11" ht="27.75" customHeight="1">
      <c r="A10" s="8" t="s">
        <v>121</v>
      </c>
      <c r="B10" s="9"/>
      <c r="C10" s="9"/>
      <c r="D10" s="9">
        <f>20000000*$A$4</f>
        <v>21000000</v>
      </c>
      <c r="E10" s="9"/>
      <c r="F10" s="9"/>
      <c r="G10" s="9"/>
      <c r="H10" s="9"/>
      <c r="I10" s="9"/>
      <c r="J10" s="9"/>
      <c r="K10" s="15">
        <f t="shared" si="1"/>
        <v>21000000</v>
      </c>
    </row>
    <row r="11" spans="1:11" ht="21" customHeight="1">
      <c r="A11" s="8" t="s">
        <v>122</v>
      </c>
      <c r="B11" s="9"/>
      <c r="C11" s="9"/>
      <c r="D11" s="9"/>
      <c r="E11" s="9"/>
      <c r="F11" s="9">
        <f>10000000*A4</f>
        <v>10500000</v>
      </c>
      <c r="G11" s="9"/>
      <c r="H11" s="9"/>
      <c r="I11" s="9"/>
      <c r="J11" s="9"/>
      <c r="K11" s="15">
        <f t="shared" si="1"/>
        <v>10500000</v>
      </c>
    </row>
    <row r="12" spans="1:11" ht="18.75" customHeight="1">
      <c r="A12" s="8" t="s">
        <v>123</v>
      </c>
      <c r="B12" s="9"/>
      <c r="C12" s="9"/>
      <c r="D12" s="9">
        <f>(20490998-3654820)*A4</f>
        <v>17677986.900000002</v>
      </c>
      <c r="E12" s="9"/>
      <c r="F12" s="9">
        <f>3654820*A4</f>
        <v>3837561</v>
      </c>
      <c r="G12" s="9"/>
      <c r="H12" s="9"/>
      <c r="I12" s="9"/>
      <c r="J12" s="9"/>
      <c r="K12" s="15">
        <f t="shared" si="1"/>
        <v>21515547.900000002</v>
      </c>
    </row>
    <row r="13" spans="1:11" ht="42.75">
      <c r="A13" s="8" t="s">
        <v>128</v>
      </c>
      <c r="B13" s="9"/>
      <c r="C13" s="9"/>
      <c r="D13" s="9">
        <f>30000000*A4</f>
        <v>31500000</v>
      </c>
      <c r="E13" s="9"/>
      <c r="F13" s="9"/>
      <c r="G13" s="9"/>
      <c r="H13" s="9"/>
      <c r="I13" s="9"/>
      <c r="J13" s="9"/>
      <c r="K13" s="15">
        <f t="shared" si="1"/>
        <v>31500000</v>
      </c>
    </row>
    <row r="14" spans="1:11" ht="31.5" customHeight="1">
      <c r="A14" s="8" t="s">
        <v>124</v>
      </c>
      <c r="B14" s="9"/>
      <c r="C14" s="9"/>
      <c r="D14" s="9">
        <f>10000000*A4</f>
        <v>10500000</v>
      </c>
      <c r="E14" s="9"/>
      <c r="F14" s="9"/>
      <c r="G14" s="9"/>
      <c r="H14" s="9"/>
      <c r="I14" s="9"/>
      <c r="J14" s="9"/>
      <c r="K14" s="15">
        <f t="shared" si="1"/>
        <v>10500000</v>
      </c>
    </row>
    <row r="15" spans="1:11" ht="28.5">
      <c r="A15" s="8" t="s">
        <v>125</v>
      </c>
      <c r="B15" s="9"/>
      <c r="C15" s="9"/>
      <c r="D15" s="9">
        <f>13000000*A4</f>
        <v>13650000</v>
      </c>
      <c r="E15" s="9"/>
      <c r="F15" s="9"/>
      <c r="G15" s="9"/>
      <c r="H15" s="9"/>
      <c r="I15" s="9"/>
      <c r="J15" s="9"/>
      <c r="K15" s="15">
        <f t="shared" si="1"/>
        <v>13650000</v>
      </c>
    </row>
    <row r="16" spans="1:11" ht="28.5">
      <c r="A16" s="8" t="s">
        <v>126</v>
      </c>
      <c r="B16" s="9"/>
      <c r="C16" s="9"/>
      <c r="D16" s="9">
        <f>2274177925*A4</f>
        <v>2387886821.25</v>
      </c>
      <c r="E16" s="9"/>
      <c r="F16" s="9">
        <f>59002500*A4</f>
        <v>61952625</v>
      </c>
      <c r="G16" s="9"/>
      <c r="H16" s="9"/>
      <c r="I16" s="9">
        <f>(2453403311+26893549)*A4</f>
        <v>2604311703</v>
      </c>
      <c r="J16" s="9"/>
      <c r="K16" s="15">
        <f t="shared" si="1"/>
        <v>5054151149.25</v>
      </c>
    </row>
    <row r="17" spans="1:11" ht="28.5">
      <c r="A17" s="11" t="s">
        <v>127</v>
      </c>
      <c r="B17" s="12">
        <f t="shared" ref="B17:I17" si="2">SUM(B18:B19)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25200000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25"/>
      <c r="K17" s="13">
        <f t="shared" si="1"/>
        <v>25200000</v>
      </c>
    </row>
    <row r="18" spans="1:11" ht="28.5">
      <c r="A18" s="8" t="s">
        <v>129</v>
      </c>
      <c r="B18" s="9"/>
      <c r="C18" s="9"/>
      <c r="D18" s="9"/>
      <c r="E18" s="16"/>
      <c r="F18" s="9">
        <f>16000000*A4</f>
        <v>16800000</v>
      </c>
      <c r="G18" s="9"/>
      <c r="H18" s="9"/>
      <c r="I18" s="9"/>
      <c r="J18" s="9"/>
      <c r="K18" s="13">
        <f t="shared" si="1"/>
        <v>16800000</v>
      </c>
    </row>
    <row r="19" spans="1:11" ht="45.75" customHeight="1">
      <c r="A19" s="8" t="s">
        <v>130</v>
      </c>
      <c r="B19" s="9"/>
      <c r="C19" s="9"/>
      <c r="D19" s="9"/>
      <c r="E19" s="9"/>
      <c r="F19" s="16">
        <f>8000000*A4</f>
        <v>8400000</v>
      </c>
      <c r="G19" s="16"/>
      <c r="H19" s="16"/>
      <c r="I19" s="9"/>
      <c r="J19" s="9"/>
      <c r="K19" s="13">
        <f t="shared" si="1"/>
        <v>8400000</v>
      </c>
    </row>
    <row r="20" spans="1:11" ht="18" customHeight="1">
      <c r="A20" s="11" t="s">
        <v>131</v>
      </c>
      <c r="B20" s="12">
        <f>SUM(B21:B23)</f>
        <v>0</v>
      </c>
      <c r="C20" s="12"/>
      <c r="D20" s="12">
        <f>SUM(D21:D23)</f>
        <v>44481289.649999999</v>
      </c>
      <c r="E20" s="25"/>
      <c r="F20" s="12">
        <f>SUM(F21:F23)</f>
        <v>19708500</v>
      </c>
      <c r="G20" s="25"/>
      <c r="H20" s="12">
        <f>SUM(H21:H23)</f>
        <v>0</v>
      </c>
      <c r="I20" s="12">
        <f>SUM(I21:I23)</f>
        <v>110250000</v>
      </c>
      <c r="J20" s="25"/>
      <c r="K20" s="13">
        <f t="shared" si="1"/>
        <v>174439789.65000001</v>
      </c>
    </row>
    <row r="21" spans="1:11" ht="42.75">
      <c r="A21" s="8" t="s">
        <v>132</v>
      </c>
      <c r="B21" s="9"/>
      <c r="C21" s="9"/>
      <c r="D21" s="9">
        <f>26680000*A4</f>
        <v>28014000</v>
      </c>
      <c r="E21" s="9"/>
      <c r="F21" s="9">
        <f>(20000000+4500000-4336867-3000000-6000000)*A4</f>
        <v>11721289.65</v>
      </c>
      <c r="G21" s="9"/>
      <c r="H21" s="9"/>
      <c r="I21" s="9">
        <f>52500000*A4</f>
        <v>55125000</v>
      </c>
      <c r="J21" s="9"/>
      <c r="K21" s="13">
        <f t="shared" si="1"/>
        <v>94860289.650000006</v>
      </c>
    </row>
    <row r="22" spans="1:11" ht="28.5">
      <c r="A22" s="8" t="s">
        <v>133</v>
      </c>
      <c r="B22" s="9"/>
      <c r="C22" s="9"/>
      <c r="D22" s="9">
        <f>(5000000+8230000-3000000-4000000+623133+1000000)*A4</f>
        <v>8245789.6500000004</v>
      </c>
      <c r="E22" s="9"/>
      <c r="F22" s="9">
        <f>(4500000+106867+3000000)*A4</f>
        <v>7987210.3500000006</v>
      </c>
      <c r="G22" s="9"/>
      <c r="H22" s="9"/>
      <c r="I22" s="9">
        <f>49500000*A4</f>
        <v>51975000</v>
      </c>
      <c r="J22" s="9"/>
      <c r="K22" s="13">
        <f t="shared" si="1"/>
        <v>68208000</v>
      </c>
    </row>
    <row r="23" spans="1:11" ht="28.5">
      <c r="A23" s="8" t="s">
        <v>517</v>
      </c>
      <c r="B23" s="9"/>
      <c r="C23" s="9"/>
      <c r="D23" s="9">
        <f>(5000000+8230000-3000000-4000000+1000000+600000)*A4</f>
        <v>8221500</v>
      </c>
      <c r="E23" s="9"/>
      <c r="F23" s="9"/>
      <c r="G23" s="9"/>
      <c r="H23" s="9"/>
      <c r="I23" s="9">
        <f>3000000*A4</f>
        <v>3150000</v>
      </c>
      <c r="J23" s="9"/>
      <c r="K23" s="13">
        <f t="shared" si="1"/>
        <v>11371500</v>
      </c>
    </row>
    <row r="24" spans="1:11" ht="28.5">
      <c r="A24" s="11" t="s">
        <v>134</v>
      </c>
      <c r="B24" s="12">
        <f>SUM(B25:B28)</f>
        <v>2100000</v>
      </c>
      <c r="C24" s="25"/>
      <c r="D24" s="12">
        <f>SUM(D25:D28)</f>
        <v>21621967.5</v>
      </c>
      <c r="E24" s="25"/>
      <c r="F24" s="12">
        <f>SUM(F25:F28)</f>
        <v>42000000</v>
      </c>
      <c r="G24" s="25"/>
      <c r="H24" s="12">
        <f>SUM(H25:H28)</f>
        <v>0</v>
      </c>
      <c r="I24" s="12">
        <v>105000000</v>
      </c>
      <c r="J24" s="25"/>
      <c r="K24" s="13">
        <f t="shared" si="1"/>
        <v>170721967.5</v>
      </c>
    </row>
    <row r="25" spans="1:11" ht="28.5">
      <c r="A25" s="8" t="s">
        <v>135</v>
      </c>
      <c r="B25" s="9"/>
      <c r="C25" s="9"/>
      <c r="D25" s="9">
        <f>8000000*A4</f>
        <v>8400000</v>
      </c>
      <c r="E25" s="9"/>
      <c r="F25" s="9">
        <f>16000000*A4</f>
        <v>16800000</v>
      </c>
      <c r="G25" s="9"/>
      <c r="H25" s="9"/>
      <c r="I25" s="9">
        <f>52500000*A4</f>
        <v>55125000</v>
      </c>
      <c r="J25" s="9"/>
      <c r="K25" s="13">
        <f t="shared" si="1"/>
        <v>80325000</v>
      </c>
    </row>
    <row r="26" spans="1:11" ht="57">
      <c r="A26" s="8" t="s">
        <v>1034</v>
      </c>
      <c r="B26" s="9"/>
      <c r="C26" s="9"/>
      <c r="D26" s="9">
        <f>(8000000+220000)*A4</f>
        <v>8631000</v>
      </c>
      <c r="E26" s="9"/>
      <c r="F26" s="9">
        <f>(16000000-2000000)*A4</f>
        <v>14700000</v>
      </c>
      <c r="G26" s="9"/>
      <c r="H26" s="9"/>
      <c r="I26" s="9">
        <f>(30000000+3000000)*A4</f>
        <v>34650000</v>
      </c>
      <c r="J26" s="9"/>
      <c r="K26" s="13">
        <f t="shared" si="1"/>
        <v>57981000</v>
      </c>
    </row>
    <row r="27" spans="1:11" ht="28.5">
      <c r="A27" s="8" t="s">
        <v>136</v>
      </c>
      <c r="B27" s="9">
        <f>2000000*A4</f>
        <v>2100000</v>
      </c>
      <c r="C27" s="9"/>
      <c r="D27" s="9">
        <f>+(4372350)*A4</f>
        <v>4590967.5</v>
      </c>
      <c r="E27" s="9"/>
      <c r="F27" s="9">
        <f>6000000*A4</f>
        <v>6300000</v>
      </c>
      <c r="G27" s="9"/>
      <c r="H27" s="9"/>
      <c r="I27" s="9">
        <f>20000000*A4</f>
        <v>21000000</v>
      </c>
      <c r="J27" s="9"/>
      <c r="K27" s="13">
        <f t="shared" si="1"/>
        <v>33990967.5</v>
      </c>
    </row>
    <row r="28" spans="1:11" s="14" customFormat="1" ht="28.5">
      <c r="A28" s="8" t="s">
        <v>137</v>
      </c>
      <c r="B28" s="9"/>
      <c r="C28" s="9"/>
      <c r="D28" s="9"/>
      <c r="E28" s="9"/>
      <c r="F28" s="9">
        <f>4000000*A4</f>
        <v>4200000</v>
      </c>
      <c r="G28" s="9"/>
      <c r="H28" s="9"/>
      <c r="I28" s="9"/>
      <c r="J28" s="19"/>
      <c r="K28" s="13">
        <f t="shared" si="1"/>
        <v>4200000</v>
      </c>
    </row>
    <row r="29" spans="1:11" s="14" customFormat="1" ht="28.5">
      <c r="A29" s="11" t="s">
        <v>138</v>
      </c>
      <c r="B29" s="12">
        <f t="shared" ref="B29:I29" si="3">SUM(B30)</f>
        <v>0</v>
      </c>
      <c r="C29" s="12">
        <f t="shared" si="3"/>
        <v>0</v>
      </c>
      <c r="D29" s="12">
        <f t="shared" si="3"/>
        <v>31500000</v>
      </c>
      <c r="E29" s="12">
        <f t="shared" si="3"/>
        <v>0</v>
      </c>
      <c r="F29" s="12">
        <f t="shared" si="3"/>
        <v>12600000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25"/>
      <c r="K29" s="13">
        <f t="shared" si="1"/>
        <v>44100000</v>
      </c>
    </row>
    <row r="30" spans="1:11" s="14" customFormat="1">
      <c r="A30" s="8" t="s">
        <v>139</v>
      </c>
      <c r="B30" s="9">
        <v>0</v>
      </c>
      <c r="C30" s="20"/>
      <c r="D30" s="9">
        <f>30000000*A4</f>
        <v>31500000</v>
      </c>
      <c r="E30" s="19"/>
      <c r="F30" s="9">
        <f>12000000*A4</f>
        <v>12600000</v>
      </c>
      <c r="G30" s="19"/>
      <c r="H30" s="19"/>
      <c r="I30" s="19"/>
      <c r="J30" s="19"/>
      <c r="K30" s="15">
        <f t="shared" si="1"/>
        <v>44100000</v>
      </c>
    </row>
    <row r="31" spans="1:11" s="14" customFormat="1" ht="57">
      <c r="A31" s="11" t="s">
        <v>146</v>
      </c>
      <c r="B31" s="12">
        <f t="shared" ref="B31:I31" si="4">SUM(B32)</f>
        <v>0</v>
      </c>
      <c r="C31" s="12">
        <f t="shared" si="4"/>
        <v>0</v>
      </c>
      <c r="D31" s="12">
        <f t="shared" si="4"/>
        <v>10500000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25"/>
      <c r="K31" s="13">
        <f t="shared" si="1"/>
        <v>10500000</v>
      </c>
    </row>
    <row r="32" spans="1:11" s="14" customFormat="1">
      <c r="A32" s="8" t="s">
        <v>147</v>
      </c>
      <c r="B32" s="19"/>
      <c r="C32" s="20"/>
      <c r="D32" s="9">
        <f>10000000*A4</f>
        <v>10500000</v>
      </c>
      <c r="E32" s="19"/>
      <c r="F32" s="9"/>
      <c r="G32" s="19"/>
      <c r="H32" s="19"/>
      <c r="I32" s="19"/>
      <c r="J32" s="19"/>
      <c r="K32" s="15">
        <f>SUM(B32:I32)</f>
        <v>10500000</v>
      </c>
    </row>
    <row r="33" spans="1:11" s="14" customFormat="1" ht="28.5">
      <c r="A33" s="11" t="s">
        <v>148</v>
      </c>
      <c r="B33" s="12">
        <f t="shared" ref="B33:K33" si="5">SUM(B34)</f>
        <v>3150000</v>
      </c>
      <c r="C33" s="12">
        <f t="shared" si="5"/>
        <v>0</v>
      </c>
      <c r="D33" s="12">
        <f t="shared" si="5"/>
        <v>27664770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30814770</v>
      </c>
    </row>
    <row r="34" spans="1:11" s="14" customFormat="1" ht="28.5">
      <c r="A34" s="8" t="s">
        <v>149</v>
      </c>
      <c r="B34" s="9">
        <f>3000000*A4</f>
        <v>3150000</v>
      </c>
      <c r="C34" s="20"/>
      <c r="D34" s="9">
        <f>26347400*A4</f>
        <v>27664770</v>
      </c>
      <c r="E34" s="19"/>
      <c r="F34" s="19"/>
      <c r="G34" s="19"/>
      <c r="H34" s="19"/>
      <c r="I34" s="19"/>
      <c r="J34" s="19"/>
      <c r="K34" s="15">
        <f>SUM(B34:I34)</f>
        <v>30814770</v>
      </c>
    </row>
    <row r="35" spans="1:11" s="14" customFormat="1" ht="28.5">
      <c r="A35" s="11" t="s">
        <v>150</v>
      </c>
      <c r="B35" s="12">
        <f t="shared" ref="B35:K35" si="6">SUM(B36:B38)</f>
        <v>0</v>
      </c>
      <c r="C35" s="12">
        <f t="shared" si="6"/>
        <v>0</v>
      </c>
      <c r="D35" s="12">
        <f t="shared" si="6"/>
        <v>54526694.25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54526694.25</v>
      </c>
    </row>
    <row r="36" spans="1:11" s="14" customFormat="1" ht="28.5">
      <c r="A36" s="8" t="s">
        <v>151</v>
      </c>
      <c r="B36" s="19"/>
      <c r="C36" s="20"/>
      <c r="D36" s="9">
        <f>18000000*A4</f>
        <v>18900000</v>
      </c>
      <c r="E36" s="19"/>
      <c r="F36" s="19"/>
      <c r="G36" s="19"/>
      <c r="H36" s="19"/>
      <c r="I36" s="19"/>
      <c r="J36" s="19"/>
      <c r="K36" s="15">
        <f>SUM(B36:I36)</f>
        <v>18900000</v>
      </c>
    </row>
    <row r="37" spans="1:11" s="14" customFormat="1" ht="42.75">
      <c r="A37" s="8" t="s">
        <v>152</v>
      </c>
      <c r="B37" s="19"/>
      <c r="C37" s="20"/>
      <c r="D37" s="9">
        <f>25223685*A4</f>
        <v>26484869.25</v>
      </c>
      <c r="E37" s="19"/>
      <c r="F37" s="19"/>
      <c r="G37" s="19"/>
      <c r="H37" s="19"/>
      <c r="I37" s="19"/>
      <c r="J37" s="19"/>
      <c r="K37" s="15">
        <f>SUM(B37:I37)</f>
        <v>26484869.25</v>
      </c>
    </row>
    <row r="38" spans="1:11" s="14" customFormat="1" ht="42.75">
      <c r="A38" s="8" t="s">
        <v>153</v>
      </c>
      <c r="B38" s="19"/>
      <c r="C38" s="20"/>
      <c r="D38" s="9">
        <f>8706500*A4</f>
        <v>9141825</v>
      </c>
      <c r="E38" s="19"/>
      <c r="F38" s="19"/>
      <c r="G38" s="19"/>
      <c r="H38" s="19"/>
      <c r="I38" s="19"/>
      <c r="J38" s="19"/>
      <c r="K38" s="15">
        <f>SUM(B38:I38)</f>
        <v>9141825</v>
      </c>
    </row>
    <row r="39" spans="1:11" s="14" customFormat="1" ht="54">
      <c r="A39" s="22" t="s">
        <v>140</v>
      </c>
      <c r="B39" s="23">
        <f t="shared" ref="B39:K39" si="7">+B35+B33+B31+B29+B24+B20+B17+B7</f>
        <v>5250000</v>
      </c>
      <c r="C39" s="23">
        <f t="shared" si="7"/>
        <v>0</v>
      </c>
      <c r="D39" s="23">
        <f t="shared" si="7"/>
        <v>2726993315.5500002</v>
      </c>
      <c r="E39" s="23">
        <f t="shared" si="7"/>
        <v>0</v>
      </c>
      <c r="F39" s="23">
        <f t="shared" si="7"/>
        <v>196798686</v>
      </c>
      <c r="G39" s="23">
        <f t="shared" si="7"/>
        <v>0</v>
      </c>
      <c r="H39" s="23">
        <f t="shared" si="7"/>
        <v>0</v>
      </c>
      <c r="I39" s="23">
        <f t="shared" si="7"/>
        <v>2819561703</v>
      </c>
      <c r="J39" s="23">
        <f t="shared" si="7"/>
        <v>0</v>
      </c>
      <c r="K39" s="23">
        <f t="shared" si="7"/>
        <v>5748603704.5499992</v>
      </c>
    </row>
    <row r="40" spans="1:11">
      <c r="A40" s="8"/>
      <c r="B40" s="9"/>
      <c r="C40" s="17"/>
      <c r="D40" s="9"/>
      <c r="E40" s="9"/>
      <c r="F40" s="9"/>
      <c r="G40" s="9"/>
      <c r="H40" s="9"/>
      <c r="I40" s="9"/>
      <c r="J40" s="9"/>
      <c r="K40" s="15"/>
    </row>
    <row r="41" spans="1:11" ht="57">
      <c r="A41" s="5" t="s">
        <v>6</v>
      </c>
      <c r="B41" s="6" t="s">
        <v>2</v>
      </c>
      <c r="C41" s="6" t="e">
        <f>C43+C53+C75+C80+#REF!+#REF!+#REF!+#REF!+#REF!+#REF!+#REF!+#REF!+#REF!+#REF!</f>
        <v>#REF!</v>
      </c>
      <c r="D41" s="6" t="s">
        <v>1</v>
      </c>
      <c r="E41" s="6" t="e">
        <f>E43+E53+E75+E80+#REF!+#REF!+#REF!+#REF!+#REF!+#REF!+#REF!+#REF!+#REF!+#REF!</f>
        <v>#REF!</v>
      </c>
      <c r="F41" s="6" t="s">
        <v>3</v>
      </c>
      <c r="G41" s="6" t="e">
        <f>G43+G53+G75+G80+#REF!+#REF!+#REF!+#REF!+#REF!+#REF!+#REF!+#REF!+#REF!+#REF!</f>
        <v>#REF!</v>
      </c>
      <c r="H41" s="6" t="s">
        <v>4</v>
      </c>
      <c r="I41" s="6" t="s">
        <v>5</v>
      </c>
      <c r="J41" s="9">
        <v>200000</v>
      </c>
      <c r="K41" s="7" t="s">
        <v>0</v>
      </c>
    </row>
    <row r="42" spans="1:11" ht="25.5">
      <c r="A42" s="29" t="s">
        <v>141</v>
      </c>
      <c r="B42" s="9"/>
      <c r="C42" s="9"/>
      <c r="D42" s="9"/>
      <c r="E42" s="9"/>
      <c r="F42" s="9"/>
      <c r="G42" s="9"/>
      <c r="H42" s="9"/>
      <c r="I42" s="9"/>
      <c r="J42" s="9"/>
      <c r="K42" s="15"/>
    </row>
    <row r="43" spans="1:11" ht="29.25" customHeight="1">
      <c r="A43" s="11" t="s">
        <v>154</v>
      </c>
      <c r="B43" s="12">
        <f t="shared" ref="B43:I43" si="8">SUM(B44:B46)</f>
        <v>12600000</v>
      </c>
      <c r="C43" s="12">
        <f t="shared" si="8"/>
        <v>0</v>
      </c>
      <c r="D43" s="12">
        <f t="shared" si="8"/>
        <v>10500000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300000000</v>
      </c>
      <c r="I43" s="12">
        <f t="shared" si="8"/>
        <v>0</v>
      </c>
      <c r="J43" s="12"/>
      <c r="K43" s="13">
        <f>SUM(B43:I43)</f>
        <v>323100000</v>
      </c>
    </row>
    <row r="44" spans="1:11" ht="42.75">
      <c r="A44" s="8" t="s">
        <v>155</v>
      </c>
      <c r="B44" s="9">
        <v>0</v>
      </c>
      <c r="C44" s="9"/>
      <c r="D44" s="9">
        <f>10000000*A4</f>
        <v>10500000</v>
      </c>
      <c r="E44" s="9"/>
      <c r="F44" s="9">
        <v>0</v>
      </c>
      <c r="G44" s="9"/>
      <c r="H44" s="9">
        <v>150000000</v>
      </c>
      <c r="I44" s="9"/>
      <c r="J44" s="9"/>
      <c r="K44" s="15">
        <f>SUM(B44:I44)</f>
        <v>160500000</v>
      </c>
    </row>
    <row r="45" spans="1:11" ht="28.5">
      <c r="A45" s="8" t="s">
        <v>156</v>
      </c>
      <c r="B45" s="9">
        <f>12000000*A4</f>
        <v>12600000</v>
      </c>
      <c r="C45" s="9"/>
      <c r="D45" s="9"/>
      <c r="E45" s="9"/>
      <c r="F45" s="9"/>
      <c r="G45" s="9"/>
      <c r="H45" s="9">
        <v>100000000</v>
      </c>
      <c r="I45" s="9"/>
      <c r="J45" s="9"/>
      <c r="K45" s="15">
        <f>SUM(B45:I45)</f>
        <v>112600000</v>
      </c>
    </row>
    <row r="46" spans="1:11" ht="28.5">
      <c r="A46" s="8" t="s">
        <v>157</v>
      </c>
      <c r="B46" s="9"/>
      <c r="C46" s="9"/>
      <c r="D46" s="9"/>
      <c r="E46" s="9"/>
      <c r="F46" s="9"/>
      <c r="G46" s="9"/>
      <c r="H46" s="9">
        <v>50000000</v>
      </c>
      <c r="I46" s="9"/>
      <c r="J46" s="9"/>
      <c r="K46" s="15">
        <f>SUM(B46:I46)</f>
        <v>50000000</v>
      </c>
    </row>
    <row r="47" spans="1:11" s="14" customFormat="1" ht="28.5">
      <c r="A47" s="11" t="s">
        <v>158</v>
      </c>
      <c r="B47" s="12">
        <f t="shared" ref="B47:K47" si="9">SUM(B48:B49)</f>
        <v>8400000</v>
      </c>
      <c r="C47" s="12">
        <f t="shared" si="9"/>
        <v>0</v>
      </c>
      <c r="D47" s="12">
        <f t="shared" si="9"/>
        <v>167912903.55000001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9"/>
        <v>0</v>
      </c>
      <c r="J47" s="12">
        <f t="shared" si="9"/>
        <v>0</v>
      </c>
      <c r="K47" s="12">
        <f t="shared" si="9"/>
        <v>176312903.55000001</v>
      </c>
    </row>
    <row r="48" spans="1:11" ht="28.5">
      <c r="A48" s="8" t="s">
        <v>159</v>
      </c>
      <c r="B48" s="9">
        <f>4000000*A4</f>
        <v>4200000</v>
      </c>
      <c r="C48" s="9"/>
      <c r="D48" s="9">
        <f>(45388050+7000000)*A4</f>
        <v>55007452.5</v>
      </c>
      <c r="E48" s="9"/>
      <c r="F48" s="9"/>
      <c r="G48" s="9"/>
      <c r="H48" s="9"/>
      <c r="I48" s="9"/>
      <c r="J48" s="9"/>
      <c r="K48" s="15">
        <f t="shared" ref="K48:K53" si="10">SUM(B48:I48)</f>
        <v>59207452.5</v>
      </c>
    </row>
    <row r="49" spans="1:11">
      <c r="A49" s="8" t="s">
        <v>160</v>
      </c>
      <c r="B49" s="9">
        <f>4000000*A4</f>
        <v>4200000</v>
      </c>
      <c r="C49" s="9"/>
      <c r="D49" s="9">
        <f>(105905450+7000000)+A4</f>
        <v>112905451.05</v>
      </c>
      <c r="E49" s="9"/>
      <c r="F49" s="9"/>
      <c r="G49" s="9"/>
      <c r="H49" s="9"/>
      <c r="I49" s="9"/>
      <c r="J49" s="9"/>
      <c r="K49" s="15">
        <f t="shared" si="10"/>
        <v>117105451.05</v>
      </c>
    </row>
    <row r="50" spans="1:11" ht="28.5">
      <c r="A50" s="11" t="s">
        <v>143</v>
      </c>
      <c r="B50" s="12">
        <f>SUM(B51:B53)</f>
        <v>27623807.399999999</v>
      </c>
      <c r="C50" s="25"/>
      <c r="D50" s="12">
        <f>11410000+10000000+31400000+6000000</f>
        <v>58810000</v>
      </c>
      <c r="E50" s="25"/>
      <c r="F50" s="12">
        <f>SUM(F51:F53)</f>
        <v>0</v>
      </c>
      <c r="G50" s="12">
        <f>SUM(G51:G53)</f>
        <v>0</v>
      </c>
      <c r="H50" s="12">
        <f>SUM(H51:H53)</f>
        <v>0</v>
      </c>
      <c r="I50" s="12">
        <f>SUM(I51:I53)</f>
        <v>0</v>
      </c>
      <c r="J50" s="25"/>
      <c r="K50" s="13">
        <f t="shared" si="10"/>
        <v>86433807.400000006</v>
      </c>
    </row>
    <row r="51" spans="1:11" s="14" customFormat="1" ht="28.5">
      <c r="A51" s="8" t="s">
        <v>161</v>
      </c>
      <c r="B51" s="9">
        <f>5000000*A4</f>
        <v>5250000</v>
      </c>
      <c r="C51" s="9"/>
      <c r="D51" s="9"/>
      <c r="E51" s="19"/>
      <c r="F51" s="9"/>
      <c r="G51" s="19"/>
      <c r="H51" s="19"/>
      <c r="I51" s="19"/>
      <c r="J51" s="19"/>
      <c r="K51" s="15">
        <f t="shared" si="10"/>
        <v>5250000</v>
      </c>
    </row>
    <row r="52" spans="1:11" ht="28.5">
      <c r="A52" s="8" t="s">
        <v>144</v>
      </c>
      <c r="B52" s="9">
        <f>20000000*A4</f>
        <v>21000000</v>
      </c>
      <c r="C52" s="9"/>
      <c r="D52" s="9">
        <f>11410000*A4</f>
        <v>11980500</v>
      </c>
      <c r="E52" s="9"/>
      <c r="F52" s="9"/>
      <c r="G52" s="9"/>
      <c r="H52" s="9"/>
      <c r="I52" s="9"/>
      <c r="J52" s="9"/>
      <c r="K52" s="15">
        <f t="shared" si="10"/>
        <v>32980500</v>
      </c>
    </row>
    <row r="53" spans="1:11" ht="28.5">
      <c r="A53" s="8" t="s">
        <v>145</v>
      </c>
      <c r="B53" s="9">
        <f>1308388*A4</f>
        <v>1373807.4000000001</v>
      </c>
      <c r="C53" s="9"/>
      <c r="D53" s="9">
        <f>31400000*A4</f>
        <v>32970000</v>
      </c>
      <c r="E53" s="9"/>
      <c r="F53" s="9"/>
      <c r="G53" s="9"/>
      <c r="H53" s="9"/>
      <c r="I53" s="9"/>
      <c r="J53" s="9"/>
      <c r="K53" s="15">
        <f t="shared" si="10"/>
        <v>34343807.399999999</v>
      </c>
    </row>
    <row r="54" spans="1:11" ht="28.5">
      <c r="A54" s="11" t="s">
        <v>162</v>
      </c>
      <c r="B54" s="12">
        <f t="shared" ref="B54:K54" si="11">SUM(B55:B58)</f>
        <v>17804169.600000001</v>
      </c>
      <c r="C54" s="12">
        <f t="shared" si="11"/>
        <v>0</v>
      </c>
      <c r="D54" s="12">
        <f t="shared" si="11"/>
        <v>54042529.799999997</v>
      </c>
      <c r="E54" s="12">
        <f t="shared" si="11"/>
        <v>0</v>
      </c>
      <c r="F54" s="12">
        <f t="shared" si="11"/>
        <v>5250000</v>
      </c>
      <c r="G54" s="12">
        <f t="shared" si="11"/>
        <v>0</v>
      </c>
      <c r="H54" s="12">
        <f t="shared" si="11"/>
        <v>0</v>
      </c>
      <c r="I54" s="12">
        <f t="shared" si="11"/>
        <v>0</v>
      </c>
      <c r="J54" s="12">
        <f t="shared" si="11"/>
        <v>0</v>
      </c>
      <c r="K54" s="12">
        <f t="shared" si="11"/>
        <v>77096699.400000006</v>
      </c>
    </row>
    <row r="55" spans="1:11" ht="28.5">
      <c r="A55" s="8" t="s">
        <v>163</v>
      </c>
      <c r="B55" s="9"/>
      <c r="C55" s="9"/>
      <c r="D55" s="9">
        <f>10469076*A4</f>
        <v>10992529.800000001</v>
      </c>
      <c r="E55" s="9"/>
      <c r="F55" s="9"/>
      <c r="G55" s="9"/>
      <c r="H55" s="9"/>
      <c r="I55" s="9"/>
      <c r="J55" s="9"/>
      <c r="K55" s="15">
        <f>SUM(B55:I55)</f>
        <v>10992529.800000001</v>
      </c>
    </row>
    <row r="56" spans="1:11" ht="28.5">
      <c r="A56" s="8" t="s">
        <v>164</v>
      </c>
      <c r="B56" s="9"/>
      <c r="C56" s="9"/>
      <c r="D56" s="9">
        <f>13000000*A4</f>
        <v>13650000</v>
      </c>
      <c r="E56" s="9"/>
      <c r="F56" s="9">
        <f>5000000*A4</f>
        <v>5250000</v>
      </c>
      <c r="G56" s="9"/>
      <c r="H56" s="9"/>
      <c r="I56" s="9"/>
      <c r="J56" s="9"/>
      <c r="K56" s="15">
        <f>SUM(B56:I56)</f>
        <v>18900000</v>
      </c>
    </row>
    <row r="57" spans="1:11" ht="28.5">
      <c r="A57" s="8" t="s">
        <v>165</v>
      </c>
      <c r="B57" s="9"/>
      <c r="C57" s="9"/>
      <c r="D57" s="9">
        <f>11000000*A4</f>
        <v>11550000</v>
      </c>
      <c r="E57" s="9"/>
      <c r="F57" s="9"/>
      <c r="G57" s="9"/>
      <c r="H57" s="9"/>
      <c r="I57" s="9"/>
      <c r="J57" s="9"/>
      <c r="K57" s="15">
        <f>SUM(B57:I57)</f>
        <v>11550000</v>
      </c>
    </row>
    <row r="58" spans="1:11" ht="28.5">
      <c r="A58" s="8" t="s">
        <v>166</v>
      </c>
      <c r="B58" s="9">
        <f>(25000000-8043648)*A4</f>
        <v>17804169.600000001</v>
      </c>
      <c r="C58" s="9"/>
      <c r="D58" s="9">
        <f>17000000*A4</f>
        <v>17850000</v>
      </c>
      <c r="E58" s="9"/>
      <c r="F58" s="9"/>
      <c r="G58" s="9"/>
      <c r="H58" s="9"/>
      <c r="I58" s="9"/>
      <c r="J58" s="9"/>
      <c r="K58" s="15">
        <f>SUM(B58:I58)</f>
        <v>35654169.600000001</v>
      </c>
    </row>
    <row r="59" spans="1:11" ht="42.75">
      <c r="A59" s="11" t="s">
        <v>167</v>
      </c>
      <c r="B59" s="12">
        <f t="shared" ref="B59:K59" si="12">SUM(B60:B61)</f>
        <v>0</v>
      </c>
      <c r="C59" s="12">
        <f t="shared" si="12"/>
        <v>0</v>
      </c>
      <c r="D59" s="12">
        <f t="shared" si="12"/>
        <v>10311000</v>
      </c>
      <c r="E59" s="12">
        <f t="shared" si="12"/>
        <v>0</v>
      </c>
      <c r="F59" s="12">
        <f t="shared" si="12"/>
        <v>3150000</v>
      </c>
      <c r="G59" s="12">
        <f t="shared" si="12"/>
        <v>0</v>
      </c>
      <c r="H59" s="12">
        <f t="shared" si="12"/>
        <v>0</v>
      </c>
      <c r="I59" s="12">
        <f t="shared" si="12"/>
        <v>0</v>
      </c>
      <c r="J59" s="12">
        <f t="shared" si="12"/>
        <v>0</v>
      </c>
      <c r="K59" s="12">
        <f t="shared" si="12"/>
        <v>13461000</v>
      </c>
    </row>
    <row r="60" spans="1:11" ht="28.5">
      <c r="A60" s="8" t="s">
        <v>168</v>
      </c>
      <c r="B60" s="9"/>
      <c r="C60" s="9"/>
      <c r="D60" s="9">
        <f>9820000*A4</f>
        <v>10311000</v>
      </c>
      <c r="E60" s="9"/>
      <c r="F60" s="9"/>
      <c r="G60" s="9"/>
      <c r="H60" s="9"/>
      <c r="I60" s="9"/>
      <c r="J60" s="9"/>
      <c r="K60" s="15">
        <f>SUM(B60:I60)</f>
        <v>10311000</v>
      </c>
    </row>
    <row r="61" spans="1:11" ht="28.5">
      <c r="A61" s="8" t="s">
        <v>169</v>
      </c>
      <c r="B61" s="9"/>
      <c r="C61" s="9"/>
      <c r="D61" s="9"/>
      <c r="E61" s="9"/>
      <c r="F61" s="9">
        <f>3000000*A4</f>
        <v>3150000</v>
      </c>
      <c r="G61" s="9"/>
      <c r="H61" s="9"/>
      <c r="I61" s="9"/>
      <c r="J61" s="9"/>
      <c r="K61" s="15">
        <f>SUM(B61:I61)</f>
        <v>3150000</v>
      </c>
    </row>
    <row r="62" spans="1:11" ht="42.75">
      <c r="A62" s="11" t="s">
        <v>170</v>
      </c>
      <c r="B62" s="12">
        <f t="shared" ref="B62:K62" si="13">SUM(B63)</f>
        <v>0</v>
      </c>
      <c r="C62" s="12">
        <f t="shared" si="13"/>
        <v>0</v>
      </c>
      <c r="D62" s="12">
        <f t="shared" si="13"/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</row>
    <row r="63" spans="1:11">
      <c r="A63" s="8" t="s">
        <v>518</v>
      </c>
      <c r="B63" s="9"/>
      <c r="C63" s="9"/>
      <c r="D63" s="9"/>
      <c r="E63" s="9"/>
      <c r="F63" s="9"/>
      <c r="G63" s="9"/>
      <c r="H63" s="9"/>
      <c r="I63" s="9"/>
      <c r="J63" s="9"/>
      <c r="K63" s="15">
        <f>SUM(B63:I63)</f>
        <v>0</v>
      </c>
    </row>
    <row r="64" spans="1:11" ht="72">
      <c r="A64" s="22" t="s">
        <v>142</v>
      </c>
      <c r="B64" s="23">
        <f t="shared" ref="B64:K64" si="14">+B62+B59+B54+B50+B47+B43</f>
        <v>66427977</v>
      </c>
      <c r="C64" s="23">
        <f t="shared" si="14"/>
        <v>0</v>
      </c>
      <c r="D64" s="23">
        <f t="shared" si="14"/>
        <v>301576433.35000002</v>
      </c>
      <c r="E64" s="23">
        <f t="shared" si="14"/>
        <v>0</v>
      </c>
      <c r="F64" s="23">
        <f t="shared" si="14"/>
        <v>8400000</v>
      </c>
      <c r="G64" s="23">
        <f t="shared" si="14"/>
        <v>0</v>
      </c>
      <c r="H64" s="23">
        <f t="shared" si="14"/>
        <v>300000000</v>
      </c>
      <c r="I64" s="23">
        <f t="shared" si="14"/>
        <v>0</v>
      </c>
      <c r="J64" s="23">
        <f t="shared" si="14"/>
        <v>0</v>
      </c>
      <c r="K64" s="23">
        <f t="shared" si="14"/>
        <v>676404410.35000002</v>
      </c>
    </row>
    <row r="65" spans="1:11" ht="22.5" customHeight="1">
      <c r="A65" s="21"/>
      <c r="B65" s="9"/>
      <c r="C65" s="9"/>
      <c r="D65" s="9"/>
      <c r="E65" s="9"/>
      <c r="F65" s="9"/>
      <c r="G65" s="9"/>
      <c r="H65" s="9"/>
      <c r="I65" s="9"/>
      <c r="J65" s="9"/>
      <c r="K65" s="15"/>
    </row>
    <row r="66" spans="1:11" ht="57">
      <c r="A66" s="5" t="s">
        <v>7</v>
      </c>
      <c r="B66" s="6" t="s">
        <v>2</v>
      </c>
      <c r="C66" s="6" t="e">
        <f>C68+#REF!+#REF!+#REF!+#REF!+#REF!+#REF!+#REF!+#REF!+#REF!+#REF!+#REF!+#REF!+#REF!</f>
        <v>#REF!</v>
      </c>
      <c r="D66" s="6" t="s">
        <v>1</v>
      </c>
      <c r="E66" s="6" t="e">
        <f>E68+#REF!+#REF!+#REF!+#REF!+#REF!+#REF!+#REF!+#REF!+#REF!+#REF!+#REF!+#REF!+#REF!</f>
        <v>#REF!</v>
      </c>
      <c r="F66" s="6" t="s">
        <v>3</v>
      </c>
      <c r="G66" s="6" t="e">
        <f>G68+#REF!+#REF!+#REF!+#REF!+#REF!+#REF!+#REF!+#REF!+#REF!+#REF!+#REF!+#REF!+#REF!</f>
        <v>#REF!</v>
      </c>
      <c r="H66" s="6" t="s">
        <v>4</v>
      </c>
      <c r="I66" s="6" t="s">
        <v>5</v>
      </c>
      <c r="J66" s="9">
        <v>200000</v>
      </c>
      <c r="K66" s="7" t="s">
        <v>0</v>
      </c>
    </row>
    <row r="67" spans="1:11" ht="28.5">
      <c r="A67" s="33" t="s">
        <v>116</v>
      </c>
      <c r="B67" s="9"/>
      <c r="C67" s="9"/>
      <c r="D67" s="9"/>
      <c r="E67" s="9"/>
      <c r="F67" s="9"/>
      <c r="G67" s="9"/>
      <c r="H67" s="9"/>
      <c r="I67" s="9"/>
      <c r="J67" s="9"/>
      <c r="K67" s="15"/>
    </row>
    <row r="68" spans="1:11" ht="28.5">
      <c r="A68" s="11" t="s">
        <v>519</v>
      </c>
      <c r="B68" s="12">
        <f t="shared" ref="B68:I68" si="15">SUM(B69:B74)</f>
        <v>25000001.050000001</v>
      </c>
      <c r="C68" s="12">
        <f t="shared" si="15"/>
        <v>0</v>
      </c>
      <c r="D68" s="12">
        <f t="shared" si="15"/>
        <v>678731527.95000005</v>
      </c>
      <c r="E68" s="12">
        <f t="shared" si="15"/>
        <v>0</v>
      </c>
      <c r="F68" s="12">
        <f t="shared" si="15"/>
        <v>0</v>
      </c>
      <c r="G68" s="12">
        <f t="shared" si="15"/>
        <v>0</v>
      </c>
      <c r="H68" s="12">
        <f t="shared" si="15"/>
        <v>0</v>
      </c>
      <c r="I68" s="12">
        <f t="shared" si="15"/>
        <v>6300000</v>
      </c>
      <c r="J68" s="25"/>
      <c r="K68" s="13">
        <f>SUM(K69:K74)</f>
        <v>710031529</v>
      </c>
    </row>
    <row r="69" spans="1:11" ht="28.5">
      <c r="A69" s="8" t="s">
        <v>520</v>
      </c>
      <c r="B69" s="9"/>
      <c r="C69" s="9"/>
      <c r="D69" s="9"/>
      <c r="E69" s="9"/>
      <c r="F69" s="9"/>
      <c r="G69" s="9"/>
      <c r="H69" s="9"/>
      <c r="I69" s="9">
        <f>500000*A4</f>
        <v>525000</v>
      </c>
      <c r="J69" s="9"/>
      <c r="K69" s="15">
        <f t="shared" ref="K69:K74" si="16">SUM(B69:I69)</f>
        <v>525000</v>
      </c>
    </row>
    <row r="70" spans="1:11" s="14" customFormat="1" ht="28.5">
      <c r="A70" s="8" t="s">
        <v>521</v>
      </c>
      <c r="B70" s="19"/>
      <c r="C70" s="19"/>
      <c r="D70" s="19"/>
      <c r="E70" s="19"/>
      <c r="F70" s="19"/>
      <c r="G70" s="19"/>
      <c r="H70" s="19"/>
      <c r="I70" s="9">
        <f>500000*A4</f>
        <v>525000</v>
      </c>
      <c r="J70" s="19"/>
      <c r="K70" s="15">
        <f t="shared" si="16"/>
        <v>525000</v>
      </c>
    </row>
    <row r="71" spans="1:11" s="14" customFormat="1" ht="42.75">
      <c r="A71" s="8" t="s">
        <v>525</v>
      </c>
      <c r="B71" s="9">
        <f>4000000+A4</f>
        <v>4000001.05</v>
      </c>
      <c r="C71" s="19"/>
      <c r="D71" s="19"/>
      <c r="E71" s="19"/>
      <c r="F71" s="9"/>
      <c r="G71" s="19"/>
      <c r="H71" s="19"/>
      <c r="I71" s="9"/>
      <c r="J71" s="19"/>
      <c r="K71" s="15">
        <f t="shared" si="16"/>
        <v>4000001.05</v>
      </c>
    </row>
    <row r="72" spans="1:11" ht="28.5">
      <c r="A72" s="8" t="s">
        <v>522</v>
      </c>
      <c r="B72" s="9">
        <f>20000000*A4</f>
        <v>21000000</v>
      </c>
      <c r="C72" s="9"/>
      <c r="D72" s="9"/>
      <c r="E72" s="9"/>
      <c r="F72" s="9"/>
      <c r="G72" s="9"/>
      <c r="H72" s="9"/>
      <c r="I72" s="9">
        <f>5000000*A4</f>
        <v>5250000</v>
      </c>
      <c r="J72" s="9"/>
      <c r="K72" s="15">
        <f t="shared" si="16"/>
        <v>26250000</v>
      </c>
    </row>
    <row r="73" spans="1:11" ht="42.75">
      <c r="A73" s="8" t="s">
        <v>523</v>
      </c>
      <c r="B73" s="9"/>
      <c r="C73" s="9"/>
      <c r="D73" s="9">
        <f>(286774000+58328930+600000)*A4</f>
        <v>362988076.5</v>
      </c>
      <c r="E73" s="9"/>
      <c r="F73" s="9"/>
      <c r="G73" s="9"/>
      <c r="H73" s="9"/>
      <c r="I73" s="9"/>
      <c r="J73" s="9"/>
      <c r="K73" s="15">
        <f t="shared" si="16"/>
        <v>362988076.5</v>
      </c>
    </row>
    <row r="74" spans="1:11" ht="28.5">
      <c r="A74" s="8" t="s">
        <v>524</v>
      </c>
      <c r="B74" s="9"/>
      <c r="C74" s="9"/>
      <c r="D74" s="9">
        <f>300708049*A4</f>
        <v>315743451.44999999</v>
      </c>
      <c r="E74" s="9"/>
      <c r="F74" s="9"/>
      <c r="G74" s="9"/>
      <c r="H74" s="9"/>
      <c r="I74" s="9"/>
      <c r="J74" s="9"/>
      <c r="K74" s="15">
        <f t="shared" si="16"/>
        <v>315743451.44999999</v>
      </c>
    </row>
    <row r="75" spans="1:11" ht="28.5">
      <c r="A75" s="11" t="s">
        <v>526</v>
      </c>
      <c r="B75" s="12">
        <f t="shared" ref="B75:I75" si="17">SUM(B76:B78)</f>
        <v>65834640.899999999</v>
      </c>
      <c r="C75" s="12">
        <f t="shared" si="17"/>
        <v>0</v>
      </c>
      <c r="D75" s="12">
        <f t="shared" si="17"/>
        <v>21840000</v>
      </c>
      <c r="E75" s="12">
        <f t="shared" si="17"/>
        <v>0</v>
      </c>
      <c r="F75" s="12">
        <f t="shared" si="17"/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25"/>
      <c r="K75" s="13">
        <f>SUM(B75:J75)</f>
        <v>87674640.900000006</v>
      </c>
    </row>
    <row r="76" spans="1:11" s="14" customFormat="1" ht="42.75">
      <c r="A76" s="8" t="s">
        <v>527</v>
      </c>
      <c r="B76" s="9">
        <f>30000000*A4</f>
        <v>31500000</v>
      </c>
      <c r="C76" s="19"/>
      <c r="D76" s="9">
        <f>10000000*A4</f>
        <v>10500000</v>
      </c>
      <c r="E76" s="19"/>
      <c r="F76" s="9"/>
      <c r="G76" s="19"/>
      <c r="H76" s="19"/>
      <c r="I76" s="19"/>
      <c r="J76" s="19"/>
      <c r="K76" s="13">
        <f>SUM(B76:J76)</f>
        <v>42000000</v>
      </c>
    </row>
    <row r="77" spans="1:11" ht="28.5">
      <c r="A77" s="8" t="s">
        <v>528</v>
      </c>
      <c r="B77" s="9">
        <f>2699658*A4</f>
        <v>2834640.9</v>
      </c>
      <c r="C77" s="9"/>
      <c r="D77" s="9">
        <f>10800000*A4</f>
        <v>11340000</v>
      </c>
      <c r="E77" s="9"/>
      <c r="F77" s="9"/>
      <c r="G77" s="9"/>
      <c r="H77" s="9"/>
      <c r="I77" s="9"/>
      <c r="J77" s="9"/>
      <c r="K77" s="13">
        <f>SUM(B77:J77)</f>
        <v>14174640.9</v>
      </c>
    </row>
    <row r="78" spans="1:11" ht="28.5">
      <c r="A78" s="8" t="s">
        <v>529</v>
      </c>
      <c r="B78" s="9">
        <f>30000000*A4</f>
        <v>31500000</v>
      </c>
      <c r="C78" s="9"/>
      <c r="D78" s="9"/>
      <c r="E78" s="9"/>
      <c r="F78" s="9"/>
      <c r="G78" s="9"/>
      <c r="H78" s="9"/>
      <c r="I78" s="9"/>
      <c r="J78" s="9"/>
      <c r="K78" s="13">
        <f>SUM(B78:J78)</f>
        <v>31500000</v>
      </c>
    </row>
    <row r="79" spans="1:11" ht="28.5">
      <c r="A79" s="11" t="s">
        <v>530</v>
      </c>
      <c r="B79" s="12">
        <f t="shared" ref="B79:I79" si="18">SUM(B80:B81)</f>
        <v>0</v>
      </c>
      <c r="C79" s="12">
        <f t="shared" si="18"/>
        <v>0</v>
      </c>
      <c r="D79" s="12">
        <f t="shared" si="18"/>
        <v>60690000</v>
      </c>
      <c r="E79" s="12">
        <f t="shared" si="18"/>
        <v>0</v>
      </c>
      <c r="F79" s="12">
        <f t="shared" si="18"/>
        <v>18900000</v>
      </c>
      <c r="G79" s="12">
        <f t="shared" si="18"/>
        <v>0</v>
      </c>
      <c r="H79" s="12">
        <f t="shared" si="18"/>
        <v>0</v>
      </c>
      <c r="I79" s="12">
        <f t="shared" si="18"/>
        <v>0</v>
      </c>
      <c r="J79" s="25"/>
      <c r="K79" s="13">
        <f t="shared" ref="K79:K84" si="19">SUM(B79:I79)</f>
        <v>79590000</v>
      </c>
    </row>
    <row r="80" spans="1:11" ht="28.5">
      <c r="A80" s="8" t="s">
        <v>531</v>
      </c>
      <c r="B80" s="9"/>
      <c r="C80" s="9"/>
      <c r="D80" s="9">
        <f>2200000*A4</f>
        <v>2310000</v>
      </c>
      <c r="E80" s="9"/>
      <c r="F80" s="9">
        <f>12000000*A4</f>
        <v>12600000</v>
      </c>
      <c r="G80" s="9"/>
      <c r="H80" s="9"/>
      <c r="I80" s="9"/>
      <c r="J80" s="9"/>
      <c r="K80" s="15">
        <f t="shared" si="19"/>
        <v>14910000</v>
      </c>
    </row>
    <row r="81" spans="1:11" ht="42.75">
      <c r="A81" s="8" t="s">
        <v>532</v>
      </c>
      <c r="B81" s="9"/>
      <c r="C81" s="9"/>
      <c r="D81" s="9">
        <f>55600000*A4</f>
        <v>58380000</v>
      </c>
      <c r="E81" s="9"/>
      <c r="F81" s="9">
        <f>6000000*A4</f>
        <v>6300000</v>
      </c>
      <c r="G81" s="9"/>
      <c r="H81" s="9"/>
      <c r="I81" s="9"/>
      <c r="J81" s="9"/>
      <c r="K81" s="15">
        <f t="shared" si="19"/>
        <v>64680000</v>
      </c>
    </row>
    <row r="82" spans="1:11" ht="28.5">
      <c r="A82" s="11" t="s">
        <v>533</v>
      </c>
      <c r="B82" s="12">
        <f t="shared" ref="B82:I82" si="20">SUM(B83:B84)</f>
        <v>0</v>
      </c>
      <c r="C82" s="12">
        <f t="shared" si="20"/>
        <v>0</v>
      </c>
      <c r="D82" s="12">
        <f t="shared" si="20"/>
        <v>625041912.60000002</v>
      </c>
      <c r="E82" s="12">
        <f t="shared" si="20"/>
        <v>0</v>
      </c>
      <c r="F82" s="12">
        <f t="shared" si="20"/>
        <v>0</v>
      </c>
      <c r="G82" s="12">
        <f t="shared" si="20"/>
        <v>0</v>
      </c>
      <c r="H82" s="12">
        <f t="shared" si="20"/>
        <v>0</v>
      </c>
      <c r="I82" s="12">
        <f t="shared" si="20"/>
        <v>0</v>
      </c>
      <c r="J82" s="25"/>
      <c r="K82" s="13">
        <f t="shared" si="19"/>
        <v>625041912.60000002</v>
      </c>
    </row>
    <row r="83" spans="1:11" ht="28.5">
      <c r="A83" s="8" t="s">
        <v>534</v>
      </c>
      <c r="B83" s="9"/>
      <c r="C83" s="9"/>
      <c r="D83" s="9">
        <f>383665330*A4</f>
        <v>402848596.5</v>
      </c>
      <c r="E83" s="9"/>
      <c r="F83" s="9"/>
      <c r="G83" s="9"/>
      <c r="H83" s="9"/>
      <c r="I83" s="9"/>
      <c r="J83" s="9"/>
      <c r="K83" s="15">
        <f t="shared" si="19"/>
        <v>402848596.5</v>
      </c>
    </row>
    <row r="84" spans="1:11" ht="28.5">
      <c r="A84" s="8" t="s">
        <v>535</v>
      </c>
      <c r="B84" s="9"/>
      <c r="C84" s="9"/>
      <c r="D84" s="9">
        <f>(201374935+10237747)*A4</f>
        <v>222193316.10000002</v>
      </c>
      <c r="E84" s="9"/>
      <c r="F84" s="9"/>
      <c r="G84" s="9"/>
      <c r="H84" s="9"/>
      <c r="I84" s="9"/>
      <c r="J84" s="9"/>
      <c r="K84" s="15">
        <f t="shared" si="19"/>
        <v>222193316.10000002</v>
      </c>
    </row>
    <row r="85" spans="1:11" ht="28.5">
      <c r="A85" s="39" t="s">
        <v>536</v>
      </c>
      <c r="B85" s="12">
        <f>SUM(B86)</f>
        <v>1050000</v>
      </c>
      <c r="C85" s="12">
        <f t="shared" ref="C85:K85" si="21">SUM(C86)</f>
        <v>0</v>
      </c>
      <c r="D85" s="12">
        <f t="shared" si="21"/>
        <v>0</v>
      </c>
      <c r="E85" s="12">
        <f t="shared" si="21"/>
        <v>0</v>
      </c>
      <c r="F85" s="12">
        <f t="shared" si="21"/>
        <v>0</v>
      </c>
      <c r="G85" s="12">
        <f t="shared" si="21"/>
        <v>0</v>
      </c>
      <c r="H85" s="12">
        <f t="shared" si="21"/>
        <v>0</v>
      </c>
      <c r="I85" s="12">
        <f t="shared" si="21"/>
        <v>0</v>
      </c>
      <c r="J85" s="12">
        <f t="shared" si="21"/>
        <v>0</v>
      </c>
      <c r="K85" s="12">
        <f t="shared" si="21"/>
        <v>1050000</v>
      </c>
    </row>
    <row r="86" spans="1:11">
      <c r="A86" s="9" t="s">
        <v>546</v>
      </c>
      <c r="B86" s="9">
        <f>1000000*A4</f>
        <v>1050000</v>
      </c>
      <c r="C86" s="19"/>
      <c r="D86" s="19"/>
      <c r="E86" s="19"/>
      <c r="F86" s="9"/>
      <c r="G86" s="19"/>
      <c r="H86" s="19"/>
      <c r="I86" s="19"/>
      <c r="J86" s="9"/>
      <c r="K86" s="19">
        <f>SUM(B86:J86)</f>
        <v>1050000</v>
      </c>
    </row>
    <row r="87" spans="1:11" ht="54">
      <c r="A87" s="22" t="s">
        <v>506</v>
      </c>
      <c r="B87" s="23">
        <f>+B85+B82+B79+B75+B68</f>
        <v>91884641.950000003</v>
      </c>
      <c r="C87" s="23">
        <f t="shared" ref="C87:K87" si="22">+C85+C82+C79+C75+C68</f>
        <v>0</v>
      </c>
      <c r="D87" s="23">
        <f t="shared" si="22"/>
        <v>1386303440.5500002</v>
      </c>
      <c r="E87" s="23">
        <f t="shared" si="22"/>
        <v>0</v>
      </c>
      <c r="F87" s="23">
        <f t="shared" si="22"/>
        <v>18900000</v>
      </c>
      <c r="G87" s="23">
        <f t="shared" si="22"/>
        <v>0</v>
      </c>
      <c r="H87" s="23">
        <f t="shared" si="22"/>
        <v>0</v>
      </c>
      <c r="I87" s="23">
        <f t="shared" si="22"/>
        <v>6300000</v>
      </c>
      <c r="J87" s="23">
        <f t="shared" si="22"/>
        <v>0</v>
      </c>
      <c r="K87" s="23">
        <f t="shared" si="22"/>
        <v>1503388082.5</v>
      </c>
    </row>
    <row r="88" spans="1:11" ht="18">
      <c r="A88" s="31"/>
      <c r="B88" s="19"/>
      <c r="C88" s="19"/>
      <c r="D88" s="19"/>
      <c r="E88" s="19"/>
      <c r="F88" s="19"/>
      <c r="G88" s="19"/>
      <c r="H88" s="19"/>
      <c r="I88" s="19"/>
      <c r="J88" s="19"/>
      <c r="K88" s="32"/>
    </row>
    <row r="89" spans="1:11" ht="57">
      <c r="A89" s="5" t="s">
        <v>507</v>
      </c>
      <c r="B89" s="6" t="s">
        <v>2</v>
      </c>
      <c r="C89" s="6" t="e">
        <f>C91+#REF!+#REF!+#REF!+#REF!+#REF!+#REF!+#REF!+#REF!+#REF!+#REF!+#REF!+#REF!+#REF!</f>
        <v>#REF!</v>
      </c>
      <c r="D89" s="6" t="s">
        <v>1</v>
      </c>
      <c r="E89" s="6" t="e">
        <f>E91+#REF!+#REF!+#REF!+#REF!+#REF!+#REF!+#REF!+#REF!+#REF!+#REF!+#REF!+#REF!+#REF!</f>
        <v>#REF!</v>
      </c>
      <c r="F89" s="6" t="s">
        <v>3</v>
      </c>
      <c r="G89" s="6" t="e">
        <f>G91+#REF!+#REF!+#REF!+#REF!+#REF!+#REF!+#REF!+#REF!+#REF!+#REF!+#REF!+#REF!+#REF!</f>
        <v>#REF!</v>
      </c>
      <c r="H89" s="6" t="s">
        <v>4</v>
      </c>
      <c r="I89" s="6" t="s">
        <v>5</v>
      </c>
      <c r="J89" s="9">
        <v>200000</v>
      </c>
      <c r="K89" s="7" t="s">
        <v>0</v>
      </c>
    </row>
    <row r="90" spans="1:11" ht="28.5">
      <c r="A90" s="33" t="s">
        <v>117</v>
      </c>
      <c r="B90" s="9"/>
      <c r="C90" s="9"/>
      <c r="D90" s="9"/>
      <c r="E90" s="9"/>
      <c r="F90" s="9"/>
      <c r="G90" s="9"/>
      <c r="H90" s="9"/>
      <c r="I90" s="9"/>
      <c r="J90" s="9"/>
      <c r="K90" s="15"/>
    </row>
    <row r="91" spans="1:11" ht="28.5">
      <c r="A91" s="11" t="s">
        <v>537</v>
      </c>
      <c r="B91" s="12">
        <f t="shared" ref="B91:K91" si="23">SUM(B92)</f>
        <v>0</v>
      </c>
      <c r="C91" s="12">
        <f t="shared" si="23"/>
        <v>0</v>
      </c>
      <c r="D91" s="12">
        <f t="shared" si="23"/>
        <v>8400000</v>
      </c>
      <c r="E91" s="12">
        <f t="shared" si="23"/>
        <v>0</v>
      </c>
      <c r="F91" s="12">
        <f t="shared" si="23"/>
        <v>0</v>
      </c>
      <c r="G91" s="12">
        <f t="shared" si="23"/>
        <v>0</v>
      </c>
      <c r="H91" s="12">
        <f t="shared" si="23"/>
        <v>0</v>
      </c>
      <c r="I91" s="12">
        <f t="shared" si="23"/>
        <v>0</v>
      </c>
      <c r="J91" s="12">
        <f t="shared" si="23"/>
        <v>0</v>
      </c>
      <c r="K91" s="12">
        <f t="shared" si="23"/>
        <v>8400000</v>
      </c>
    </row>
    <row r="92" spans="1:11" ht="28.5">
      <c r="A92" s="8" t="s">
        <v>538</v>
      </c>
      <c r="B92" s="9"/>
      <c r="C92" s="19"/>
      <c r="D92" s="9">
        <f>8000000*A4</f>
        <v>8400000</v>
      </c>
      <c r="E92" s="19"/>
      <c r="F92" s="9"/>
      <c r="G92" s="19"/>
      <c r="H92" s="19"/>
      <c r="I92" s="19"/>
      <c r="J92" s="9"/>
      <c r="K92" s="15">
        <f>SUM(B92:I92)</f>
        <v>8400000</v>
      </c>
    </row>
    <row r="93" spans="1:11" ht="28.5">
      <c r="A93" s="11" t="s">
        <v>539</v>
      </c>
      <c r="B93" s="12">
        <f t="shared" ref="B93:K93" si="24">SUM(B94)</f>
        <v>0</v>
      </c>
      <c r="C93" s="12">
        <f t="shared" si="24"/>
        <v>0</v>
      </c>
      <c r="D93" s="12">
        <f t="shared" si="24"/>
        <v>8400000</v>
      </c>
      <c r="E93" s="12">
        <f t="shared" si="24"/>
        <v>0</v>
      </c>
      <c r="F93" s="12">
        <f t="shared" si="24"/>
        <v>0</v>
      </c>
      <c r="G93" s="12">
        <f t="shared" si="24"/>
        <v>0</v>
      </c>
      <c r="H93" s="12">
        <f t="shared" si="24"/>
        <v>0</v>
      </c>
      <c r="I93" s="12">
        <f t="shared" si="24"/>
        <v>0</v>
      </c>
      <c r="J93" s="12">
        <f t="shared" si="24"/>
        <v>0</v>
      </c>
      <c r="K93" s="12">
        <f t="shared" si="24"/>
        <v>8400000</v>
      </c>
    </row>
    <row r="94" spans="1:11" ht="28.5">
      <c r="A94" s="8" t="s">
        <v>540</v>
      </c>
      <c r="B94" s="19"/>
      <c r="C94" s="19"/>
      <c r="D94" s="9">
        <f>8000000*A4</f>
        <v>8400000</v>
      </c>
      <c r="E94" s="19"/>
      <c r="F94" s="9"/>
      <c r="G94" s="19"/>
      <c r="H94" s="19"/>
      <c r="I94" s="19"/>
      <c r="J94" s="9"/>
      <c r="K94" s="15">
        <f>SUM(B94:I94)</f>
        <v>8400000</v>
      </c>
    </row>
    <row r="95" spans="1:11" ht="28.5">
      <c r="A95" s="11" t="s">
        <v>541</v>
      </c>
      <c r="B95" s="12">
        <f t="shared" ref="B95:K95" si="25">SUM(B96:B97)</f>
        <v>0</v>
      </c>
      <c r="C95" s="12">
        <f t="shared" si="25"/>
        <v>0</v>
      </c>
      <c r="D95" s="12">
        <f t="shared" si="25"/>
        <v>72870000</v>
      </c>
      <c r="E95" s="12">
        <f t="shared" si="25"/>
        <v>0</v>
      </c>
      <c r="F95" s="12">
        <f t="shared" si="25"/>
        <v>0</v>
      </c>
      <c r="G95" s="12">
        <f t="shared" si="25"/>
        <v>0</v>
      </c>
      <c r="H95" s="12">
        <f t="shared" si="25"/>
        <v>0</v>
      </c>
      <c r="I95" s="12">
        <f t="shared" si="25"/>
        <v>0</v>
      </c>
      <c r="J95" s="12">
        <f t="shared" si="25"/>
        <v>0</v>
      </c>
      <c r="K95" s="12">
        <f t="shared" si="25"/>
        <v>72870000</v>
      </c>
    </row>
    <row r="96" spans="1:11" ht="28.5">
      <c r="A96" s="8" t="s">
        <v>542</v>
      </c>
      <c r="B96" s="9"/>
      <c r="C96" s="9"/>
      <c r="D96" s="9">
        <f>60400000*A4</f>
        <v>63420000</v>
      </c>
      <c r="E96" s="9"/>
      <c r="F96" s="9"/>
      <c r="G96" s="19"/>
      <c r="H96" s="19"/>
      <c r="I96" s="19"/>
      <c r="J96" s="9"/>
      <c r="K96" s="15">
        <f>SUM(B96:I96)</f>
        <v>63420000</v>
      </c>
    </row>
    <row r="97" spans="1:11" ht="42.75">
      <c r="A97" s="8" t="s">
        <v>543</v>
      </c>
      <c r="B97" s="9"/>
      <c r="C97" s="9"/>
      <c r="D97" s="9">
        <f>9000000*A4</f>
        <v>9450000</v>
      </c>
      <c r="E97" s="9"/>
      <c r="F97" s="9"/>
      <c r="G97" s="19"/>
      <c r="H97" s="19"/>
      <c r="I97" s="19"/>
      <c r="J97" s="9"/>
      <c r="K97" s="15">
        <f>SUM(B97:I97)</f>
        <v>9450000</v>
      </c>
    </row>
    <row r="98" spans="1:11" ht="28.5">
      <c r="A98" s="11" t="s">
        <v>544</v>
      </c>
      <c r="B98" s="12">
        <f>SUM(B99)</f>
        <v>0</v>
      </c>
      <c r="C98" s="12">
        <f t="shared" ref="C98:K98" si="26">SUM(C99)</f>
        <v>0</v>
      </c>
      <c r="D98" s="12">
        <f t="shared" si="26"/>
        <v>152129098.80000001</v>
      </c>
      <c r="E98" s="12">
        <f t="shared" si="26"/>
        <v>0</v>
      </c>
      <c r="F98" s="12">
        <f t="shared" si="26"/>
        <v>21335095.949999999</v>
      </c>
      <c r="G98" s="12">
        <f t="shared" si="26"/>
        <v>0</v>
      </c>
      <c r="H98" s="12">
        <f t="shared" si="26"/>
        <v>0</v>
      </c>
      <c r="I98" s="12">
        <f t="shared" si="26"/>
        <v>0</v>
      </c>
      <c r="J98" s="12">
        <f t="shared" si="26"/>
        <v>0</v>
      </c>
      <c r="K98" s="12">
        <f t="shared" si="26"/>
        <v>173464194.75</v>
      </c>
    </row>
    <row r="99" spans="1:11" ht="28.5">
      <c r="A99" s="8" t="s">
        <v>545</v>
      </c>
      <c r="B99" s="2">
        <v>0</v>
      </c>
      <c r="C99" s="19"/>
      <c r="D99" s="9">
        <f>144884856*A4</f>
        <v>152129098.80000001</v>
      </c>
      <c r="E99" s="19"/>
      <c r="F99" s="9">
        <f>(20000000+319139)*A4</f>
        <v>21335095.949999999</v>
      </c>
      <c r="G99" s="19"/>
      <c r="H99" s="19"/>
      <c r="I99" s="19"/>
      <c r="J99" s="9"/>
      <c r="K99" s="15">
        <f>SUM(C99:I99)</f>
        <v>173464194.75</v>
      </c>
    </row>
    <row r="100" spans="1:11" ht="36">
      <c r="A100" s="22" t="s">
        <v>9</v>
      </c>
      <c r="B100" s="23">
        <f t="shared" ref="B100:K100" si="27">+B98+B95+B93+B91</f>
        <v>0</v>
      </c>
      <c r="C100" s="23">
        <f t="shared" si="27"/>
        <v>0</v>
      </c>
      <c r="D100" s="23">
        <f t="shared" si="27"/>
        <v>241799098.80000001</v>
      </c>
      <c r="E100" s="23">
        <f t="shared" si="27"/>
        <v>0</v>
      </c>
      <c r="F100" s="23">
        <f t="shared" si="27"/>
        <v>21335095.949999999</v>
      </c>
      <c r="G100" s="23">
        <f t="shared" si="27"/>
        <v>0</v>
      </c>
      <c r="H100" s="23">
        <f t="shared" si="27"/>
        <v>0</v>
      </c>
      <c r="I100" s="23">
        <f t="shared" si="27"/>
        <v>0</v>
      </c>
      <c r="J100" s="23">
        <f t="shared" si="27"/>
        <v>0</v>
      </c>
      <c r="K100" s="23">
        <f t="shared" si="27"/>
        <v>263134194.75</v>
      </c>
    </row>
    <row r="101" spans="1:11" s="14" customForma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5"/>
    </row>
    <row r="102" spans="1:11" ht="18">
      <c r="A102" s="24" t="s">
        <v>8</v>
      </c>
      <c r="B102" s="34">
        <f t="shared" ref="B102:K102" si="28">+B100+B87+B64+B39</f>
        <v>163562618.94999999</v>
      </c>
      <c r="C102" s="34">
        <f t="shared" si="28"/>
        <v>0</v>
      </c>
      <c r="D102" s="34">
        <f t="shared" si="28"/>
        <v>4656672288.25</v>
      </c>
      <c r="E102" s="34">
        <f t="shared" si="28"/>
        <v>0</v>
      </c>
      <c r="F102" s="34">
        <f t="shared" si="28"/>
        <v>245433781.94999999</v>
      </c>
      <c r="G102" s="34">
        <f t="shared" si="28"/>
        <v>0</v>
      </c>
      <c r="H102" s="34">
        <f t="shared" si="28"/>
        <v>300000000</v>
      </c>
      <c r="I102" s="34">
        <f t="shared" si="28"/>
        <v>2825861703</v>
      </c>
      <c r="J102" s="34">
        <f t="shared" si="28"/>
        <v>0</v>
      </c>
      <c r="K102" s="34">
        <f t="shared" si="28"/>
        <v>8191530392.1499996</v>
      </c>
    </row>
  </sheetData>
  <mergeCells count="2">
    <mergeCell ref="A1:K1"/>
    <mergeCell ref="A3:K3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5"/>
  <sheetViews>
    <sheetView topLeftCell="A29" workbookViewId="0">
      <selection activeCell="I216" sqref="I216"/>
    </sheetView>
  </sheetViews>
  <sheetFormatPr baseColWidth="10" defaultRowHeight="12.75"/>
  <cols>
    <col min="1" max="2" width="3.42578125" customWidth="1"/>
    <col min="3" max="3" width="80.5703125" customWidth="1"/>
    <col min="4" max="4" width="13.7109375" customWidth="1"/>
    <col min="5" max="6" width="0" hidden="1" customWidth="1"/>
    <col min="7" max="7" width="12.7109375" hidden="1" customWidth="1"/>
    <col min="8" max="8" width="0" hidden="1" customWidth="1"/>
    <col min="9" max="9" width="13.7109375" customWidth="1"/>
  </cols>
  <sheetData>
    <row r="1" spans="1:9">
      <c r="A1" s="26">
        <v>2</v>
      </c>
      <c r="B1" s="26" t="s">
        <v>12</v>
      </c>
      <c r="C1" s="26" t="s">
        <v>13</v>
      </c>
      <c r="D1" s="27">
        <v>5272015243</v>
      </c>
      <c r="E1" s="27">
        <v>109564004</v>
      </c>
      <c r="F1" s="27">
        <v>109564004</v>
      </c>
      <c r="G1" s="27">
        <v>2034191084</v>
      </c>
      <c r="H1" s="27">
        <v>152135728</v>
      </c>
      <c r="I1" s="27">
        <v>7154070599</v>
      </c>
    </row>
    <row r="2" spans="1:9">
      <c r="A2" s="26">
        <v>2</v>
      </c>
      <c r="B2" s="26" t="s">
        <v>14</v>
      </c>
      <c r="C2" s="26" t="s">
        <v>15</v>
      </c>
      <c r="D2" s="27">
        <v>309222770</v>
      </c>
      <c r="E2" s="27">
        <v>30631980</v>
      </c>
      <c r="F2" s="27">
        <v>30631980</v>
      </c>
      <c r="G2" s="27">
        <v>0</v>
      </c>
      <c r="H2" s="27">
        <v>0</v>
      </c>
      <c r="I2" s="27">
        <v>309222770</v>
      </c>
    </row>
    <row r="3" spans="1:9">
      <c r="A3" s="26">
        <v>2</v>
      </c>
      <c r="B3" s="26" t="s">
        <v>171</v>
      </c>
      <c r="C3" s="26" t="s">
        <v>172</v>
      </c>
      <c r="D3" s="27">
        <v>309222770</v>
      </c>
      <c r="E3" s="27">
        <v>30631980</v>
      </c>
      <c r="F3" s="27">
        <v>30631980</v>
      </c>
      <c r="G3" s="27">
        <v>0</v>
      </c>
      <c r="H3" s="27">
        <v>0</v>
      </c>
      <c r="I3" s="27">
        <v>309222770</v>
      </c>
    </row>
    <row r="4" spans="1:9">
      <c r="A4" s="26">
        <v>2</v>
      </c>
      <c r="B4" s="26" t="s">
        <v>173</v>
      </c>
      <c r="C4" s="26" t="s">
        <v>174</v>
      </c>
      <c r="D4" s="27">
        <v>20306799</v>
      </c>
      <c r="E4" s="27">
        <v>0</v>
      </c>
      <c r="F4" s="27">
        <v>20306799</v>
      </c>
      <c r="G4" s="27">
        <v>0</v>
      </c>
      <c r="H4" s="27">
        <v>0</v>
      </c>
      <c r="I4" s="27">
        <v>0</v>
      </c>
    </row>
    <row r="5" spans="1:9">
      <c r="A5" s="26">
        <v>2</v>
      </c>
      <c r="B5" s="26" t="s">
        <v>175</v>
      </c>
      <c r="C5" s="26" t="s">
        <v>176</v>
      </c>
      <c r="D5" s="27">
        <v>68392951</v>
      </c>
      <c r="E5" s="27">
        <v>0</v>
      </c>
      <c r="F5" s="27">
        <v>10325181</v>
      </c>
      <c r="G5" s="27">
        <v>0</v>
      </c>
      <c r="H5" s="27">
        <v>0</v>
      </c>
      <c r="I5" s="27">
        <v>58067770</v>
      </c>
    </row>
    <row r="6" spans="1:9">
      <c r="A6" s="26">
        <v>2</v>
      </c>
      <c r="B6" s="26" t="s">
        <v>177</v>
      </c>
      <c r="C6" s="26" t="s">
        <v>178</v>
      </c>
      <c r="D6" s="27">
        <v>2500000</v>
      </c>
      <c r="E6" s="27">
        <v>0</v>
      </c>
      <c r="F6" s="27">
        <v>775181</v>
      </c>
      <c r="G6" s="27">
        <v>0</v>
      </c>
      <c r="H6" s="27">
        <v>0</v>
      </c>
      <c r="I6" s="27">
        <v>1724819</v>
      </c>
    </row>
    <row r="7" spans="1:9">
      <c r="A7" s="26">
        <v>2</v>
      </c>
      <c r="B7" s="26" t="s">
        <v>179</v>
      </c>
      <c r="C7" s="26" t="s">
        <v>180</v>
      </c>
      <c r="D7" s="27">
        <v>64892951</v>
      </c>
      <c r="E7" s="27">
        <v>0</v>
      </c>
      <c r="F7" s="27">
        <v>8550000</v>
      </c>
      <c r="G7" s="27">
        <v>0</v>
      </c>
      <c r="H7" s="27">
        <v>0</v>
      </c>
      <c r="I7" s="27">
        <v>56342951</v>
      </c>
    </row>
    <row r="8" spans="1:9">
      <c r="A8" s="26">
        <v>2</v>
      </c>
      <c r="B8" s="26" t="s">
        <v>181</v>
      </c>
      <c r="C8" s="26" t="s">
        <v>182</v>
      </c>
      <c r="D8" s="27">
        <v>1000000</v>
      </c>
      <c r="E8" s="27">
        <v>0</v>
      </c>
      <c r="F8" s="27">
        <v>1000000</v>
      </c>
      <c r="G8" s="27">
        <v>0</v>
      </c>
      <c r="H8" s="27">
        <v>0</v>
      </c>
      <c r="I8" s="27">
        <v>0</v>
      </c>
    </row>
    <row r="9" spans="1:9">
      <c r="A9" s="26">
        <v>2</v>
      </c>
      <c r="B9" s="26" t="s">
        <v>183</v>
      </c>
      <c r="C9" s="26" t="s">
        <v>184</v>
      </c>
      <c r="D9" s="27">
        <v>220523020</v>
      </c>
      <c r="E9" s="27">
        <v>30631980</v>
      </c>
      <c r="F9" s="27">
        <v>0</v>
      </c>
      <c r="G9" s="27">
        <v>0</v>
      </c>
      <c r="H9" s="27">
        <v>0</v>
      </c>
      <c r="I9" s="27">
        <v>251155000</v>
      </c>
    </row>
    <row r="10" spans="1:9">
      <c r="A10" s="26">
        <v>2</v>
      </c>
      <c r="B10" s="26" t="s">
        <v>16</v>
      </c>
      <c r="C10" s="26" t="s">
        <v>17</v>
      </c>
      <c r="D10" s="27">
        <v>50330399</v>
      </c>
      <c r="E10" s="27">
        <v>0</v>
      </c>
      <c r="F10" s="27">
        <v>0</v>
      </c>
      <c r="G10" s="27">
        <v>5972320</v>
      </c>
      <c r="H10" s="27">
        <v>0</v>
      </c>
      <c r="I10" s="27">
        <v>56302719</v>
      </c>
    </row>
    <row r="11" spans="1:9">
      <c r="A11" s="26">
        <v>2</v>
      </c>
      <c r="B11" s="26" t="s">
        <v>185</v>
      </c>
      <c r="C11" s="26" t="s">
        <v>186</v>
      </c>
      <c r="D11" s="27">
        <v>10066080</v>
      </c>
      <c r="E11" s="27">
        <v>0</v>
      </c>
      <c r="F11" s="27">
        <v>0</v>
      </c>
      <c r="G11" s="27">
        <v>0</v>
      </c>
      <c r="H11" s="27">
        <v>0</v>
      </c>
      <c r="I11" s="27">
        <v>10066080</v>
      </c>
    </row>
    <row r="12" spans="1:9">
      <c r="A12" s="26">
        <v>2</v>
      </c>
      <c r="B12" s="26" t="s">
        <v>187</v>
      </c>
      <c r="C12" s="26" t="s">
        <v>188</v>
      </c>
      <c r="D12" s="27">
        <v>40264319</v>
      </c>
      <c r="E12" s="27">
        <v>0</v>
      </c>
      <c r="F12" s="27">
        <v>0</v>
      </c>
      <c r="G12" s="27">
        <v>5972320</v>
      </c>
      <c r="H12" s="27">
        <v>0</v>
      </c>
      <c r="I12" s="27">
        <v>46236639</v>
      </c>
    </row>
    <row r="13" spans="1:9">
      <c r="A13" s="26">
        <v>2</v>
      </c>
      <c r="B13" s="26" t="s">
        <v>18</v>
      </c>
      <c r="C13" s="26" t="s">
        <v>19</v>
      </c>
      <c r="D13" s="27">
        <v>3113054297</v>
      </c>
      <c r="E13" s="27">
        <v>0</v>
      </c>
      <c r="F13" s="27">
        <v>0</v>
      </c>
      <c r="G13" s="27">
        <v>1873315986</v>
      </c>
      <c r="H13" s="27">
        <v>0</v>
      </c>
      <c r="I13" s="27">
        <v>4986370283</v>
      </c>
    </row>
    <row r="14" spans="1:9">
      <c r="A14" s="26">
        <v>2</v>
      </c>
      <c r="B14" s="26" t="s">
        <v>20</v>
      </c>
      <c r="C14" s="26" t="s">
        <v>21</v>
      </c>
      <c r="D14" s="27">
        <v>2950302138</v>
      </c>
      <c r="E14" s="27">
        <v>0</v>
      </c>
      <c r="F14" s="27">
        <v>0</v>
      </c>
      <c r="G14" s="27">
        <v>1863175147</v>
      </c>
      <c r="H14" s="27">
        <v>0</v>
      </c>
      <c r="I14" s="27">
        <v>4813477285</v>
      </c>
    </row>
    <row r="15" spans="1:9">
      <c r="A15" s="26">
        <v>2</v>
      </c>
      <c r="B15" s="26" t="s">
        <v>189</v>
      </c>
      <c r="C15" s="26" t="s">
        <v>190</v>
      </c>
      <c r="D15" s="27">
        <v>2009821135</v>
      </c>
      <c r="E15" s="27">
        <v>0</v>
      </c>
      <c r="F15" s="27">
        <v>0</v>
      </c>
      <c r="G15" s="27">
        <v>182878287</v>
      </c>
      <c r="H15" s="27">
        <v>0</v>
      </c>
      <c r="I15" s="27">
        <v>2192699422</v>
      </c>
    </row>
    <row r="16" spans="1:9">
      <c r="A16" s="26">
        <v>2</v>
      </c>
      <c r="B16" s="26" t="s">
        <v>191</v>
      </c>
      <c r="C16" s="26" t="s">
        <v>192</v>
      </c>
      <c r="D16" s="27">
        <v>800000000</v>
      </c>
      <c r="E16" s="27">
        <v>0</v>
      </c>
      <c r="F16" s="27">
        <v>0</v>
      </c>
      <c r="G16" s="27">
        <v>356567270</v>
      </c>
      <c r="H16" s="27">
        <v>0</v>
      </c>
      <c r="I16" s="27">
        <v>1156567270</v>
      </c>
    </row>
    <row r="17" spans="1:9">
      <c r="A17" s="26">
        <v>2</v>
      </c>
      <c r="B17" s="26" t="s">
        <v>547</v>
      </c>
      <c r="C17" s="26" t="s">
        <v>548</v>
      </c>
      <c r="D17" s="27">
        <v>0</v>
      </c>
      <c r="E17" s="27">
        <v>0</v>
      </c>
      <c r="F17" s="27">
        <v>0</v>
      </c>
      <c r="G17" s="27">
        <v>1296836041</v>
      </c>
      <c r="H17" s="27">
        <v>0</v>
      </c>
      <c r="I17" s="27">
        <v>1296836041</v>
      </c>
    </row>
    <row r="18" spans="1:9">
      <c r="A18" s="26">
        <v>2</v>
      </c>
      <c r="B18" s="26" t="s">
        <v>193</v>
      </c>
      <c r="C18" s="26" t="s">
        <v>194</v>
      </c>
      <c r="D18" s="27">
        <v>59002500</v>
      </c>
      <c r="E18" s="27">
        <v>0</v>
      </c>
      <c r="F18" s="27">
        <v>0</v>
      </c>
      <c r="G18" s="27">
        <v>0</v>
      </c>
      <c r="H18" s="27">
        <v>0</v>
      </c>
      <c r="I18" s="27">
        <v>59002500</v>
      </c>
    </row>
    <row r="19" spans="1:9">
      <c r="A19" s="26">
        <v>2</v>
      </c>
      <c r="B19" s="26" t="s">
        <v>195</v>
      </c>
      <c r="C19" s="26" t="s">
        <v>196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</row>
    <row r="20" spans="1:9">
      <c r="A20" s="26">
        <v>2</v>
      </c>
      <c r="B20" s="26" t="s">
        <v>197</v>
      </c>
      <c r="C20" s="26" t="s">
        <v>198</v>
      </c>
      <c r="D20" s="27">
        <v>56478503</v>
      </c>
      <c r="E20" s="27">
        <v>0</v>
      </c>
      <c r="F20" s="27">
        <v>0</v>
      </c>
      <c r="G20" s="27">
        <v>0</v>
      </c>
      <c r="H20" s="27">
        <v>0</v>
      </c>
      <c r="I20" s="27">
        <v>56478503</v>
      </c>
    </row>
    <row r="21" spans="1:9">
      <c r="A21" s="26">
        <v>2</v>
      </c>
      <c r="B21" s="26" t="s">
        <v>199</v>
      </c>
      <c r="C21" s="26" t="s">
        <v>200</v>
      </c>
      <c r="D21" s="27">
        <v>25000000</v>
      </c>
      <c r="E21" s="27">
        <v>0</v>
      </c>
      <c r="F21" s="27">
        <v>0</v>
      </c>
      <c r="G21" s="27">
        <v>0</v>
      </c>
      <c r="H21" s="27">
        <v>0</v>
      </c>
      <c r="I21" s="27">
        <v>25000000</v>
      </c>
    </row>
    <row r="22" spans="1:9">
      <c r="A22" s="26">
        <v>2</v>
      </c>
      <c r="B22" s="26" t="s">
        <v>201</v>
      </c>
      <c r="C22" s="26" t="s">
        <v>202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>
      <c r="A23" s="26">
        <v>2</v>
      </c>
      <c r="B23" s="26" t="s">
        <v>203</v>
      </c>
      <c r="C23" s="26" t="s">
        <v>204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>
      <c r="A24" s="26">
        <v>2</v>
      </c>
      <c r="B24" s="26" t="s">
        <v>205</v>
      </c>
      <c r="C24" s="26" t="s">
        <v>206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</row>
    <row r="25" spans="1:9">
      <c r="A25" s="26">
        <v>2</v>
      </c>
      <c r="B25" s="26" t="s">
        <v>207</v>
      </c>
      <c r="C25" s="26" t="s">
        <v>208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9">
      <c r="A26" s="26">
        <v>2</v>
      </c>
      <c r="B26" s="26" t="s">
        <v>209</v>
      </c>
      <c r="C26" s="26" t="s">
        <v>210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>
      <c r="A27" s="26">
        <v>2</v>
      </c>
      <c r="B27" s="26" t="s">
        <v>211</v>
      </c>
      <c r="C27" s="26" t="s">
        <v>212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>
      <c r="A28" s="26">
        <v>2</v>
      </c>
      <c r="B28" s="26" t="s">
        <v>213</v>
      </c>
      <c r="C28" s="26" t="s">
        <v>214</v>
      </c>
      <c r="D28" s="27">
        <v>0</v>
      </c>
      <c r="E28" s="27">
        <v>0</v>
      </c>
      <c r="F28" s="27">
        <v>0</v>
      </c>
      <c r="G28" s="27">
        <v>26893549</v>
      </c>
      <c r="H28" s="27">
        <v>0</v>
      </c>
      <c r="I28" s="27">
        <v>26893549</v>
      </c>
    </row>
    <row r="29" spans="1:9">
      <c r="A29" s="26">
        <v>2</v>
      </c>
      <c r="B29" s="26" t="s">
        <v>215</v>
      </c>
      <c r="C29" s="26" t="s">
        <v>216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>
      <c r="A30" s="26">
        <v>2</v>
      </c>
      <c r="B30" s="26" t="s">
        <v>217</v>
      </c>
      <c r="C30" s="26" t="s">
        <v>218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  <row r="31" spans="1:9">
      <c r="A31" s="26">
        <v>2</v>
      </c>
      <c r="B31" s="26" t="s">
        <v>22</v>
      </c>
      <c r="C31" s="26" t="s">
        <v>23</v>
      </c>
      <c r="D31" s="27">
        <v>131584659</v>
      </c>
      <c r="E31" s="27">
        <v>0</v>
      </c>
      <c r="F31" s="27">
        <v>0</v>
      </c>
      <c r="G31" s="27">
        <v>10140839</v>
      </c>
      <c r="H31" s="27">
        <v>0</v>
      </c>
      <c r="I31" s="27">
        <v>141725498</v>
      </c>
    </row>
    <row r="32" spans="1:9">
      <c r="A32" s="26">
        <v>2</v>
      </c>
      <c r="B32" s="26" t="s">
        <v>219</v>
      </c>
      <c r="C32" s="26" t="s">
        <v>220</v>
      </c>
      <c r="D32" s="27">
        <v>130084659</v>
      </c>
      <c r="E32" s="27">
        <v>0</v>
      </c>
      <c r="F32" s="27">
        <v>0</v>
      </c>
      <c r="G32" s="27">
        <v>10140839</v>
      </c>
      <c r="H32" s="27">
        <v>0</v>
      </c>
      <c r="I32" s="27">
        <v>140225498</v>
      </c>
    </row>
    <row r="33" spans="1:9">
      <c r="A33" s="26">
        <v>2</v>
      </c>
      <c r="B33" s="26" t="s">
        <v>221</v>
      </c>
      <c r="C33" s="26" t="s">
        <v>222</v>
      </c>
      <c r="D33" s="27">
        <v>1500000</v>
      </c>
      <c r="E33" s="27">
        <v>0</v>
      </c>
      <c r="F33" s="27">
        <v>0</v>
      </c>
      <c r="G33" s="27">
        <v>0</v>
      </c>
      <c r="H33" s="27">
        <v>0</v>
      </c>
      <c r="I33" s="27">
        <v>1500000</v>
      </c>
    </row>
    <row r="34" spans="1:9">
      <c r="A34" s="26">
        <v>2</v>
      </c>
      <c r="B34" s="26" t="s">
        <v>223</v>
      </c>
      <c r="C34" s="26" t="s">
        <v>224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1:9">
      <c r="A35" s="26">
        <v>2</v>
      </c>
      <c r="B35" s="26" t="s">
        <v>24</v>
      </c>
      <c r="C35" s="26" t="s">
        <v>25</v>
      </c>
      <c r="D35" s="27">
        <v>31167500</v>
      </c>
      <c r="E35" s="27">
        <v>0</v>
      </c>
      <c r="F35" s="27">
        <v>0</v>
      </c>
      <c r="G35" s="27">
        <v>0</v>
      </c>
      <c r="H35" s="27">
        <v>0</v>
      </c>
      <c r="I35" s="27">
        <v>31167500</v>
      </c>
    </row>
    <row r="36" spans="1:9">
      <c r="A36" s="26">
        <v>2</v>
      </c>
      <c r="B36" s="26" t="s">
        <v>225</v>
      </c>
      <c r="C36" s="26" t="s">
        <v>226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</row>
    <row r="37" spans="1:9">
      <c r="A37" s="26">
        <v>2</v>
      </c>
      <c r="B37" s="26" t="s">
        <v>227</v>
      </c>
      <c r="C37" s="26" t="s">
        <v>228</v>
      </c>
      <c r="D37" s="27">
        <v>19667500</v>
      </c>
      <c r="E37" s="27">
        <v>0</v>
      </c>
      <c r="F37" s="27">
        <v>0</v>
      </c>
      <c r="G37" s="27">
        <v>0</v>
      </c>
      <c r="H37" s="27">
        <v>0</v>
      </c>
      <c r="I37" s="27">
        <v>19667500</v>
      </c>
    </row>
    <row r="38" spans="1:9">
      <c r="A38" s="26">
        <v>2</v>
      </c>
      <c r="B38" s="26" t="s">
        <v>229</v>
      </c>
      <c r="C38" s="26" t="s">
        <v>230</v>
      </c>
      <c r="D38" s="27">
        <v>10000000</v>
      </c>
      <c r="E38" s="27">
        <v>0</v>
      </c>
      <c r="F38" s="27">
        <v>0</v>
      </c>
      <c r="G38" s="27">
        <v>0</v>
      </c>
      <c r="H38" s="27">
        <v>0</v>
      </c>
      <c r="I38" s="27">
        <v>10000000</v>
      </c>
    </row>
    <row r="39" spans="1:9">
      <c r="A39" s="26">
        <v>2</v>
      </c>
      <c r="B39" s="26" t="s">
        <v>231</v>
      </c>
      <c r="C39" s="26" t="s">
        <v>232</v>
      </c>
      <c r="D39" s="27">
        <v>1500000</v>
      </c>
      <c r="E39" s="27">
        <v>0</v>
      </c>
      <c r="F39" s="27">
        <v>0</v>
      </c>
      <c r="G39" s="27">
        <v>0</v>
      </c>
      <c r="H39" s="27">
        <v>0</v>
      </c>
      <c r="I39" s="27">
        <v>1500000</v>
      </c>
    </row>
    <row r="40" spans="1:9">
      <c r="A40" s="26">
        <v>2</v>
      </c>
      <c r="B40" s="26" t="s">
        <v>233</v>
      </c>
      <c r="C40" s="26" t="s">
        <v>234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>
      <c r="A41" s="26">
        <v>2</v>
      </c>
      <c r="B41" s="26" t="s">
        <v>235</v>
      </c>
      <c r="C41" s="26" t="s">
        <v>236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>
      <c r="A42" s="26">
        <v>2</v>
      </c>
      <c r="B42" s="26" t="s">
        <v>26</v>
      </c>
      <c r="C42" s="26" t="s">
        <v>27</v>
      </c>
      <c r="D42" s="27">
        <v>595278012</v>
      </c>
      <c r="E42" s="27">
        <v>9007512</v>
      </c>
      <c r="F42" s="27">
        <v>9007512</v>
      </c>
      <c r="G42" s="27">
        <v>0</v>
      </c>
      <c r="H42" s="27">
        <v>0</v>
      </c>
      <c r="I42" s="27">
        <v>595278012</v>
      </c>
    </row>
    <row r="43" spans="1:9">
      <c r="A43" s="26">
        <v>2</v>
      </c>
      <c r="B43" s="26" t="s">
        <v>237</v>
      </c>
      <c r="C43" s="26" t="s">
        <v>238</v>
      </c>
      <c r="D43" s="27">
        <v>207568075</v>
      </c>
      <c r="E43" s="27">
        <v>2814372</v>
      </c>
      <c r="F43" s="27">
        <v>9007512</v>
      </c>
      <c r="G43" s="27">
        <v>0</v>
      </c>
      <c r="H43" s="27">
        <v>0</v>
      </c>
      <c r="I43" s="27">
        <v>201374935</v>
      </c>
    </row>
    <row r="44" spans="1:9">
      <c r="A44" s="26">
        <v>2</v>
      </c>
      <c r="B44" s="26" t="s">
        <v>239</v>
      </c>
      <c r="C44" s="26" t="s">
        <v>240</v>
      </c>
      <c r="D44" s="27">
        <v>93812400</v>
      </c>
      <c r="E44" s="27">
        <v>2814372</v>
      </c>
      <c r="F44" s="27">
        <v>0</v>
      </c>
      <c r="G44" s="27">
        <v>0</v>
      </c>
      <c r="H44" s="27">
        <v>0</v>
      </c>
      <c r="I44" s="27">
        <v>96626772</v>
      </c>
    </row>
    <row r="45" spans="1:9">
      <c r="A45" s="26">
        <v>2</v>
      </c>
      <c r="B45" s="26" t="s">
        <v>241</v>
      </c>
      <c r="C45" s="26" t="s">
        <v>242</v>
      </c>
      <c r="D45" s="27">
        <v>16947076</v>
      </c>
      <c r="E45" s="27">
        <v>0</v>
      </c>
      <c r="F45" s="27">
        <v>0</v>
      </c>
      <c r="G45" s="27">
        <v>0</v>
      </c>
      <c r="H45" s="27">
        <v>0</v>
      </c>
      <c r="I45" s="27">
        <v>16947076</v>
      </c>
    </row>
    <row r="46" spans="1:9">
      <c r="A46" s="26">
        <v>2</v>
      </c>
      <c r="B46" s="26" t="s">
        <v>243</v>
      </c>
      <c r="C46" s="26" t="s">
        <v>244</v>
      </c>
      <c r="D46" s="27">
        <v>44771897</v>
      </c>
      <c r="E46" s="27">
        <v>0</v>
      </c>
      <c r="F46" s="27">
        <v>9007512</v>
      </c>
      <c r="G46" s="27">
        <v>0</v>
      </c>
      <c r="H46" s="27">
        <v>0</v>
      </c>
      <c r="I46" s="27">
        <v>35764385</v>
      </c>
    </row>
    <row r="47" spans="1:9">
      <c r="A47" s="26">
        <v>2</v>
      </c>
      <c r="B47" s="26" t="s">
        <v>245</v>
      </c>
      <c r="C47" s="26" t="s">
        <v>246</v>
      </c>
      <c r="D47" s="27">
        <v>52036702</v>
      </c>
      <c r="E47" s="27">
        <v>0</v>
      </c>
      <c r="F47" s="27">
        <v>0</v>
      </c>
      <c r="G47" s="27">
        <v>0</v>
      </c>
      <c r="H47" s="27">
        <v>0</v>
      </c>
      <c r="I47" s="27">
        <v>52036702</v>
      </c>
    </row>
    <row r="48" spans="1:9">
      <c r="A48" s="26">
        <v>2</v>
      </c>
      <c r="B48" s="26" t="s">
        <v>247</v>
      </c>
      <c r="C48" s="26" t="s">
        <v>248</v>
      </c>
      <c r="D48" s="27">
        <v>10237747</v>
      </c>
      <c r="E48" s="27">
        <v>0</v>
      </c>
      <c r="F48" s="27">
        <v>0</v>
      </c>
      <c r="G48" s="27">
        <v>0</v>
      </c>
      <c r="H48" s="27">
        <v>0</v>
      </c>
      <c r="I48" s="27">
        <v>10237747</v>
      </c>
    </row>
    <row r="49" spans="1:9">
      <c r="A49" s="26">
        <v>2</v>
      </c>
      <c r="B49" s="26" t="s">
        <v>249</v>
      </c>
      <c r="C49" s="26" t="s">
        <v>250</v>
      </c>
      <c r="D49" s="27">
        <v>10237747</v>
      </c>
      <c r="E49" s="27">
        <v>0</v>
      </c>
      <c r="F49" s="27">
        <v>0</v>
      </c>
      <c r="G49" s="27">
        <v>0</v>
      </c>
      <c r="H49" s="27">
        <v>0</v>
      </c>
      <c r="I49" s="27">
        <v>10237747</v>
      </c>
    </row>
    <row r="50" spans="1:9">
      <c r="A50" s="26">
        <v>2</v>
      </c>
      <c r="B50" s="26" t="s">
        <v>251</v>
      </c>
      <c r="C50" s="26" t="s">
        <v>252</v>
      </c>
      <c r="D50" s="27">
        <v>377472190</v>
      </c>
      <c r="E50" s="27">
        <v>6193140</v>
      </c>
      <c r="F50" s="27">
        <v>0</v>
      </c>
      <c r="G50" s="27">
        <v>0</v>
      </c>
      <c r="H50" s="27">
        <v>0</v>
      </c>
      <c r="I50" s="27">
        <v>383665330</v>
      </c>
    </row>
    <row r="51" spans="1:9">
      <c r="A51" s="26">
        <v>2</v>
      </c>
      <c r="B51" s="26" t="s">
        <v>253</v>
      </c>
      <c r="C51" s="26" t="s">
        <v>254</v>
      </c>
      <c r="D51" s="27">
        <v>43960810</v>
      </c>
      <c r="E51" s="27">
        <v>0</v>
      </c>
      <c r="F51" s="27">
        <v>0</v>
      </c>
      <c r="G51" s="27">
        <v>0</v>
      </c>
      <c r="H51" s="27">
        <v>0</v>
      </c>
      <c r="I51" s="27">
        <v>43960810</v>
      </c>
    </row>
    <row r="52" spans="1:9">
      <c r="A52" s="26">
        <v>2</v>
      </c>
      <c r="B52" s="26" t="s">
        <v>255</v>
      </c>
      <c r="C52" s="26" t="s">
        <v>256</v>
      </c>
      <c r="D52" s="27">
        <v>18790810</v>
      </c>
      <c r="E52" s="27">
        <v>0</v>
      </c>
      <c r="F52" s="27">
        <v>0</v>
      </c>
      <c r="G52" s="27">
        <v>0</v>
      </c>
      <c r="H52" s="27">
        <v>0</v>
      </c>
      <c r="I52" s="27">
        <v>18790810</v>
      </c>
    </row>
    <row r="53" spans="1:9">
      <c r="A53" s="26">
        <v>2</v>
      </c>
      <c r="B53" s="26" t="s">
        <v>257</v>
      </c>
      <c r="C53" s="26" t="s">
        <v>258</v>
      </c>
      <c r="D53" s="27">
        <v>25170000</v>
      </c>
      <c r="E53" s="27">
        <v>0</v>
      </c>
      <c r="F53" s="27">
        <v>0</v>
      </c>
      <c r="G53" s="27">
        <v>0</v>
      </c>
      <c r="H53" s="27">
        <v>0</v>
      </c>
      <c r="I53" s="27">
        <v>25170000</v>
      </c>
    </row>
    <row r="54" spans="1:9">
      <c r="A54" s="26">
        <v>2</v>
      </c>
      <c r="B54" s="26" t="s">
        <v>259</v>
      </c>
      <c r="C54" s="26" t="s">
        <v>260</v>
      </c>
      <c r="D54" s="27">
        <v>333511380</v>
      </c>
      <c r="E54" s="27">
        <v>6193140</v>
      </c>
      <c r="F54" s="27">
        <v>0</v>
      </c>
      <c r="G54" s="27">
        <v>0</v>
      </c>
      <c r="H54" s="27">
        <v>0</v>
      </c>
      <c r="I54" s="27">
        <v>339704520</v>
      </c>
    </row>
    <row r="55" spans="1:9">
      <c r="A55" s="26">
        <v>2</v>
      </c>
      <c r="B55" s="26" t="s">
        <v>261</v>
      </c>
      <c r="C55" s="26" t="s">
        <v>262</v>
      </c>
      <c r="D55" s="27">
        <v>127073508</v>
      </c>
      <c r="E55" s="27">
        <v>0</v>
      </c>
      <c r="F55" s="27">
        <v>0</v>
      </c>
      <c r="G55" s="27">
        <v>0</v>
      </c>
      <c r="H55" s="27">
        <v>0</v>
      </c>
      <c r="I55" s="27">
        <v>127073508</v>
      </c>
    </row>
    <row r="56" spans="1:9">
      <c r="A56" s="26">
        <v>2</v>
      </c>
      <c r="B56" s="26" t="s">
        <v>263</v>
      </c>
      <c r="C56" s="26" t="s">
        <v>264</v>
      </c>
      <c r="D56" s="27">
        <v>206437872</v>
      </c>
      <c r="E56" s="27">
        <v>6193140</v>
      </c>
      <c r="F56" s="27">
        <v>0</v>
      </c>
      <c r="G56" s="27">
        <v>0</v>
      </c>
      <c r="H56" s="27">
        <v>0</v>
      </c>
      <c r="I56" s="27">
        <v>212631012</v>
      </c>
    </row>
    <row r="57" spans="1:9">
      <c r="A57" s="26">
        <v>2</v>
      </c>
      <c r="B57" s="26" t="s">
        <v>28</v>
      </c>
      <c r="C57" s="26" t="s">
        <v>29</v>
      </c>
      <c r="D57" s="27">
        <v>64774568</v>
      </c>
      <c r="E57" s="27">
        <v>2400000</v>
      </c>
      <c r="F57" s="27">
        <v>2400000</v>
      </c>
      <c r="G57" s="27">
        <v>0</v>
      </c>
      <c r="H57" s="27">
        <v>37611435</v>
      </c>
      <c r="I57" s="27">
        <v>27163133</v>
      </c>
    </row>
    <row r="58" spans="1:9">
      <c r="A58" s="26">
        <v>2</v>
      </c>
      <c r="B58" s="26" t="s">
        <v>265</v>
      </c>
      <c r="C58" s="26" t="s">
        <v>266</v>
      </c>
      <c r="D58" s="27">
        <v>21234517</v>
      </c>
      <c r="E58" s="27">
        <v>0</v>
      </c>
      <c r="F58" s="27">
        <v>0</v>
      </c>
      <c r="G58" s="27">
        <v>0</v>
      </c>
      <c r="H58" s="27">
        <v>21234517</v>
      </c>
      <c r="I58" s="27">
        <v>0</v>
      </c>
    </row>
    <row r="59" spans="1:9">
      <c r="A59" s="26">
        <v>2</v>
      </c>
      <c r="B59" s="26" t="s">
        <v>267</v>
      </c>
      <c r="C59" s="26" t="s">
        <v>268</v>
      </c>
      <c r="D59" s="27">
        <v>13540051</v>
      </c>
      <c r="E59" s="27">
        <v>0</v>
      </c>
      <c r="F59" s="27">
        <v>2400000</v>
      </c>
      <c r="G59" s="27">
        <v>0</v>
      </c>
      <c r="H59" s="27">
        <v>11140051</v>
      </c>
      <c r="I59" s="27">
        <v>0</v>
      </c>
    </row>
    <row r="60" spans="1:9">
      <c r="A60" s="26">
        <v>2</v>
      </c>
      <c r="B60" s="26" t="s">
        <v>269</v>
      </c>
      <c r="C60" s="26" t="s">
        <v>270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>
      <c r="A61" s="26">
        <v>2</v>
      </c>
      <c r="B61" s="26" t="s">
        <v>271</v>
      </c>
      <c r="C61" s="26" t="s">
        <v>272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>
      <c r="A62" s="26">
        <v>2</v>
      </c>
      <c r="B62" s="26" t="s">
        <v>273</v>
      </c>
      <c r="C62" s="26" t="s">
        <v>274</v>
      </c>
      <c r="D62" s="27">
        <v>30000000</v>
      </c>
      <c r="E62" s="27">
        <v>2400000</v>
      </c>
      <c r="F62" s="27">
        <v>0</v>
      </c>
      <c r="G62" s="27">
        <v>0</v>
      </c>
      <c r="H62" s="27">
        <v>5236867</v>
      </c>
      <c r="I62" s="27">
        <v>27163133</v>
      </c>
    </row>
    <row r="63" spans="1:9">
      <c r="A63" s="26">
        <v>2</v>
      </c>
      <c r="B63" s="26" t="s">
        <v>30</v>
      </c>
      <c r="C63" s="26" t="s">
        <v>31</v>
      </c>
      <c r="D63" s="27">
        <v>48580927</v>
      </c>
      <c r="E63" s="27">
        <v>0</v>
      </c>
      <c r="F63" s="27">
        <v>0</v>
      </c>
      <c r="G63" s="27">
        <v>0</v>
      </c>
      <c r="H63" s="27">
        <v>28208577</v>
      </c>
      <c r="I63" s="27">
        <v>20372350</v>
      </c>
    </row>
    <row r="64" spans="1:9">
      <c r="A64" s="26">
        <v>2</v>
      </c>
      <c r="B64" s="26" t="s">
        <v>275</v>
      </c>
      <c r="C64" s="26" t="s">
        <v>276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>
      <c r="A65" s="26">
        <v>2</v>
      </c>
      <c r="B65" s="26" t="s">
        <v>277</v>
      </c>
      <c r="C65" s="26" t="s">
        <v>278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>
      <c r="A66" s="26">
        <v>2</v>
      </c>
      <c r="B66" s="26" t="s">
        <v>549</v>
      </c>
      <c r="C66" s="26" t="s">
        <v>550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>
      <c r="A67" s="26">
        <v>2</v>
      </c>
      <c r="B67" s="26" t="s">
        <v>279</v>
      </c>
      <c r="C67" s="26" t="s">
        <v>280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>
      <c r="A68" s="26">
        <v>2</v>
      </c>
      <c r="B68" s="26" t="s">
        <v>281</v>
      </c>
      <c r="C68" s="26" t="s">
        <v>282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>
      <c r="A69" s="26">
        <v>2</v>
      </c>
      <c r="B69" s="26" t="s">
        <v>283</v>
      </c>
      <c r="C69" s="26" t="s">
        <v>284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>
      <c r="A70" s="26">
        <v>2</v>
      </c>
      <c r="B70" s="26" t="s">
        <v>285</v>
      </c>
      <c r="C70" s="26" t="s">
        <v>286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>
      <c r="A71" s="26">
        <v>2</v>
      </c>
      <c r="B71" s="26" t="s">
        <v>287</v>
      </c>
      <c r="C71" s="26" t="s">
        <v>288</v>
      </c>
      <c r="D71" s="27">
        <v>48580927</v>
      </c>
      <c r="E71" s="27">
        <v>0</v>
      </c>
      <c r="F71" s="27">
        <v>0</v>
      </c>
      <c r="G71" s="27">
        <v>0</v>
      </c>
      <c r="H71" s="27">
        <v>28208577</v>
      </c>
      <c r="I71" s="27">
        <v>20372350</v>
      </c>
    </row>
    <row r="72" spans="1:9">
      <c r="A72" s="26">
        <v>2</v>
      </c>
      <c r="B72" s="26" t="s">
        <v>551</v>
      </c>
      <c r="C72" s="26" t="s">
        <v>552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>
      <c r="A73" s="40">
        <v>2</v>
      </c>
      <c r="B73" s="40" t="s">
        <v>32</v>
      </c>
      <c r="C73" s="40" t="s">
        <v>33</v>
      </c>
      <c r="D73" s="41">
        <v>755580612</v>
      </c>
      <c r="E73" s="41">
        <v>66216124</v>
      </c>
      <c r="F73" s="41">
        <v>66216124</v>
      </c>
      <c r="G73" s="41">
        <v>0</v>
      </c>
      <c r="H73" s="41">
        <v>50625595</v>
      </c>
      <c r="I73" s="41">
        <v>704955017</v>
      </c>
    </row>
    <row r="74" spans="1:9">
      <c r="A74" s="26">
        <v>2</v>
      </c>
      <c r="B74" s="26" t="s">
        <v>34</v>
      </c>
      <c r="C74" s="26" t="s">
        <v>35</v>
      </c>
      <c r="D74" s="27">
        <v>40000000</v>
      </c>
      <c r="E74" s="27">
        <v>0</v>
      </c>
      <c r="F74" s="27">
        <v>0</v>
      </c>
      <c r="G74" s="27">
        <v>0</v>
      </c>
      <c r="H74" s="27">
        <v>8600000</v>
      </c>
      <c r="I74" s="27">
        <v>31400000</v>
      </c>
    </row>
    <row r="75" spans="1:9">
      <c r="A75" s="26">
        <v>2</v>
      </c>
      <c r="B75" s="26" t="s">
        <v>289</v>
      </c>
      <c r="C75" s="26" t="s">
        <v>290</v>
      </c>
      <c r="D75" s="27">
        <v>40000000</v>
      </c>
      <c r="E75" s="27">
        <v>0</v>
      </c>
      <c r="F75" s="27">
        <v>0</v>
      </c>
      <c r="G75" s="27">
        <v>0</v>
      </c>
      <c r="H75" s="27">
        <v>8600000</v>
      </c>
      <c r="I75" s="27">
        <v>31400000</v>
      </c>
    </row>
    <row r="76" spans="1:9">
      <c r="A76" s="26">
        <v>2</v>
      </c>
      <c r="B76" s="26" t="s">
        <v>553</v>
      </c>
      <c r="C76" s="26" t="s">
        <v>554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>
      <c r="A77" s="26">
        <v>2</v>
      </c>
      <c r="B77" s="26" t="s">
        <v>291</v>
      </c>
      <c r="C77" s="26" t="s">
        <v>292</v>
      </c>
      <c r="D77" s="27">
        <v>40000000</v>
      </c>
      <c r="E77" s="27">
        <v>0</v>
      </c>
      <c r="F77" s="27">
        <v>0</v>
      </c>
      <c r="G77" s="27">
        <v>0</v>
      </c>
      <c r="H77" s="27">
        <v>8600000</v>
      </c>
      <c r="I77" s="27">
        <v>31400000</v>
      </c>
    </row>
    <row r="78" spans="1:9">
      <c r="A78" s="26">
        <v>2</v>
      </c>
      <c r="B78" s="26" t="s">
        <v>555</v>
      </c>
      <c r="C78" s="26" t="s">
        <v>556</v>
      </c>
      <c r="D78" s="27">
        <v>13000000</v>
      </c>
      <c r="E78" s="27">
        <v>0</v>
      </c>
      <c r="F78" s="27">
        <v>0</v>
      </c>
      <c r="G78" s="27">
        <v>0</v>
      </c>
      <c r="H78" s="27">
        <v>3000000</v>
      </c>
      <c r="I78" s="27">
        <v>10000000</v>
      </c>
    </row>
    <row r="79" spans="1:9">
      <c r="A79" s="26">
        <v>2</v>
      </c>
      <c r="B79" s="26" t="s">
        <v>293</v>
      </c>
      <c r="C79" s="26" t="s">
        <v>294</v>
      </c>
      <c r="D79" s="27">
        <v>10000000</v>
      </c>
      <c r="E79" s="27">
        <v>0</v>
      </c>
      <c r="F79" s="27">
        <v>0</v>
      </c>
      <c r="G79" s="27">
        <v>0</v>
      </c>
      <c r="H79" s="27">
        <v>0</v>
      </c>
      <c r="I79" s="27">
        <v>10000000</v>
      </c>
    </row>
    <row r="80" spans="1:9">
      <c r="A80" s="26">
        <v>2</v>
      </c>
      <c r="B80" s="26" t="s">
        <v>295</v>
      </c>
      <c r="C80" s="26" t="s">
        <v>296</v>
      </c>
      <c r="D80" s="27">
        <v>3000000</v>
      </c>
      <c r="E80" s="27">
        <v>0</v>
      </c>
      <c r="F80" s="27">
        <v>0</v>
      </c>
      <c r="G80" s="27">
        <v>0</v>
      </c>
      <c r="H80" s="27">
        <v>3000000</v>
      </c>
      <c r="I80" s="27">
        <v>0</v>
      </c>
    </row>
    <row r="81" spans="1:9">
      <c r="A81" s="26">
        <v>2</v>
      </c>
      <c r="B81" s="26" t="s">
        <v>557</v>
      </c>
      <c r="C81" s="26" t="s">
        <v>272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1:9">
      <c r="A82" s="26">
        <v>2</v>
      </c>
      <c r="B82" s="26" t="s">
        <v>558</v>
      </c>
      <c r="C82" s="26" t="s">
        <v>559</v>
      </c>
      <c r="D82" s="27">
        <v>58000000</v>
      </c>
      <c r="E82" s="27">
        <v>0</v>
      </c>
      <c r="F82" s="27">
        <v>2530924</v>
      </c>
      <c r="G82" s="27">
        <v>0</v>
      </c>
      <c r="H82" s="27">
        <v>3000000</v>
      </c>
      <c r="I82" s="27">
        <v>52469076</v>
      </c>
    </row>
    <row r="83" spans="1:9">
      <c r="A83" s="26">
        <v>2</v>
      </c>
      <c r="B83" s="26" t="s">
        <v>297</v>
      </c>
      <c r="C83" s="26" t="s">
        <v>298</v>
      </c>
      <c r="D83" s="27">
        <v>25000000</v>
      </c>
      <c r="E83" s="27">
        <v>0</v>
      </c>
      <c r="F83" s="27">
        <v>2530924</v>
      </c>
      <c r="G83" s="27">
        <v>0</v>
      </c>
      <c r="H83" s="27">
        <v>0</v>
      </c>
      <c r="I83" s="27">
        <v>22469076</v>
      </c>
    </row>
    <row r="84" spans="1:9">
      <c r="A84" s="26">
        <v>2</v>
      </c>
      <c r="B84" s="26" t="s">
        <v>299</v>
      </c>
      <c r="C84" s="26" t="s">
        <v>300</v>
      </c>
      <c r="D84" s="27">
        <v>30000000</v>
      </c>
      <c r="E84" s="27">
        <v>0</v>
      </c>
      <c r="F84" s="27">
        <v>0</v>
      </c>
      <c r="G84" s="27">
        <v>0</v>
      </c>
      <c r="H84" s="27">
        <v>0</v>
      </c>
      <c r="I84" s="27">
        <v>30000000</v>
      </c>
    </row>
    <row r="85" spans="1:9">
      <c r="A85" s="26">
        <v>2</v>
      </c>
      <c r="B85" s="26" t="s">
        <v>301</v>
      </c>
      <c r="C85" s="26" t="s">
        <v>302</v>
      </c>
      <c r="D85" s="27">
        <v>3000000</v>
      </c>
      <c r="E85" s="27">
        <v>0</v>
      </c>
      <c r="F85" s="27">
        <v>0</v>
      </c>
      <c r="G85" s="27">
        <v>0</v>
      </c>
      <c r="H85" s="27">
        <v>3000000</v>
      </c>
      <c r="I85" s="27">
        <v>0</v>
      </c>
    </row>
    <row r="86" spans="1:9">
      <c r="A86" s="26">
        <v>2</v>
      </c>
      <c r="B86" s="26" t="s">
        <v>36</v>
      </c>
      <c r="C86" s="26" t="s">
        <v>37</v>
      </c>
      <c r="D86" s="27">
        <v>160000000</v>
      </c>
      <c r="E86" s="27">
        <v>1300000</v>
      </c>
      <c r="F86" s="27">
        <v>10006500</v>
      </c>
      <c r="G86" s="27">
        <v>0</v>
      </c>
      <c r="H86" s="27">
        <v>0</v>
      </c>
      <c r="I86" s="27">
        <v>151293500</v>
      </c>
    </row>
    <row r="87" spans="1:9">
      <c r="A87" s="26">
        <v>2</v>
      </c>
      <c r="B87" s="26" t="s">
        <v>303</v>
      </c>
      <c r="C87" s="26" t="s">
        <v>304</v>
      </c>
      <c r="D87" s="27">
        <v>40000000</v>
      </c>
      <c r="E87" s="27">
        <v>0</v>
      </c>
      <c r="F87" s="27">
        <v>0</v>
      </c>
      <c r="G87" s="27">
        <v>0</v>
      </c>
      <c r="H87" s="27">
        <v>0</v>
      </c>
      <c r="I87" s="27">
        <v>40000000</v>
      </c>
    </row>
    <row r="88" spans="1:9">
      <c r="A88" s="26">
        <v>2</v>
      </c>
      <c r="B88" s="26" t="s">
        <v>305</v>
      </c>
      <c r="C88" s="26" t="s">
        <v>306</v>
      </c>
      <c r="D88" s="27">
        <v>20000000</v>
      </c>
      <c r="E88" s="27">
        <v>0</v>
      </c>
      <c r="F88" s="27">
        <v>0</v>
      </c>
      <c r="G88" s="27">
        <v>0</v>
      </c>
      <c r="H88" s="27">
        <v>0</v>
      </c>
      <c r="I88" s="27">
        <v>20000000</v>
      </c>
    </row>
    <row r="89" spans="1:9">
      <c r="A89" s="26">
        <v>2</v>
      </c>
      <c r="B89" s="26" t="s">
        <v>307</v>
      </c>
      <c r="C89" s="26" t="s">
        <v>308</v>
      </c>
      <c r="D89" s="27">
        <v>100000000</v>
      </c>
      <c r="E89" s="27">
        <v>0</v>
      </c>
      <c r="F89" s="27">
        <v>10006500</v>
      </c>
      <c r="G89" s="27">
        <v>0</v>
      </c>
      <c r="H89" s="27">
        <v>0</v>
      </c>
      <c r="I89" s="27">
        <v>89993500</v>
      </c>
    </row>
    <row r="90" spans="1:9">
      <c r="A90" s="26">
        <v>2</v>
      </c>
      <c r="B90" s="26" t="s">
        <v>309</v>
      </c>
      <c r="C90" s="26" t="s">
        <v>310</v>
      </c>
      <c r="D90" s="27">
        <v>0</v>
      </c>
      <c r="E90" s="27">
        <v>1300000</v>
      </c>
      <c r="F90" s="27">
        <v>0</v>
      </c>
      <c r="G90" s="27">
        <v>0</v>
      </c>
      <c r="H90" s="27">
        <v>0</v>
      </c>
      <c r="I90" s="27">
        <v>1300000</v>
      </c>
    </row>
    <row r="91" spans="1:9">
      <c r="A91" s="26">
        <v>2</v>
      </c>
      <c r="B91" s="26" t="s">
        <v>38</v>
      </c>
      <c r="C91" s="26" t="s">
        <v>39</v>
      </c>
      <c r="D91" s="27">
        <v>10000000</v>
      </c>
      <c r="E91" s="27">
        <v>10800000</v>
      </c>
      <c r="F91" s="27">
        <v>0</v>
      </c>
      <c r="G91" s="27">
        <v>0</v>
      </c>
      <c r="H91" s="27">
        <v>0</v>
      </c>
      <c r="I91" s="27">
        <v>20800000</v>
      </c>
    </row>
    <row r="92" spans="1:9">
      <c r="A92" s="26">
        <v>2</v>
      </c>
      <c r="B92" s="26" t="s">
        <v>311</v>
      </c>
      <c r="C92" s="26" t="s">
        <v>312</v>
      </c>
      <c r="D92" s="27">
        <v>10000000</v>
      </c>
      <c r="E92" s="27">
        <v>0</v>
      </c>
      <c r="F92" s="27">
        <v>0</v>
      </c>
      <c r="G92" s="27">
        <v>0</v>
      </c>
      <c r="H92" s="27">
        <v>0</v>
      </c>
      <c r="I92" s="27">
        <v>10000000</v>
      </c>
    </row>
    <row r="93" spans="1:9">
      <c r="A93" s="26">
        <v>2</v>
      </c>
      <c r="B93" s="26" t="s">
        <v>313</v>
      </c>
      <c r="C93" s="26" t="s">
        <v>314</v>
      </c>
      <c r="D93" s="27">
        <v>0</v>
      </c>
      <c r="E93" s="27">
        <v>10800000</v>
      </c>
      <c r="F93" s="27">
        <v>0</v>
      </c>
      <c r="G93" s="27">
        <v>0</v>
      </c>
      <c r="H93" s="27">
        <v>0</v>
      </c>
      <c r="I93" s="27">
        <v>10800000</v>
      </c>
    </row>
    <row r="94" spans="1:9">
      <c r="A94" s="26">
        <v>2</v>
      </c>
      <c r="B94" s="26" t="s">
        <v>315</v>
      </c>
      <c r="C94" s="26" t="s">
        <v>316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</row>
    <row r="95" spans="1:9">
      <c r="A95" s="26">
        <v>2</v>
      </c>
      <c r="B95" s="26" t="s">
        <v>40</v>
      </c>
      <c r="C95" s="26" t="s">
        <v>41</v>
      </c>
      <c r="D95" s="27">
        <v>70621497</v>
      </c>
      <c r="E95" s="27">
        <v>0</v>
      </c>
      <c r="F95" s="27">
        <v>7089276</v>
      </c>
      <c r="G95" s="27">
        <v>0</v>
      </c>
      <c r="H95" s="27">
        <v>7932221</v>
      </c>
      <c r="I95" s="27">
        <v>55600000</v>
      </c>
    </row>
    <row r="96" spans="1:9">
      <c r="A96" s="26">
        <v>2</v>
      </c>
      <c r="B96" s="26" t="s">
        <v>317</v>
      </c>
      <c r="C96" s="26" t="s">
        <v>318</v>
      </c>
      <c r="D96" s="27">
        <v>20621497</v>
      </c>
      <c r="E96" s="27">
        <v>0</v>
      </c>
      <c r="F96" s="27">
        <v>7089276</v>
      </c>
      <c r="G96" s="27">
        <v>0</v>
      </c>
      <c r="H96" s="27">
        <v>7932221</v>
      </c>
      <c r="I96" s="27">
        <v>5600000</v>
      </c>
    </row>
    <row r="97" spans="1:9">
      <c r="A97" s="26">
        <v>2</v>
      </c>
      <c r="B97" s="26" t="s">
        <v>319</v>
      </c>
      <c r="C97" s="26" t="s">
        <v>320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</row>
    <row r="98" spans="1:9">
      <c r="A98" s="26">
        <v>2</v>
      </c>
      <c r="B98" s="26" t="s">
        <v>560</v>
      </c>
      <c r="C98" s="26" t="s">
        <v>561</v>
      </c>
      <c r="D98" s="27">
        <v>50000000</v>
      </c>
      <c r="E98" s="27">
        <v>0</v>
      </c>
      <c r="F98" s="27">
        <v>0</v>
      </c>
      <c r="G98" s="27">
        <v>0</v>
      </c>
      <c r="H98" s="27">
        <v>0</v>
      </c>
      <c r="I98" s="27">
        <v>50000000</v>
      </c>
    </row>
    <row r="99" spans="1:9">
      <c r="A99" s="26">
        <v>2</v>
      </c>
      <c r="B99" s="26" t="s">
        <v>42</v>
      </c>
      <c r="C99" s="26" t="s">
        <v>43</v>
      </c>
      <c r="D99" s="27">
        <v>32210176</v>
      </c>
      <c r="E99" s="27">
        <v>7999624</v>
      </c>
      <c r="F99" s="27">
        <v>26389424</v>
      </c>
      <c r="G99" s="27">
        <v>0</v>
      </c>
      <c r="H99" s="27">
        <v>5000376</v>
      </c>
      <c r="I99" s="27">
        <v>8820000</v>
      </c>
    </row>
    <row r="100" spans="1:9">
      <c r="A100" s="26">
        <v>2</v>
      </c>
      <c r="B100" s="26" t="s">
        <v>321</v>
      </c>
      <c r="C100" s="26" t="s">
        <v>322</v>
      </c>
      <c r="D100" s="27">
        <v>5000000</v>
      </c>
      <c r="E100" s="27">
        <v>0</v>
      </c>
      <c r="F100" s="27">
        <v>5000000</v>
      </c>
      <c r="G100" s="27">
        <v>0</v>
      </c>
      <c r="H100" s="27">
        <v>0</v>
      </c>
      <c r="I100" s="27">
        <v>0</v>
      </c>
    </row>
    <row r="101" spans="1:9">
      <c r="A101" s="26">
        <v>2</v>
      </c>
      <c r="B101" s="26" t="s">
        <v>323</v>
      </c>
      <c r="C101" s="26" t="s">
        <v>324</v>
      </c>
      <c r="D101" s="27">
        <v>5000000</v>
      </c>
      <c r="E101" s="27">
        <v>0</v>
      </c>
      <c r="F101" s="27">
        <v>0</v>
      </c>
      <c r="G101" s="27">
        <v>0</v>
      </c>
      <c r="H101" s="27">
        <v>5000000</v>
      </c>
      <c r="I101" s="27">
        <v>0</v>
      </c>
    </row>
    <row r="102" spans="1:9">
      <c r="A102" s="26">
        <v>2</v>
      </c>
      <c r="B102" s="26" t="s">
        <v>325</v>
      </c>
      <c r="C102" s="26" t="s">
        <v>326</v>
      </c>
      <c r="D102" s="27">
        <v>3210176</v>
      </c>
      <c r="E102" s="27">
        <v>7999624</v>
      </c>
      <c r="F102" s="27">
        <v>2389800</v>
      </c>
      <c r="G102" s="27">
        <v>0</v>
      </c>
      <c r="H102" s="27">
        <v>0</v>
      </c>
      <c r="I102" s="27">
        <v>8820000</v>
      </c>
    </row>
    <row r="103" spans="1:9">
      <c r="A103" s="26">
        <v>2</v>
      </c>
      <c r="B103" s="26" t="s">
        <v>327</v>
      </c>
      <c r="C103" s="26" t="s">
        <v>328</v>
      </c>
      <c r="D103" s="27">
        <v>19000000</v>
      </c>
      <c r="E103" s="27">
        <v>0</v>
      </c>
      <c r="F103" s="27">
        <v>18999624</v>
      </c>
      <c r="G103" s="27">
        <v>0</v>
      </c>
      <c r="H103" s="27">
        <v>376</v>
      </c>
      <c r="I103" s="27">
        <v>0</v>
      </c>
    </row>
    <row r="104" spans="1:9">
      <c r="A104" s="26">
        <v>2</v>
      </c>
      <c r="B104" s="26" t="s">
        <v>329</v>
      </c>
      <c r="C104" s="26" t="s">
        <v>330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</row>
    <row r="105" spans="1:9">
      <c r="A105" s="26">
        <v>2</v>
      </c>
      <c r="B105" s="26" t="s">
        <v>44</v>
      </c>
      <c r="C105" s="26" t="s">
        <v>45</v>
      </c>
      <c r="D105" s="27">
        <v>109571085</v>
      </c>
      <c r="E105" s="27">
        <v>8706500</v>
      </c>
      <c r="F105" s="27">
        <v>0</v>
      </c>
      <c r="G105" s="27">
        <v>0</v>
      </c>
      <c r="H105" s="27">
        <v>0</v>
      </c>
      <c r="I105" s="27">
        <v>118277585</v>
      </c>
    </row>
    <row r="106" spans="1:9">
      <c r="A106" s="26">
        <v>2</v>
      </c>
      <c r="B106" s="26" t="s">
        <v>331</v>
      </c>
      <c r="C106" s="26" t="s">
        <v>332</v>
      </c>
      <c r="D106" s="27">
        <v>10000000</v>
      </c>
      <c r="E106" s="27">
        <v>0</v>
      </c>
      <c r="F106" s="27">
        <v>0</v>
      </c>
      <c r="G106" s="27">
        <v>0</v>
      </c>
      <c r="H106" s="27">
        <v>0</v>
      </c>
      <c r="I106" s="27">
        <v>10000000</v>
      </c>
    </row>
    <row r="107" spans="1:9">
      <c r="A107" s="26">
        <v>2</v>
      </c>
      <c r="B107" s="26" t="s">
        <v>333</v>
      </c>
      <c r="C107" s="26" t="s">
        <v>334</v>
      </c>
      <c r="D107" s="27">
        <v>10000000</v>
      </c>
      <c r="E107" s="27">
        <v>0</v>
      </c>
      <c r="F107" s="27">
        <v>0</v>
      </c>
      <c r="G107" s="27">
        <v>0</v>
      </c>
      <c r="H107" s="27">
        <v>0</v>
      </c>
      <c r="I107" s="27">
        <v>10000000</v>
      </c>
    </row>
    <row r="108" spans="1:9">
      <c r="A108" s="26">
        <v>2</v>
      </c>
      <c r="B108" s="26" t="s">
        <v>335</v>
      </c>
      <c r="C108" s="26" t="s">
        <v>336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</row>
    <row r="109" spans="1:9">
      <c r="A109" s="26">
        <v>2</v>
      </c>
      <c r="B109" s="26" t="s">
        <v>337</v>
      </c>
      <c r="C109" s="26" t="s">
        <v>338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</row>
    <row r="110" spans="1:9">
      <c r="A110" s="26">
        <v>2</v>
      </c>
      <c r="B110" s="26" t="s">
        <v>339</v>
      </c>
      <c r="C110" s="26" t="s">
        <v>340</v>
      </c>
      <c r="D110" s="27">
        <v>18000000</v>
      </c>
      <c r="E110" s="27">
        <v>0</v>
      </c>
      <c r="F110" s="27">
        <v>0</v>
      </c>
      <c r="G110" s="27">
        <v>0</v>
      </c>
      <c r="H110" s="27">
        <v>0</v>
      </c>
      <c r="I110" s="27">
        <v>18000000</v>
      </c>
    </row>
    <row r="111" spans="1:9">
      <c r="A111" s="26">
        <v>2</v>
      </c>
      <c r="B111" s="26" t="s">
        <v>341</v>
      </c>
      <c r="C111" s="26" t="s">
        <v>338</v>
      </c>
      <c r="D111" s="27">
        <v>18000000</v>
      </c>
      <c r="E111" s="27">
        <v>0</v>
      </c>
      <c r="F111" s="27">
        <v>0</v>
      </c>
      <c r="G111" s="27">
        <v>0</v>
      </c>
      <c r="H111" s="27">
        <v>0</v>
      </c>
      <c r="I111" s="27">
        <v>18000000</v>
      </c>
    </row>
    <row r="112" spans="1:9">
      <c r="A112" s="26">
        <v>2</v>
      </c>
      <c r="B112" s="26" t="s">
        <v>342</v>
      </c>
      <c r="C112" s="26" t="s">
        <v>343</v>
      </c>
      <c r="D112" s="27">
        <v>30000000</v>
      </c>
      <c r="E112" s="27">
        <v>0</v>
      </c>
      <c r="F112" s="27">
        <v>0</v>
      </c>
      <c r="G112" s="27">
        <v>0</v>
      </c>
      <c r="H112" s="27">
        <v>0</v>
      </c>
      <c r="I112" s="27">
        <v>30000000</v>
      </c>
    </row>
    <row r="113" spans="1:9">
      <c r="A113" s="26">
        <v>2</v>
      </c>
      <c r="B113" s="26" t="s">
        <v>344</v>
      </c>
      <c r="C113" s="26" t="s">
        <v>345</v>
      </c>
      <c r="D113" s="27">
        <v>30000000</v>
      </c>
      <c r="E113" s="27">
        <v>0</v>
      </c>
      <c r="F113" s="27">
        <v>0</v>
      </c>
      <c r="G113" s="27">
        <v>0</v>
      </c>
      <c r="H113" s="27">
        <v>0</v>
      </c>
      <c r="I113" s="27">
        <v>30000000</v>
      </c>
    </row>
    <row r="114" spans="1:9">
      <c r="A114" s="26">
        <v>2</v>
      </c>
      <c r="B114" s="26" t="s">
        <v>346</v>
      </c>
      <c r="C114" s="26" t="s">
        <v>347</v>
      </c>
      <c r="D114" s="27">
        <v>26347400</v>
      </c>
      <c r="E114" s="27">
        <v>0</v>
      </c>
      <c r="F114" s="27">
        <v>0</v>
      </c>
      <c r="G114" s="27">
        <v>0</v>
      </c>
      <c r="H114" s="27">
        <v>0</v>
      </c>
      <c r="I114" s="27">
        <v>26347400</v>
      </c>
    </row>
    <row r="115" spans="1:9">
      <c r="A115" s="26">
        <v>2</v>
      </c>
      <c r="B115" s="26" t="s">
        <v>348</v>
      </c>
      <c r="C115" s="26" t="s">
        <v>345</v>
      </c>
      <c r="D115" s="27">
        <v>26347400</v>
      </c>
      <c r="E115" s="27">
        <v>0</v>
      </c>
      <c r="F115" s="27">
        <v>0</v>
      </c>
      <c r="G115" s="27">
        <v>0</v>
      </c>
      <c r="H115" s="27">
        <v>0</v>
      </c>
      <c r="I115" s="27">
        <v>26347400</v>
      </c>
    </row>
    <row r="116" spans="1:9">
      <c r="A116" s="26">
        <v>2</v>
      </c>
      <c r="B116" s="26" t="s">
        <v>349</v>
      </c>
      <c r="C116" s="26" t="s">
        <v>350</v>
      </c>
      <c r="D116" s="27">
        <v>25223685</v>
      </c>
      <c r="E116" s="27">
        <v>0</v>
      </c>
      <c r="F116" s="27">
        <v>0</v>
      </c>
      <c r="G116" s="27">
        <v>0</v>
      </c>
      <c r="H116" s="27">
        <v>0</v>
      </c>
      <c r="I116" s="27">
        <v>25223685</v>
      </c>
    </row>
    <row r="117" spans="1:9">
      <c r="A117" s="26">
        <v>2</v>
      </c>
      <c r="B117" s="26" t="s">
        <v>351</v>
      </c>
      <c r="C117" s="26" t="s">
        <v>352</v>
      </c>
      <c r="D117" s="27">
        <v>25223685</v>
      </c>
      <c r="E117" s="27">
        <v>0</v>
      </c>
      <c r="F117" s="27">
        <v>0</v>
      </c>
      <c r="G117" s="27">
        <v>0</v>
      </c>
      <c r="H117" s="27">
        <v>0</v>
      </c>
      <c r="I117" s="27">
        <v>25223685</v>
      </c>
    </row>
    <row r="118" spans="1:9">
      <c r="A118" s="26">
        <v>2</v>
      </c>
      <c r="B118" s="26" t="s">
        <v>353</v>
      </c>
      <c r="C118" s="26" t="s">
        <v>354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</row>
    <row r="119" spans="1:9">
      <c r="A119" s="26">
        <v>2</v>
      </c>
      <c r="B119" s="26" t="s">
        <v>355</v>
      </c>
      <c r="C119" s="26" t="s">
        <v>345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</row>
    <row r="120" spans="1:9">
      <c r="A120" s="26">
        <v>2</v>
      </c>
      <c r="B120" s="26" t="s">
        <v>356</v>
      </c>
      <c r="C120" s="26" t="s">
        <v>357</v>
      </c>
      <c r="D120" s="27">
        <v>0</v>
      </c>
      <c r="E120" s="27">
        <v>8706500</v>
      </c>
      <c r="F120" s="27">
        <v>0</v>
      </c>
      <c r="G120" s="27">
        <v>0</v>
      </c>
      <c r="H120" s="27">
        <v>0</v>
      </c>
      <c r="I120" s="27">
        <v>8706500</v>
      </c>
    </row>
    <row r="121" spans="1:9">
      <c r="A121" s="26">
        <v>2</v>
      </c>
      <c r="B121" s="26" t="s">
        <v>358</v>
      </c>
      <c r="C121" s="26" t="s">
        <v>359</v>
      </c>
      <c r="D121" s="27">
        <v>0</v>
      </c>
      <c r="E121" s="27">
        <v>8706500</v>
      </c>
      <c r="F121" s="27">
        <v>0</v>
      </c>
      <c r="G121" s="27">
        <v>0</v>
      </c>
      <c r="H121" s="27">
        <v>0</v>
      </c>
      <c r="I121" s="27">
        <v>8706500</v>
      </c>
    </row>
    <row r="122" spans="1:9">
      <c r="A122" s="26">
        <v>2</v>
      </c>
      <c r="B122" s="26" t="s">
        <v>46</v>
      </c>
      <c r="C122" s="26" t="s">
        <v>47</v>
      </c>
      <c r="D122" s="27">
        <v>20000000</v>
      </c>
      <c r="E122" s="27">
        <v>11410000</v>
      </c>
      <c r="F122" s="27">
        <v>6000000</v>
      </c>
      <c r="G122" s="27">
        <v>0</v>
      </c>
      <c r="H122" s="27">
        <v>14000000</v>
      </c>
      <c r="I122" s="27">
        <v>11410000</v>
      </c>
    </row>
    <row r="123" spans="1:9">
      <c r="A123" s="26">
        <v>2</v>
      </c>
      <c r="B123" s="26" t="s">
        <v>360</v>
      </c>
      <c r="C123" s="26" t="s">
        <v>361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</row>
    <row r="124" spans="1:9">
      <c r="A124" s="26">
        <v>2</v>
      </c>
      <c r="B124" s="26" t="s">
        <v>362</v>
      </c>
      <c r="C124" s="26" t="s">
        <v>363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</row>
    <row r="125" spans="1:9">
      <c r="A125" s="26">
        <v>2</v>
      </c>
      <c r="B125" s="26" t="s">
        <v>364</v>
      </c>
      <c r="C125" s="26" t="s">
        <v>365</v>
      </c>
      <c r="D125" s="27">
        <v>0</v>
      </c>
      <c r="E125" s="27">
        <v>3000000</v>
      </c>
      <c r="F125" s="27">
        <v>0</v>
      </c>
      <c r="G125" s="27">
        <v>0</v>
      </c>
      <c r="H125" s="27">
        <v>0</v>
      </c>
      <c r="I125" s="27">
        <v>3000000</v>
      </c>
    </row>
    <row r="126" spans="1:9">
      <c r="A126" s="26">
        <v>2</v>
      </c>
      <c r="B126" s="26" t="s">
        <v>366</v>
      </c>
      <c r="C126" s="26" t="s">
        <v>367</v>
      </c>
      <c r="D126" s="27">
        <v>10000000</v>
      </c>
      <c r="E126" s="27">
        <v>0</v>
      </c>
      <c r="F126" s="27">
        <v>6000000</v>
      </c>
      <c r="G126" s="27">
        <v>0</v>
      </c>
      <c r="H126" s="27">
        <v>4000000</v>
      </c>
      <c r="I126" s="27">
        <v>0</v>
      </c>
    </row>
    <row r="127" spans="1:9">
      <c r="A127" s="26">
        <v>2</v>
      </c>
      <c r="B127" s="26" t="s">
        <v>368</v>
      </c>
      <c r="C127" s="26" t="s">
        <v>369</v>
      </c>
      <c r="D127" s="27">
        <v>10000000</v>
      </c>
      <c r="E127" s="27">
        <v>8410000</v>
      </c>
      <c r="F127" s="27">
        <v>0</v>
      </c>
      <c r="G127" s="27">
        <v>0</v>
      </c>
      <c r="H127" s="27">
        <v>10000000</v>
      </c>
      <c r="I127" s="27">
        <v>8410000</v>
      </c>
    </row>
    <row r="128" spans="1:9">
      <c r="A128" s="26">
        <v>2</v>
      </c>
      <c r="B128" s="26" t="s">
        <v>48</v>
      </c>
      <c r="C128" s="26" t="s">
        <v>49</v>
      </c>
      <c r="D128" s="27">
        <v>11330000</v>
      </c>
      <c r="E128" s="27">
        <v>0</v>
      </c>
      <c r="F128" s="27">
        <v>200000</v>
      </c>
      <c r="G128" s="27">
        <v>0</v>
      </c>
      <c r="H128" s="27">
        <v>2130000</v>
      </c>
      <c r="I128" s="27">
        <v>9000000</v>
      </c>
    </row>
    <row r="129" spans="1:9">
      <c r="A129" s="26">
        <v>2</v>
      </c>
      <c r="B129" s="26" t="s">
        <v>370</v>
      </c>
      <c r="C129" s="26" t="s">
        <v>371</v>
      </c>
      <c r="D129" s="27">
        <v>11330000</v>
      </c>
      <c r="E129" s="27">
        <v>0</v>
      </c>
      <c r="F129" s="27">
        <v>200000</v>
      </c>
      <c r="G129" s="27">
        <v>0</v>
      </c>
      <c r="H129" s="27">
        <v>2130000</v>
      </c>
      <c r="I129" s="27">
        <v>9000000</v>
      </c>
    </row>
    <row r="130" spans="1:9">
      <c r="A130" s="26">
        <v>2</v>
      </c>
      <c r="B130" s="26" t="s">
        <v>50</v>
      </c>
      <c r="C130" s="26" t="s">
        <v>51</v>
      </c>
      <c r="D130" s="27">
        <v>69063548</v>
      </c>
      <c r="E130" s="27">
        <v>11400000</v>
      </c>
      <c r="F130" s="27">
        <v>0</v>
      </c>
      <c r="G130" s="27">
        <v>0</v>
      </c>
      <c r="H130" s="27">
        <v>4063548</v>
      </c>
      <c r="I130" s="27">
        <v>76400000</v>
      </c>
    </row>
    <row r="131" spans="1:9">
      <c r="A131" s="26">
        <v>2</v>
      </c>
      <c r="B131" s="26" t="s">
        <v>372</v>
      </c>
      <c r="C131" s="26" t="s">
        <v>373</v>
      </c>
      <c r="D131" s="27">
        <v>69063548</v>
      </c>
      <c r="E131" s="27">
        <v>11400000</v>
      </c>
      <c r="F131" s="27">
        <v>0</v>
      </c>
      <c r="G131" s="27">
        <v>0</v>
      </c>
      <c r="H131" s="27">
        <v>4063548</v>
      </c>
      <c r="I131" s="27">
        <v>76400000</v>
      </c>
    </row>
    <row r="132" spans="1:9">
      <c r="A132" s="26">
        <v>2</v>
      </c>
      <c r="B132" s="26" t="s">
        <v>52</v>
      </c>
      <c r="C132" s="26" t="s">
        <v>53</v>
      </c>
      <c r="D132" s="27">
        <v>144884856</v>
      </c>
      <c r="E132" s="27">
        <v>0</v>
      </c>
      <c r="F132" s="27">
        <v>0</v>
      </c>
      <c r="G132" s="27">
        <v>0</v>
      </c>
      <c r="H132" s="27">
        <v>0</v>
      </c>
      <c r="I132" s="27">
        <v>144884856</v>
      </c>
    </row>
    <row r="133" spans="1:9">
      <c r="A133" s="26">
        <v>2</v>
      </c>
      <c r="B133" s="26" t="s">
        <v>374</v>
      </c>
      <c r="C133" s="26" t="s">
        <v>375</v>
      </c>
      <c r="D133" s="27">
        <v>41000000</v>
      </c>
      <c r="E133" s="27">
        <v>0</v>
      </c>
      <c r="F133" s="27">
        <v>0</v>
      </c>
      <c r="G133" s="27">
        <v>0</v>
      </c>
      <c r="H133" s="27">
        <v>0</v>
      </c>
      <c r="I133" s="27">
        <v>41000000</v>
      </c>
    </row>
    <row r="134" spans="1:9">
      <c r="A134" s="26">
        <v>2</v>
      </c>
      <c r="B134" s="26" t="s">
        <v>376</v>
      </c>
      <c r="C134" s="26" t="s">
        <v>377</v>
      </c>
      <c r="D134" s="27">
        <v>61954662</v>
      </c>
      <c r="E134" s="27">
        <v>0</v>
      </c>
      <c r="F134" s="27">
        <v>0</v>
      </c>
      <c r="G134" s="27">
        <v>0</v>
      </c>
      <c r="H134" s="27">
        <v>0</v>
      </c>
      <c r="I134" s="27">
        <v>61954662</v>
      </c>
    </row>
    <row r="135" spans="1:9">
      <c r="A135" s="26">
        <v>2</v>
      </c>
      <c r="B135" s="26" t="s">
        <v>378</v>
      </c>
      <c r="C135" s="26" t="s">
        <v>379</v>
      </c>
      <c r="D135" s="27">
        <v>41930194</v>
      </c>
      <c r="E135" s="27">
        <v>0</v>
      </c>
      <c r="F135" s="27">
        <v>0</v>
      </c>
      <c r="G135" s="27">
        <v>0</v>
      </c>
      <c r="H135" s="27">
        <v>0</v>
      </c>
      <c r="I135" s="27">
        <v>41930194</v>
      </c>
    </row>
    <row r="136" spans="1:9">
      <c r="A136" s="26">
        <v>2</v>
      </c>
      <c r="B136" s="26" t="s">
        <v>54</v>
      </c>
      <c r="C136" s="26" t="s">
        <v>55</v>
      </c>
      <c r="D136" s="27">
        <v>16899450</v>
      </c>
      <c r="E136" s="27">
        <v>0</v>
      </c>
      <c r="F136" s="27">
        <v>14000000</v>
      </c>
      <c r="G136" s="27">
        <v>0</v>
      </c>
      <c r="H136" s="27">
        <v>2899450</v>
      </c>
      <c r="I136" s="27">
        <v>0</v>
      </c>
    </row>
    <row r="137" spans="1:9">
      <c r="A137" s="26">
        <v>2</v>
      </c>
      <c r="B137" s="26" t="s">
        <v>380</v>
      </c>
      <c r="C137" s="26" t="s">
        <v>288</v>
      </c>
      <c r="D137" s="27">
        <v>14000000</v>
      </c>
      <c r="E137" s="27">
        <v>0</v>
      </c>
      <c r="F137" s="27">
        <v>14000000</v>
      </c>
      <c r="G137" s="27">
        <v>0</v>
      </c>
      <c r="H137" s="27">
        <v>0</v>
      </c>
      <c r="I137" s="27">
        <v>0</v>
      </c>
    </row>
    <row r="138" spans="1:9">
      <c r="A138" s="26">
        <v>2</v>
      </c>
      <c r="B138" s="26" t="s">
        <v>381</v>
      </c>
      <c r="C138" s="26" t="s">
        <v>382</v>
      </c>
      <c r="D138" s="27">
        <v>2899450</v>
      </c>
      <c r="E138" s="27">
        <v>0</v>
      </c>
      <c r="F138" s="27">
        <v>0</v>
      </c>
      <c r="G138" s="27">
        <v>0</v>
      </c>
      <c r="H138" s="27">
        <v>2899450</v>
      </c>
      <c r="I138" s="27">
        <v>0</v>
      </c>
    </row>
    <row r="139" spans="1:9">
      <c r="A139" s="26">
        <v>2</v>
      </c>
      <c r="B139" s="26" t="s">
        <v>383</v>
      </c>
      <c r="C139" s="26" t="s">
        <v>384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</row>
    <row r="140" spans="1:9">
      <c r="A140" s="26">
        <v>2</v>
      </c>
      <c r="B140" s="26" t="s">
        <v>56</v>
      </c>
      <c r="C140" s="26" t="s">
        <v>57</v>
      </c>
      <c r="D140" s="27">
        <v>0</v>
      </c>
      <c r="E140" s="27">
        <v>14600000</v>
      </c>
      <c r="F140" s="27">
        <v>0</v>
      </c>
      <c r="G140" s="27">
        <v>0</v>
      </c>
      <c r="H140" s="27">
        <v>0</v>
      </c>
      <c r="I140" s="27">
        <v>14600000</v>
      </c>
    </row>
    <row r="141" spans="1:9">
      <c r="A141" s="26">
        <v>2</v>
      </c>
      <c r="B141" s="26" t="s">
        <v>385</v>
      </c>
      <c r="C141" s="26" t="s">
        <v>386</v>
      </c>
      <c r="D141" s="27">
        <v>0</v>
      </c>
      <c r="E141" s="27">
        <v>6000000</v>
      </c>
      <c r="F141" s="27">
        <v>0</v>
      </c>
      <c r="G141" s="27">
        <v>0</v>
      </c>
      <c r="H141" s="27">
        <v>0</v>
      </c>
      <c r="I141" s="27">
        <v>6000000</v>
      </c>
    </row>
    <row r="142" spans="1:9">
      <c r="A142" s="26">
        <v>2</v>
      </c>
      <c r="B142" s="26" t="s">
        <v>387</v>
      </c>
      <c r="C142" s="26" t="s">
        <v>388</v>
      </c>
      <c r="D142" s="27">
        <v>0</v>
      </c>
      <c r="E142" s="27">
        <v>5400000</v>
      </c>
      <c r="F142" s="27">
        <v>0</v>
      </c>
      <c r="G142" s="27">
        <v>0</v>
      </c>
      <c r="H142" s="27">
        <v>0</v>
      </c>
      <c r="I142" s="27">
        <v>5400000</v>
      </c>
    </row>
    <row r="143" spans="1:9">
      <c r="A143" s="26">
        <v>2</v>
      </c>
      <c r="B143" s="26" t="s">
        <v>389</v>
      </c>
      <c r="C143" s="26" t="s">
        <v>390</v>
      </c>
      <c r="D143" s="27">
        <v>0</v>
      </c>
      <c r="E143" s="27">
        <v>3200000</v>
      </c>
      <c r="F143" s="27">
        <v>0</v>
      </c>
      <c r="G143" s="27">
        <v>0</v>
      </c>
      <c r="H143" s="27">
        <v>0</v>
      </c>
      <c r="I143" s="27">
        <v>3200000</v>
      </c>
    </row>
    <row r="144" spans="1:9">
      <c r="A144" s="40">
        <v>2</v>
      </c>
      <c r="B144" s="40" t="s">
        <v>58</v>
      </c>
      <c r="C144" s="40" t="s">
        <v>59</v>
      </c>
      <c r="D144" s="41">
        <v>187699658</v>
      </c>
      <c r="E144" s="41">
        <v>1308388</v>
      </c>
      <c r="F144" s="41">
        <v>1308388</v>
      </c>
      <c r="G144" s="41">
        <v>0</v>
      </c>
      <c r="H144" s="41">
        <v>35690121</v>
      </c>
      <c r="I144" s="41">
        <v>152009537</v>
      </c>
    </row>
    <row r="145" spans="1:9">
      <c r="A145" s="26">
        <v>2</v>
      </c>
      <c r="B145" s="26" t="s">
        <v>60</v>
      </c>
      <c r="C145" s="26" t="s">
        <v>61</v>
      </c>
      <c r="D145" s="27">
        <v>62699658</v>
      </c>
      <c r="E145" s="27">
        <v>0</v>
      </c>
      <c r="F145" s="27">
        <v>0</v>
      </c>
      <c r="G145" s="27">
        <v>0</v>
      </c>
      <c r="H145" s="27">
        <v>0</v>
      </c>
      <c r="I145" s="27">
        <v>62699658</v>
      </c>
    </row>
    <row r="146" spans="1:9">
      <c r="A146" s="26">
        <v>2</v>
      </c>
      <c r="B146" s="26" t="s">
        <v>391</v>
      </c>
      <c r="C146" s="26" t="s">
        <v>392</v>
      </c>
      <c r="D146" s="27">
        <v>30000000</v>
      </c>
      <c r="E146" s="27">
        <v>0</v>
      </c>
      <c r="F146" s="27">
        <v>0</v>
      </c>
      <c r="G146" s="27">
        <v>0</v>
      </c>
      <c r="H146" s="27">
        <v>0</v>
      </c>
      <c r="I146" s="27">
        <v>30000000</v>
      </c>
    </row>
    <row r="147" spans="1:9">
      <c r="A147" s="26">
        <v>2</v>
      </c>
      <c r="B147" s="26" t="s">
        <v>393</v>
      </c>
      <c r="C147" s="26" t="s">
        <v>394</v>
      </c>
      <c r="D147" s="27">
        <v>30000000</v>
      </c>
      <c r="E147" s="27">
        <v>0</v>
      </c>
      <c r="F147" s="27">
        <v>0</v>
      </c>
      <c r="G147" s="27">
        <v>0</v>
      </c>
      <c r="H147" s="27">
        <v>0</v>
      </c>
      <c r="I147" s="27">
        <v>30000000</v>
      </c>
    </row>
    <row r="148" spans="1:9">
      <c r="A148" s="26">
        <v>2</v>
      </c>
      <c r="B148" s="26" t="s">
        <v>395</v>
      </c>
      <c r="C148" s="26" t="s">
        <v>396</v>
      </c>
      <c r="D148" s="27">
        <v>2699658</v>
      </c>
      <c r="E148" s="27">
        <v>0</v>
      </c>
      <c r="F148" s="27">
        <v>0</v>
      </c>
      <c r="G148" s="27">
        <v>0</v>
      </c>
      <c r="H148" s="27">
        <v>0</v>
      </c>
      <c r="I148" s="27">
        <v>2699658</v>
      </c>
    </row>
    <row r="149" spans="1:9">
      <c r="A149" s="26">
        <v>2</v>
      </c>
      <c r="B149" s="26" t="s">
        <v>62</v>
      </c>
      <c r="C149" s="26" t="s">
        <v>51</v>
      </c>
      <c r="D149" s="27">
        <v>50000000</v>
      </c>
      <c r="E149" s="27">
        <v>0</v>
      </c>
      <c r="F149" s="27">
        <v>1308388</v>
      </c>
      <c r="G149" s="27">
        <v>0</v>
      </c>
      <c r="H149" s="27">
        <v>35690121</v>
      </c>
      <c r="I149" s="27">
        <v>13001491</v>
      </c>
    </row>
    <row r="150" spans="1:9">
      <c r="A150" s="26">
        <v>2</v>
      </c>
      <c r="B150" s="26" t="s">
        <v>397</v>
      </c>
      <c r="C150" s="26" t="s">
        <v>373</v>
      </c>
      <c r="D150" s="27">
        <v>50000000</v>
      </c>
      <c r="E150" s="27">
        <v>0</v>
      </c>
      <c r="F150" s="27">
        <v>1308388</v>
      </c>
      <c r="G150" s="27">
        <v>0</v>
      </c>
      <c r="H150" s="27">
        <v>35690121</v>
      </c>
      <c r="I150" s="27">
        <v>13001491</v>
      </c>
    </row>
    <row r="151" spans="1:9">
      <c r="A151" s="26">
        <v>2</v>
      </c>
      <c r="B151" s="26" t="s">
        <v>63</v>
      </c>
      <c r="C151" s="26" t="s">
        <v>64</v>
      </c>
      <c r="D151" s="27">
        <v>25000000</v>
      </c>
      <c r="E151" s="27">
        <v>0</v>
      </c>
      <c r="F151" s="27">
        <v>0</v>
      </c>
      <c r="G151" s="27">
        <v>0</v>
      </c>
      <c r="H151" s="27">
        <v>0</v>
      </c>
      <c r="I151" s="27">
        <v>25000000</v>
      </c>
    </row>
    <row r="152" spans="1:9">
      <c r="A152" s="26">
        <v>2</v>
      </c>
      <c r="B152" s="26" t="s">
        <v>398</v>
      </c>
      <c r="C152" s="26" t="s">
        <v>399</v>
      </c>
      <c r="D152" s="27">
        <v>25000000</v>
      </c>
      <c r="E152" s="27">
        <v>0</v>
      </c>
      <c r="F152" s="27">
        <v>0</v>
      </c>
      <c r="G152" s="27">
        <v>0</v>
      </c>
      <c r="H152" s="27">
        <v>0</v>
      </c>
      <c r="I152" s="27">
        <v>25000000</v>
      </c>
    </row>
    <row r="153" spans="1:9">
      <c r="A153" s="26">
        <v>2</v>
      </c>
      <c r="B153" s="26" t="s">
        <v>65</v>
      </c>
      <c r="C153" s="26" t="s">
        <v>66</v>
      </c>
      <c r="D153" s="27">
        <v>25000000</v>
      </c>
      <c r="E153" s="27">
        <v>0</v>
      </c>
      <c r="F153" s="27">
        <v>0</v>
      </c>
      <c r="G153" s="27">
        <v>0</v>
      </c>
      <c r="H153" s="27">
        <v>0</v>
      </c>
      <c r="I153" s="27">
        <v>25000000</v>
      </c>
    </row>
    <row r="154" spans="1:9">
      <c r="A154" s="26">
        <v>2</v>
      </c>
      <c r="B154" s="26" t="s">
        <v>400</v>
      </c>
      <c r="C154" s="26" t="s">
        <v>401</v>
      </c>
      <c r="D154" s="27">
        <v>25000000</v>
      </c>
      <c r="E154" s="27">
        <v>0</v>
      </c>
      <c r="F154" s="27">
        <v>0</v>
      </c>
      <c r="G154" s="27">
        <v>0</v>
      </c>
      <c r="H154" s="27">
        <v>0</v>
      </c>
      <c r="I154" s="27">
        <v>25000000</v>
      </c>
    </row>
    <row r="155" spans="1:9">
      <c r="A155" s="26">
        <v>2</v>
      </c>
      <c r="B155" s="26" t="s">
        <v>67</v>
      </c>
      <c r="C155" s="26" t="s">
        <v>47</v>
      </c>
      <c r="D155" s="27">
        <v>25000000</v>
      </c>
      <c r="E155" s="27">
        <v>0</v>
      </c>
      <c r="F155" s="27">
        <v>0</v>
      </c>
      <c r="G155" s="27">
        <v>0</v>
      </c>
      <c r="H155" s="27">
        <v>0</v>
      </c>
      <c r="I155" s="27">
        <v>25000000</v>
      </c>
    </row>
    <row r="156" spans="1:9">
      <c r="A156" s="26">
        <v>2</v>
      </c>
      <c r="B156" s="26" t="s">
        <v>402</v>
      </c>
      <c r="C156" s="26" t="s">
        <v>403</v>
      </c>
      <c r="D156" s="27">
        <v>25000000</v>
      </c>
      <c r="E156" s="27">
        <v>0</v>
      </c>
      <c r="F156" s="27">
        <v>0</v>
      </c>
      <c r="G156" s="27">
        <v>0</v>
      </c>
      <c r="H156" s="27">
        <v>0</v>
      </c>
      <c r="I156" s="27">
        <v>25000000</v>
      </c>
    </row>
    <row r="157" spans="1:9">
      <c r="A157" s="26">
        <v>2</v>
      </c>
      <c r="B157" s="26" t="s">
        <v>68</v>
      </c>
      <c r="C157" s="26" t="s">
        <v>69</v>
      </c>
      <c r="D157" s="27">
        <v>0</v>
      </c>
      <c r="E157" s="27">
        <v>1308388</v>
      </c>
      <c r="F157" s="27">
        <v>0</v>
      </c>
      <c r="G157" s="27">
        <v>0</v>
      </c>
      <c r="H157" s="27">
        <v>0</v>
      </c>
      <c r="I157" s="27">
        <v>1308388</v>
      </c>
    </row>
    <row r="158" spans="1:9">
      <c r="A158" s="26">
        <v>2</v>
      </c>
      <c r="B158" s="26" t="s">
        <v>404</v>
      </c>
      <c r="C158" s="26" t="s">
        <v>405</v>
      </c>
      <c r="D158" s="27">
        <v>0</v>
      </c>
      <c r="E158" s="27">
        <v>1308388</v>
      </c>
      <c r="F158" s="27">
        <v>0</v>
      </c>
      <c r="G158" s="27">
        <v>0</v>
      </c>
      <c r="H158" s="27">
        <v>0</v>
      </c>
      <c r="I158" s="27">
        <v>1308388</v>
      </c>
    </row>
    <row r="159" spans="1:9">
      <c r="A159" s="40">
        <v>2</v>
      </c>
      <c r="B159" s="40" t="s">
        <v>70</v>
      </c>
      <c r="C159" s="40" t="s">
        <v>71</v>
      </c>
      <c r="D159" s="41">
        <v>125000000</v>
      </c>
      <c r="E159" s="41">
        <v>0</v>
      </c>
      <c r="F159" s="41">
        <v>0</v>
      </c>
      <c r="G159" s="41">
        <v>0</v>
      </c>
      <c r="H159" s="41">
        <v>0</v>
      </c>
      <c r="I159" s="41">
        <v>125000000</v>
      </c>
    </row>
    <row r="160" spans="1:9">
      <c r="A160" s="26">
        <v>2</v>
      </c>
      <c r="B160" s="26" t="s">
        <v>72</v>
      </c>
      <c r="C160" s="26" t="s">
        <v>73</v>
      </c>
      <c r="D160" s="27">
        <v>40000000</v>
      </c>
      <c r="E160" s="27">
        <v>0</v>
      </c>
      <c r="F160" s="27">
        <v>0</v>
      </c>
      <c r="G160" s="27">
        <v>0</v>
      </c>
      <c r="H160" s="27">
        <v>0</v>
      </c>
      <c r="I160" s="27">
        <v>40000000</v>
      </c>
    </row>
    <row r="161" spans="1:9">
      <c r="A161" s="26">
        <v>2</v>
      </c>
      <c r="B161" s="26" t="s">
        <v>406</v>
      </c>
      <c r="C161" s="26" t="s">
        <v>288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</row>
    <row r="162" spans="1:9">
      <c r="A162" s="26">
        <v>2</v>
      </c>
      <c r="B162" s="26" t="s">
        <v>407</v>
      </c>
      <c r="C162" s="26" t="s">
        <v>408</v>
      </c>
      <c r="D162" s="27">
        <v>24000000</v>
      </c>
      <c r="E162" s="27">
        <v>0</v>
      </c>
      <c r="F162" s="27">
        <v>0</v>
      </c>
      <c r="G162" s="27">
        <v>0</v>
      </c>
      <c r="H162" s="27">
        <v>0</v>
      </c>
      <c r="I162" s="27">
        <v>24000000</v>
      </c>
    </row>
    <row r="163" spans="1:9">
      <c r="A163" s="26">
        <v>2</v>
      </c>
      <c r="B163" s="26" t="s">
        <v>409</v>
      </c>
      <c r="C163" s="26" t="s">
        <v>410</v>
      </c>
      <c r="D163" s="27">
        <v>4000000</v>
      </c>
      <c r="E163" s="27">
        <v>0</v>
      </c>
      <c r="F163" s="27">
        <v>0</v>
      </c>
      <c r="G163" s="27">
        <v>0</v>
      </c>
      <c r="H163" s="27">
        <v>0</v>
      </c>
      <c r="I163" s="27">
        <v>4000000</v>
      </c>
    </row>
    <row r="164" spans="1:9">
      <c r="A164" s="26">
        <v>2</v>
      </c>
      <c r="B164" s="26" t="s">
        <v>411</v>
      </c>
      <c r="C164" s="26" t="s">
        <v>412</v>
      </c>
      <c r="D164" s="27">
        <v>4000000</v>
      </c>
      <c r="E164" s="27">
        <v>0</v>
      </c>
      <c r="F164" s="27">
        <v>0</v>
      </c>
      <c r="G164" s="27">
        <v>0</v>
      </c>
      <c r="H164" s="27">
        <v>0</v>
      </c>
      <c r="I164" s="27">
        <v>4000000</v>
      </c>
    </row>
    <row r="165" spans="1:9">
      <c r="A165" s="26">
        <v>2</v>
      </c>
      <c r="B165" s="26" t="s">
        <v>413</v>
      </c>
      <c r="C165" s="26" t="s">
        <v>414</v>
      </c>
      <c r="D165" s="27">
        <v>8000000</v>
      </c>
      <c r="E165" s="27">
        <v>0</v>
      </c>
      <c r="F165" s="27">
        <v>0</v>
      </c>
      <c r="G165" s="27">
        <v>0</v>
      </c>
      <c r="H165" s="27">
        <v>0</v>
      </c>
      <c r="I165" s="27">
        <v>8000000</v>
      </c>
    </row>
    <row r="166" spans="1:9">
      <c r="A166" s="26">
        <v>2</v>
      </c>
      <c r="B166" s="26" t="s">
        <v>74</v>
      </c>
      <c r="C166" s="26" t="s">
        <v>75</v>
      </c>
      <c r="D166" s="27">
        <v>12000000</v>
      </c>
      <c r="E166" s="27">
        <v>0</v>
      </c>
      <c r="F166" s="27">
        <v>0</v>
      </c>
      <c r="G166" s="27">
        <v>0</v>
      </c>
      <c r="H166" s="27">
        <v>0</v>
      </c>
      <c r="I166" s="27">
        <v>12000000</v>
      </c>
    </row>
    <row r="167" spans="1:9">
      <c r="A167" s="26">
        <v>2</v>
      </c>
      <c r="B167" s="26" t="s">
        <v>415</v>
      </c>
      <c r="C167" s="26" t="s">
        <v>416</v>
      </c>
      <c r="D167" s="27">
        <v>12000000</v>
      </c>
      <c r="E167" s="27">
        <v>0</v>
      </c>
      <c r="F167" s="27">
        <v>0</v>
      </c>
      <c r="G167" s="27">
        <v>0</v>
      </c>
      <c r="H167" s="27">
        <v>0</v>
      </c>
      <c r="I167" s="27">
        <v>12000000</v>
      </c>
    </row>
    <row r="168" spans="1:9">
      <c r="A168" s="26">
        <v>2</v>
      </c>
      <c r="B168" s="26" t="s">
        <v>76</v>
      </c>
      <c r="C168" s="26" t="s">
        <v>77</v>
      </c>
      <c r="D168" s="27">
        <v>20000000</v>
      </c>
      <c r="E168" s="27">
        <v>0</v>
      </c>
      <c r="F168" s="27">
        <v>0</v>
      </c>
      <c r="G168" s="27">
        <v>0</v>
      </c>
      <c r="H168" s="27">
        <v>0</v>
      </c>
      <c r="I168" s="27">
        <v>20000000</v>
      </c>
    </row>
    <row r="169" spans="1:9">
      <c r="A169" s="26">
        <v>2</v>
      </c>
      <c r="B169" s="26" t="s">
        <v>417</v>
      </c>
      <c r="C169" s="26" t="s">
        <v>418</v>
      </c>
      <c r="D169" s="27">
        <v>20000000</v>
      </c>
      <c r="E169" s="27">
        <v>0</v>
      </c>
      <c r="F169" s="27">
        <v>0</v>
      </c>
      <c r="G169" s="27">
        <v>0</v>
      </c>
      <c r="H169" s="27">
        <v>0</v>
      </c>
      <c r="I169" s="27">
        <v>20000000</v>
      </c>
    </row>
    <row r="170" spans="1:9">
      <c r="A170" s="26">
        <v>2</v>
      </c>
      <c r="B170" s="26" t="s">
        <v>78</v>
      </c>
      <c r="C170" s="26" t="s">
        <v>79</v>
      </c>
      <c r="D170" s="27">
        <v>6000000</v>
      </c>
      <c r="E170" s="27">
        <v>0</v>
      </c>
      <c r="F170" s="27">
        <v>0</v>
      </c>
      <c r="G170" s="27">
        <v>0</v>
      </c>
      <c r="H170" s="27">
        <v>0</v>
      </c>
      <c r="I170" s="27">
        <v>6000000</v>
      </c>
    </row>
    <row r="171" spans="1:9">
      <c r="A171" s="26">
        <v>2</v>
      </c>
      <c r="B171" s="26" t="s">
        <v>419</v>
      </c>
      <c r="C171" s="26" t="s">
        <v>420</v>
      </c>
      <c r="D171" s="27">
        <v>6000000</v>
      </c>
      <c r="E171" s="27">
        <v>0</v>
      </c>
      <c r="F171" s="27">
        <v>0</v>
      </c>
      <c r="G171" s="27">
        <v>0</v>
      </c>
      <c r="H171" s="27">
        <v>0</v>
      </c>
      <c r="I171" s="27">
        <v>6000000</v>
      </c>
    </row>
    <row r="172" spans="1:9">
      <c r="A172" s="26">
        <v>2</v>
      </c>
      <c r="B172" s="26" t="s">
        <v>80</v>
      </c>
      <c r="C172" s="26" t="s">
        <v>81</v>
      </c>
      <c r="D172" s="27">
        <v>3000000</v>
      </c>
      <c r="E172" s="27">
        <v>0</v>
      </c>
      <c r="F172" s="27">
        <v>0</v>
      </c>
      <c r="G172" s="27">
        <v>0</v>
      </c>
      <c r="H172" s="27">
        <v>0</v>
      </c>
      <c r="I172" s="27">
        <v>3000000</v>
      </c>
    </row>
    <row r="173" spans="1:9">
      <c r="A173" s="26">
        <v>2</v>
      </c>
      <c r="B173" s="26" t="s">
        <v>421</v>
      </c>
      <c r="C173" s="26" t="s">
        <v>422</v>
      </c>
      <c r="D173" s="27">
        <v>3000000</v>
      </c>
      <c r="E173" s="27">
        <v>0</v>
      </c>
      <c r="F173" s="27">
        <v>0</v>
      </c>
      <c r="G173" s="27">
        <v>0</v>
      </c>
      <c r="H173" s="27">
        <v>0</v>
      </c>
      <c r="I173" s="27">
        <v>3000000</v>
      </c>
    </row>
    <row r="174" spans="1:9">
      <c r="A174" s="26">
        <v>2</v>
      </c>
      <c r="B174" s="26" t="s">
        <v>82</v>
      </c>
      <c r="C174" s="26" t="s">
        <v>83</v>
      </c>
      <c r="D174" s="27">
        <v>5000000</v>
      </c>
      <c r="E174" s="27">
        <v>0</v>
      </c>
      <c r="F174" s="27">
        <v>0</v>
      </c>
      <c r="G174" s="27">
        <v>0</v>
      </c>
      <c r="H174" s="27">
        <v>0</v>
      </c>
      <c r="I174" s="27">
        <v>5000000</v>
      </c>
    </row>
    <row r="175" spans="1:9">
      <c r="A175" s="26">
        <v>2</v>
      </c>
      <c r="B175" s="26" t="s">
        <v>423</v>
      </c>
      <c r="C175" s="26" t="s">
        <v>424</v>
      </c>
      <c r="D175" s="27">
        <v>5000000</v>
      </c>
      <c r="E175" s="27">
        <v>0</v>
      </c>
      <c r="F175" s="27">
        <v>0</v>
      </c>
      <c r="G175" s="27">
        <v>0</v>
      </c>
      <c r="H175" s="27">
        <v>0</v>
      </c>
      <c r="I175" s="27">
        <v>5000000</v>
      </c>
    </row>
    <row r="176" spans="1:9">
      <c r="A176" s="26">
        <v>2</v>
      </c>
      <c r="B176" s="26" t="s">
        <v>425</v>
      </c>
      <c r="C176" s="26" t="s">
        <v>426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</row>
    <row r="177" spans="1:9">
      <c r="A177" s="26">
        <v>2</v>
      </c>
      <c r="B177" s="26" t="s">
        <v>427</v>
      </c>
      <c r="C177" s="26" t="s">
        <v>428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</row>
    <row r="178" spans="1:9">
      <c r="A178" s="26">
        <v>2</v>
      </c>
      <c r="B178" s="26" t="s">
        <v>84</v>
      </c>
      <c r="C178" s="26" t="s">
        <v>85</v>
      </c>
      <c r="D178" s="27">
        <v>12000000</v>
      </c>
      <c r="E178" s="27">
        <v>0</v>
      </c>
      <c r="F178" s="27">
        <v>0</v>
      </c>
      <c r="G178" s="27">
        <v>0</v>
      </c>
      <c r="H178" s="27">
        <v>0</v>
      </c>
      <c r="I178" s="27">
        <v>12000000</v>
      </c>
    </row>
    <row r="179" spans="1:9">
      <c r="A179" s="26">
        <v>2</v>
      </c>
      <c r="B179" s="26" t="s">
        <v>429</v>
      </c>
      <c r="C179" s="26" t="s">
        <v>430</v>
      </c>
      <c r="D179" s="27">
        <v>12000000</v>
      </c>
      <c r="E179" s="27">
        <v>0</v>
      </c>
      <c r="F179" s="27">
        <v>0</v>
      </c>
      <c r="G179" s="27">
        <v>0</v>
      </c>
      <c r="H179" s="27">
        <v>0</v>
      </c>
      <c r="I179" s="27">
        <v>12000000</v>
      </c>
    </row>
    <row r="180" spans="1:9">
      <c r="A180" s="26">
        <v>2</v>
      </c>
      <c r="B180" s="26" t="s">
        <v>86</v>
      </c>
      <c r="C180" s="26" t="s">
        <v>87</v>
      </c>
      <c r="D180" s="27">
        <v>27000000</v>
      </c>
      <c r="E180" s="27">
        <v>0</v>
      </c>
      <c r="F180" s="27">
        <v>0</v>
      </c>
      <c r="G180" s="27">
        <v>0</v>
      </c>
      <c r="H180" s="27">
        <v>0</v>
      </c>
      <c r="I180" s="27">
        <v>27000000</v>
      </c>
    </row>
    <row r="181" spans="1:9">
      <c r="A181" s="26">
        <v>2</v>
      </c>
      <c r="B181" s="26" t="s">
        <v>431</v>
      </c>
      <c r="C181" s="26" t="s">
        <v>432</v>
      </c>
      <c r="D181" s="27">
        <v>17000000</v>
      </c>
      <c r="E181" s="27">
        <v>0</v>
      </c>
      <c r="F181" s="27">
        <v>0</v>
      </c>
      <c r="G181" s="27">
        <v>0</v>
      </c>
      <c r="H181" s="27">
        <v>0</v>
      </c>
      <c r="I181" s="27">
        <v>17000000</v>
      </c>
    </row>
    <row r="182" spans="1:9">
      <c r="A182" s="26">
        <v>2</v>
      </c>
      <c r="B182" s="26" t="s">
        <v>88</v>
      </c>
      <c r="C182" s="26" t="s">
        <v>89</v>
      </c>
      <c r="D182" s="27">
        <v>10000000</v>
      </c>
      <c r="E182" s="27">
        <v>0</v>
      </c>
      <c r="F182" s="27">
        <v>0</v>
      </c>
      <c r="G182" s="27">
        <v>0</v>
      </c>
      <c r="H182" s="27">
        <v>0</v>
      </c>
      <c r="I182" s="27">
        <v>10000000</v>
      </c>
    </row>
    <row r="183" spans="1:9">
      <c r="A183" s="40">
        <v>2</v>
      </c>
      <c r="B183" s="40" t="s">
        <v>90</v>
      </c>
      <c r="C183" s="40" t="s">
        <v>91</v>
      </c>
      <c r="D183" s="41">
        <v>22494000</v>
      </c>
      <c r="E183" s="41">
        <v>0</v>
      </c>
      <c r="F183" s="41">
        <v>0</v>
      </c>
      <c r="G183" s="41">
        <v>0</v>
      </c>
      <c r="H183" s="41">
        <v>0</v>
      </c>
      <c r="I183" s="41">
        <v>22494000</v>
      </c>
    </row>
    <row r="184" spans="1:9">
      <c r="A184" s="26">
        <v>2</v>
      </c>
      <c r="B184" s="26" t="s">
        <v>92</v>
      </c>
      <c r="C184" s="26" t="s">
        <v>93</v>
      </c>
      <c r="D184" s="27">
        <v>3954861</v>
      </c>
      <c r="E184" s="27">
        <v>0</v>
      </c>
      <c r="F184" s="27">
        <v>0</v>
      </c>
      <c r="G184" s="27">
        <v>0</v>
      </c>
      <c r="H184" s="27">
        <v>0</v>
      </c>
      <c r="I184" s="27">
        <v>3954861</v>
      </c>
    </row>
    <row r="185" spans="1:9">
      <c r="A185" s="26">
        <v>2</v>
      </c>
      <c r="B185" s="26" t="s">
        <v>94</v>
      </c>
      <c r="C185" s="26" t="s">
        <v>95</v>
      </c>
      <c r="D185" s="27">
        <v>18220000</v>
      </c>
      <c r="E185" s="27">
        <v>0</v>
      </c>
      <c r="F185" s="27">
        <v>0</v>
      </c>
      <c r="G185" s="27">
        <v>0</v>
      </c>
      <c r="H185" s="27">
        <v>0</v>
      </c>
      <c r="I185" s="27">
        <v>18220000</v>
      </c>
    </row>
    <row r="186" spans="1:9">
      <c r="A186" s="26">
        <v>2</v>
      </c>
      <c r="B186" s="26" t="s">
        <v>433</v>
      </c>
      <c r="C186" s="26" t="s">
        <v>434</v>
      </c>
      <c r="D186" s="27">
        <v>600000</v>
      </c>
      <c r="E186" s="27">
        <v>0</v>
      </c>
      <c r="F186" s="27">
        <v>0</v>
      </c>
      <c r="G186" s="27">
        <v>0</v>
      </c>
      <c r="H186" s="27">
        <v>0</v>
      </c>
      <c r="I186" s="27">
        <v>600000</v>
      </c>
    </row>
    <row r="187" spans="1:9">
      <c r="A187" s="26">
        <v>2</v>
      </c>
      <c r="B187" s="26" t="s">
        <v>435</v>
      </c>
      <c r="C187" s="26" t="s">
        <v>436</v>
      </c>
      <c r="D187" s="27">
        <v>600000</v>
      </c>
      <c r="E187" s="27">
        <v>0</v>
      </c>
      <c r="F187" s="27">
        <v>0</v>
      </c>
      <c r="G187" s="27">
        <v>0</v>
      </c>
      <c r="H187" s="27">
        <v>0</v>
      </c>
      <c r="I187" s="27">
        <v>600000</v>
      </c>
    </row>
    <row r="188" spans="1:9">
      <c r="A188" s="26">
        <v>2</v>
      </c>
      <c r="B188" s="26" t="s">
        <v>437</v>
      </c>
      <c r="C188" s="26" t="s">
        <v>438</v>
      </c>
      <c r="D188" s="27">
        <v>2200000</v>
      </c>
      <c r="E188" s="27">
        <v>0</v>
      </c>
      <c r="F188" s="27">
        <v>0</v>
      </c>
      <c r="G188" s="27">
        <v>0</v>
      </c>
      <c r="H188" s="27">
        <v>0</v>
      </c>
      <c r="I188" s="27">
        <v>2200000</v>
      </c>
    </row>
    <row r="189" spans="1:9">
      <c r="A189" s="26">
        <v>2</v>
      </c>
      <c r="B189" s="26" t="s">
        <v>439</v>
      </c>
      <c r="C189" s="26" t="s">
        <v>440</v>
      </c>
      <c r="D189" s="27">
        <v>600000</v>
      </c>
      <c r="E189" s="27">
        <v>0</v>
      </c>
      <c r="F189" s="27">
        <v>0</v>
      </c>
      <c r="G189" s="27">
        <v>0</v>
      </c>
      <c r="H189" s="27">
        <v>0</v>
      </c>
      <c r="I189" s="27">
        <v>600000</v>
      </c>
    </row>
    <row r="190" spans="1:9">
      <c r="A190" s="26">
        <v>2</v>
      </c>
      <c r="B190" s="26" t="s">
        <v>441</v>
      </c>
      <c r="C190" s="26" t="s">
        <v>442</v>
      </c>
      <c r="D190" s="27">
        <v>220000</v>
      </c>
      <c r="E190" s="27">
        <v>0</v>
      </c>
      <c r="F190" s="27">
        <v>0</v>
      </c>
      <c r="G190" s="27">
        <v>0</v>
      </c>
      <c r="H190" s="27">
        <v>0</v>
      </c>
      <c r="I190" s="27">
        <v>220000</v>
      </c>
    </row>
    <row r="191" spans="1:9">
      <c r="A191" s="26">
        <v>2</v>
      </c>
      <c r="B191" s="26" t="s">
        <v>443</v>
      </c>
      <c r="C191" s="26" t="s">
        <v>444</v>
      </c>
      <c r="D191" s="27">
        <v>14000000</v>
      </c>
      <c r="E191" s="27">
        <v>0</v>
      </c>
      <c r="F191" s="27">
        <v>0</v>
      </c>
      <c r="G191" s="27">
        <v>0</v>
      </c>
      <c r="H191" s="27">
        <v>0</v>
      </c>
      <c r="I191" s="27">
        <v>14000000</v>
      </c>
    </row>
    <row r="192" spans="1:9">
      <c r="A192" s="26">
        <v>2</v>
      </c>
      <c r="B192" s="26" t="s">
        <v>96</v>
      </c>
      <c r="C192" s="26" t="s">
        <v>97</v>
      </c>
      <c r="D192" s="27">
        <v>319139</v>
      </c>
      <c r="E192" s="27">
        <v>0</v>
      </c>
      <c r="F192" s="27">
        <v>0</v>
      </c>
      <c r="G192" s="27">
        <v>0</v>
      </c>
      <c r="H192" s="27">
        <v>0</v>
      </c>
      <c r="I192" s="27">
        <v>319139</v>
      </c>
    </row>
    <row r="193" spans="1:9">
      <c r="A193" s="26">
        <v>2</v>
      </c>
      <c r="B193" s="26" t="s">
        <v>445</v>
      </c>
      <c r="C193" s="26" t="s">
        <v>446</v>
      </c>
      <c r="D193" s="27">
        <v>319139</v>
      </c>
      <c r="E193" s="27">
        <v>0</v>
      </c>
      <c r="F193" s="27">
        <v>0</v>
      </c>
      <c r="G193" s="27">
        <v>0</v>
      </c>
      <c r="H193" s="27">
        <v>0</v>
      </c>
      <c r="I193" s="27">
        <v>319139</v>
      </c>
    </row>
    <row r="194" spans="1:9">
      <c r="A194" s="26">
        <v>2</v>
      </c>
      <c r="B194" s="26" t="s">
        <v>98</v>
      </c>
      <c r="C194" s="26" t="s">
        <v>99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</row>
    <row r="195" spans="1:9">
      <c r="A195" s="26">
        <v>2</v>
      </c>
      <c r="B195" s="26" t="s">
        <v>100</v>
      </c>
      <c r="C195" s="26" t="s">
        <v>101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</row>
    <row r="196" spans="1:9">
      <c r="A196" s="40">
        <v>2</v>
      </c>
      <c r="B196" s="40" t="s">
        <v>102</v>
      </c>
      <c r="C196" s="40" t="s">
        <v>103</v>
      </c>
      <c r="D196" s="41">
        <v>0</v>
      </c>
      <c r="E196" s="41">
        <v>0</v>
      </c>
      <c r="F196" s="41">
        <v>0</v>
      </c>
      <c r="G196" s="41">
        <v>154902778</v>
      </c>
      <c r="H196" s="41">
        <v>0</v>
      </c>
      <c r="I196" s="41">
        <v>154902778</v>
      </c>
    </row>
    <row r="197" spans="1:9">
      <c r="A197" s="26">
        <v>2</v>
      </c>
      <c r="B197" s="26" t="s">
        <v>104</v>
      </c>
      <c r="C197" s="26" t="s">
        <v>105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</row>
    <row r="198" spans="1:9">
      <c r="A198" s="26">
        <v>2</v>
      </c>
      <c r="B198" s="26" t="s">
        <v>106</v>
      </c>
      <c r="C198" s="26" t="s">
        <v>107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</row>
    <row r="199" spans="1:9">
      <c r="A199" s="26">
        <v>2</v>
      </c>
      <c r="B199" s="26" t="s">
        <v>447</v>
      </c>
      <c r="C199" s="26" t="s">
        <v>448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</row>
    <row r="200" spans="1:9">
      <c r="A200" s="26">
        <v>2</v>
      </c>
      <c r="B200" s="26" t="s">
        <v>449</v>
      </c>
      <c r="C200" s="26" t="s">
        <v>450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</row>
    <row r="201" spans="1:9">
      <c r="A201" s="26">
        <v>2</v>
      </c>
      <c r="B201" s="26" t="s">
        <v>451</v>
      </c>
      <c r="C201" s="26" t="s">
        <v>452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</row>
    <row r="202" spans="1:9">
      <c r="A202" s="26">
        <v>2</v>
      </c>
      <c r="B202" s="26" t="s">
        <v>453</v>
      </c>
      <c r="C202" s="26" t="s">
        <v>454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</row>
    <row r="203" spans="1:9">
      <c r="A203" s="26">
        <v>2</v>
      </c>
      <c r="B203" s="26" t="s">
        <v>455</v>
      </c>
      <c r="C203" s="26" t="s">
        <v>456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</row>
    <row r="204" spans="1:9">
      <c r="A204" s="26">
        <v>2</v>
      </c>
      <c r="B204" s="26" t="s">
        <v>457</v>
      </c>
      <c r="C204" s="26" t="s">
        <v>458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</row>
    <row r="205" spans="1:9">
      <c r="A205" s="26">
        <v>2</v>
      </c>
      <c r="B205" s="26" t="s">
        <v>459</v>
      </c>
      <c r="C205" s="26" t="s">
        <v>460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</row>
    <row r="206" spans="1:9">
      <c r="A206" s="26">
        <v>2</v>
      </c>
      <c r="B206" s="26" t="s">
        <v>461</v>
      </c>
      <c r="C206" s="26" t="s">
        <v>462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</row>
    <row r="207" spans="1:9">
      <c r="A207" s="26">
        <v>2</v>
      </c>
      <c r="B207" s="26" t="s">
        <v>463</v>
      </c>
      <c r="C207" s="26" t="s">
        <v>464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</row>
    <row r="208" spans="1:9">
      <c r="A208" s="26">
        <v>2</v>
      </c>
      <c r="B208" s="26" t="s">
        <v>465</v>
      </c>
      <c r="C208" s="26" t="s">
        <v>466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</row>
    <row r="209" spans="1:9">
      <c r="A209" s="26">
        <v>2</v>
      </c>
      <c r="B209" s="26" t="s">
        <v>467</v>
      </c>
      <c r="C209" s="26" t="s">
        <v>468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</row>
    <row r="210" spans="1:9">
      <c r="A210" s="26">
        <v>2</v>
      </c>
      <c r="B210" s="26" t="s">
        <v>469</v>
      </c>
      <c r="C210" s="26" t="s">
        <v>470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</row>
    <row r="211" spans="1:9">
      <c r="A211" s="26">
        <v>2</v>
      </c>
      <c r="B211" s="26" t="s">
        <v>471</v>
      </c>
      <c r="C211" s="26" t="s">
        <v>448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</row>
    <row r="212" spans="1:9">
      <c r="A212" s="26">
        <v>2</v>
      </c>
      <c r="B212" s="26" t="s">
        <v>472</v>
      </c>
      <c r="C212" s="26" t="s">
        <v>473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</row>
    <row r="213" spans="1:9">
      <c r="A213" s="26">
        <v>2</v>
      </c>
      <c r="B213" s="26" t="s">
        <v>108</v>
      </c>
      <c r="C213" s="26" t="s">
        <v>109</v>
      </c>
      <c r="D213" s="27">
        <v>0</v>
      </c>
      <c r="E213" s="27">
        <v>0</v>
      </c>
      <c r="F213" s="27">
        <v>0</v>
      </c>
      <c r="G213" s="27">
        <v>154902778</v>
      </c>
      <c r="H213" s="27">
        <v>0</v>
      </c>
      <c r="I213" s="27">
        <v>154902778</v>
      </c>
    </row>
    <row r="214" spans="1:9">
      <c r="A214" s="26">
        <v>2</v>
      </c>
      <c r="B214" s="26" t="s">
        <v>110</v>
      </c>
      <c r="C214" s="26" t="s">
        <v>111</v>
      </c>
      <c r="D214" s="27">
        <v>0</v>
      </c>
      <c r="E214" s="27">
        <v>0</v>
      </c>
      <c r="F214" s="27">
        <v>0</v>
      </c>
      <c r="G214" s="27">
        <v>77451389</v>
      </c>
      <c r="H214" s="27">
        <v>0</v>
      </c>
      <c r="I214" s="27">
        <v>77451389</v>
      </c>
    </row>
    <row r="215" spans="1:9">
      <c r="A215" s="26">
        <v>2</v>
      </c>
      <c r="B215" s="26" t="s">
        <v>112</v>
      </c>
      <c r="C215" s="26" t="s">
        <v>113</v>
      </c>
      <c r="D215" s="27">
        <v>0</v>
      </c>
      <c r="E215" s="27">
        <v>0</v>
      </c>
      <c r="F215" s="27">
        <v>0</v>
      </c>
      <c r="G215" s="27">
        <v>77451389</v>
      </c>
      <c r="H215" s="27">
        <v>0</v>
      </c>
      <c r="I215" s="27">
        <v>77451389</v>
      </c>
    </row>
    <row r="216" spans="1:9">
      <c r="A216" s="40">
        <v>2</v>
      </c>
      <c r="B216" s="40" t="s">
        <v>474</v>
      </c>
      <c r="C216" s="40" t="s">
        <v>475</v>
      </c>
      <c r="D216" s="41">
        <v>59220303</v>
      </c>
      <c r="E216" s="41">
        <v>42220303</v>
      </c>
      <c r="F216" s="41">
        <v>42220303</v>
      </c>
      <c r="G216" s="41">
        <v>4289962</v>
      </c>
      <c r="H216" s="41">
        <v>0</v>
      </c>
      <c r="I216" s="41">
        <v>63510265</v>
      </c>
    </row>
    <row r="217" spans="1:9">
      <c r="A217" s="26">
        <v>2</v>
      </c>
      <c r="B217" s="26" t="s">
        <v>476</v>
      </c>
      <c r="C217" s="26" t="s">
        <v>477</v>
      </c>
      <c r="D217" s="27">
        <v>19442125</v>
      </c>
      <c r="E217" s="27">
        <v>14442125</v>
      </c>
      <c r="F217" s="27">
        <v>14442125</v>
      </c>
      <c r="G217" s="27">
        <v>1256451</v>
      </c>
      <c r="H217" s="27">
        <v>0</v>
      </c>
      <c r="I217" s="27">
        <v>20698576</v>
      </c>
    </row>
    <row r="218" spans="1:9">
      <c r="A218" s="26">
        <v>2</v>
      </c>
      <c r="B218" s="26" t="s">
        <v>478</v>
      </c>
      <c r="C218" s="26" t="s">
        <v>479</v>
      </c>
      <c r="D218" s="27">
        <v>19442125</v>
      </c>
      <c r="E218" s="27">
        <v>0</v>
      </c>
      <c r="F218" s="27">
        <v>14442125</v>
      </c>
      <c r="G218" s="27">
        <v>0</v>
      </c>
      <c r="H218" s="27">
        <v>0</v>
      </c>
      <c r="I218" s="27">
        <v>5000000</v>
      </c>
    </row>
    <row r="219" spans="1:9">
      <c r="A219" s="26">
        <v>2</v>
      </c>
      <c r="B219" s="26" t="s">
        <v>480</v>
      </c>
      <c r="C219" s="26" t="s">
        <v>481</v>
      </c>
      <c r="D219" s="27">
        <v>0</v>
      </c>
      <c r="E219" s="27">
        <v>6000000</v>
      </c>
      <c r="F219" s="27">
        <v>0</v>
      </c>
      <c r="G219" s="27">
        <v>1256451</v>
      </c>
      <c r="H219" s="27">
        <v>0</v>
      </c>
      <c r="I219" s="27">
        <v>7256451</v>
      </c>
    </row>
    <row r="220" spans="1:9">
      <c r="A220" s="26">
        <v>2</v>
      </c>
      <c r="B220" s="26" t="s">
        <v>482</v>
      </c>
      <c r="C220" s="26" t="s">
        <v>483</v>
      </c>
      <c r="D220" s="27">
        <v>0</v>
      </c>
      <c r="E220" s="27">
        <v>4442125</v>
      </c>
      <c r="F220" s="27">
        <v>0</v>
      </c>
      <c r="G220" s="27">
        <v>0</v>
      </c>
      <c r="H220" s="27">
        <v>0</v>
      </c>
      <c r="I220" s="27">
        <v>4442125</v>
      </c>
    </row>
    <row r="221" spans="1:9">
      <c r="A221" s="26">
        <v>2</v>
      </c>
      <c r="B221" s="26" t="s">
        <v>484</v>
      </c>
      <c r="C221" s="26" t="s">
        <v>485</v>
      </c>
      <c r="D221" s="27">
        <v>0</v>
      </c>
      <c r="E221" s="27">
        <v>2000000</v>
      </c>
      <c r="F221" s="27">
        <v>0</v>
      </c>
      <c r="G221" s="27">
        <v>0</v>
      </c>
      <c r="H221" s="27">
        <v>0</v>
      </c>
      <c r="I221" s="27">
        <v>2000000</v>
      </c>
    </row>
    <row r="222" spans="1:9">
      <c r="A222" s="26">
        <v>2</v>
      </c>
      <c r="B222" s="26" t="s">
        <v>486</v>
      </c>
      <c r="C222" s="26" t="s">
        <v>487</v>
      </c>
      <c r="D222" s="27">
        <v>0</v>
      </c>
      <c r="E222" s="27">
        <v>2000000</v>
      </c>
      <c r="F222" s="27">
        <v>0</v>
      </c>
      <c r="G222" s="27">
        <v>0</v>
      </c>
      <c r="H222" s="27">
        <v>0</v>
      </c>
      <c r="I222" s="27">
        <v>2000000</v>
      </c>
    </row>
    <row r="223" spans="1:9">
      <c r="A223" s="26">
        <v>2</v>
      </c>
      <c r="B223" s="26" t="s">
        <v>488</v>
      </c>
      <c r="C223" s="26" t="s">
        <v>489</v>
      </c>
      <c r="D223" s="27">
        <v>39778178</v>
      </c>
      <c r="E223" s="27">
        <v>27778178</v>
      </c>
      <c r="F223" s="27">
        <v>27778178</v>
      </c>
      <c r="G223" s="27">
        <v>3033511</v>
      </c>
      <c r="H223" s="27">
        <v>0</v>
      </c>
      <c r="I223" s="27">
        <v>42811689</v>
      </c>
    </row>
    <row r="224" spans="1:9">
      <c r="A224" s="26">
        <v>2</v>
      </c>
      <c r="B224" s="26" t="s">
        <v>490</v>
      </c>
      <c r="C224" s="26" t="s">
        <v>485</v>
      </c>
      <c r="D224" s="27">
        <v>0</v>
      </c>
      <c r="E224" s="27">
        <v>10778178</v>
      </c>
      <c r="F224" s="27">
        <v>0</v>
      </c>
      <c r="G224" s="27">
        <v>0</v>
      </c>
      <c r="H224" s="27">
        <v>0</v>
      </c>
      <c r="I224" s="27">
        <v>10778178</v>
      </c>
    </row>
    <row r="225" spans="1:9">
      <c r="A225" s="26">
        <v>2</v>
      </c>
      <c r="B225" s="26" t="s">
        <v>491</v>
      </c>
      <c r="C225" s="26" t="s">
        <v>479</v>
      </c>
      <c r="D225" s="27">
        <v>39778178</v>
      </c>
      <c r="E225" s="27">
        <v>0</v>
      </c>
      <c r="F225" s="27">
        <v>27778178</v>
      </c>
      <c r="G225" s="27">
        <v>0</v>
      </c>
      <c r="H225" s="27">
        <v>0</v>
      </c>
      <c r="I225" s="27">
        <v>12000000</v>
      </c>
    </row>
    <row r="226" spans="1:9">
      <c r="A226" s="26">
        <v>2</v>
      </c>
      <c r="B226" s="26" t="s">
        <v>492</v>
      </c>
      <c r="C226" s="26" t="s">
        <v>493</v>
      </c>
      <c r="D226" s="27">
        <v>0</v>
      </c>
      <c r="E226" s="27">
        <v>10000000</v>
      </c>
      <c r="F226" s="27">
        <v>0</v>
      </c>
      <c r="G226" s="27">
        <v>3033511</v>
      </c>
      <c r="H226" s="27">
        <v>0</v>
      </c>
      <c r="I226" s="27">
        <v>13033511</v>
      </c>
    </row>
    <row r="227" spans="1:9">
      <c r="A227" s="26">
        <v>2</v>
      </c>
      <c r="B227" s="26" t="s">
        <v>494</v>
      </c>
      <c r="C227" s="26" t="s">
        <v>483</v>
      </c>
      <c r="D227" s="27">
        <v>0</v>
      </c>
      <c r="E227" s="27">
        <v>5000000</v>
      </c>
      <c r="F227" s="27">
        <v>0</v>
      </c>
      <c r="G227" s="27">
        <v>0</v>
      </c>
      <c r="H227" s="27">
        <v>0</v>
      </c>
      <c r="I227" s="27">
        <v>5000000</v>
      </c>
    </row>
    <row r="228" spans="1:9">
      <c r="A228" s="26">
        <v>2</v>
      </c>
      <c r="B228" s="26" t="s">
        <v>495</v>
      </c>
      <c r="C228" s="26" t="s">
        <v>487</v>
      </c>
      <c r="D228" s="27">
        <v>0</v>
      </c>
      <c r="E228" s="27">
        <v>2000000</v>
      </c>
      <c r="F228" s="27">
        <v>0</v>
      </c>
      <c r="G228" s="27">
        <v>0</v>
      </c>
      <c r="H228" s="27">
        <v>0</v>
      </c>
      <c r="I228" s="27">
        <v>2000000</v>
      </c>
    </row>
    <row r="229" spans="1:9">
      <c r="A229">
        <v>2</v>
      </c>
      <c r="B229" t="s">
        <v>496</v>
      </c>
      <c r="C229" t="s">
        <v>497</v>
      </c>
      <c r="D229" s="30">
        <v>148350000</v>
      </c>
      <c r="E229" s="30">
        <v>0</v>
      </c>
      <c r="F229" s="30">
        <v>0</v>
      </c>
      <c r="G229" s="30">
        <v>0</v>
      </c>
      <c r="H229" s="30">
        <v>0</v>
      </c>
      <c r="I229" s="30">
        <v>148350000</v>
      </c>
    </row>
    <row r="230" spans="1:9">
      <c r="A230">
        <v>2</v>
      </c>
      <c r="B230" t="s">
        <v>498</v>
      </c>
      <c r="C230" t="s">
        <v>499</v>
      </c>
      <c r="D230" s="30">
        <v>115350000</v>
      </c>
      <c r="E230" s="30">
        <v>0</v>
      </c>
      <c r="F230" s="30">
        <v>0</v>
      </c>
      <c r="G230" s="30">
        <v>0</v>
      </c>
      <c r="H230" s="30">
        <v>0</v>
      </c>
      <c r="I230" s="30">
        <v>115350000</v>
      </c>
    </row>
    <row r="231" spans="1:9">
      <c r="A231">
        <v>2</v>
      </c>
      <c r="B231" t="s">
        <v>500</v>
      </c>
      <c r="C231" t="s">
        <v>501</v>
      </c>
      <c r="D231" s="30">
        <v>20000000</v>
      </c>
      <c r="E231" s="30">
        <v>0</v>
      </c>
      <c r="F231" s="30">
        <v>0</v>
      </c>
      <c r="G231" s="30">
        <v>0</v>
      </c>
      <c r="H231" s="30">
        <v>0</v>
      </c>
      <c r="I231" s="30">
        <v>20000000</v>
      </c>
    </row>
    <row r="232" spans="1:9">
      <c r="A232">
        <v>2</v>
      </c>
      <c r="B232" t="s">
        <v>502</v>
      </c>
      <c r="C232" t="s">
        <v>503</v>
      </c>
      <c r="D232" s="30">
        <v>5000000</v>
      </c>
      <c r="E232" s="30">
        <v>0</v>
      </c>
      <c r="F232" s="30">
        <v>0</v>
      </c>
      <c r="G232" s="30">
        <v>0</v>
      </c>
      <c r="H232" s="30">
        <v>0</v>
      </c>
      <c r="I232" s="30">
        <v>5000000</v>
      </c>
    </row>
    <row r="233" spans="1:9">
      <c r="A233">
        <v>2</v>
      </c>
      <c r="B233" t="s">
        <v>504</v>
      </c>
      <c r="C233" t="s">
        <v>505</v>
      </c>
      <c r="D233" s="30">
        <v>8000000</v>
      </c>
      <c r="E233" s="30">
        <v>0</v>
      </c>
      <c r="F233" s="30">
        <v>0</v>
      </c>
      <c r="G233" s="30">
        <v>0</v>
      </c>
      <c r="H233" s="30">
        <v>0</v>
      </c>
      <c r="I233" s="30">
        <v>8000000</v>
      </c>
    </row>
    <row r="234" spans="1:9">
      <c r="D234" s="30"/>
      <c r="E234" s="30"/>
      <c r="F234" s="30"/>
      <c r="G234" s="30"/>
      <c r="H234" s="30"/>
      <c r="I234" s="30"/>
    </row>
    <row r="235" spans="1:9">
      <c r="D235" s="30"/>
      <c r="E235" s="30"/>
      <c r="F235" s="30"/>
      <c r="G235" s="30"/>
      <c r="H235" s="30"/>
      <c r="I235" s="30">
        <f>+I1+I216</f>
        <v>7217580864</v>
      </c>
    </row>
  </sheetData>
  <phoneticPr fontId="6" type="noConversion"/>
  <pageMargins left="0.75" right="0.75" top="1" bottom="1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8" sqref="K8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85546875" style="2" bestFit="1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#REF!+#REF!+#REF!+#REF!+#REF!+#REF!+#REF!+#REF!+#REF!+#REF!+#REF!+#REF!+#REF!+#REF!</f>
        <v>#REF!</v>
      </c>
      <c r="D5" s="6" t="s">
        <v>1</v>
      </c>
      <c r="E5" s="6" t="e">
        <f>#REF!+#REF!+#REF!+#REF!+#REF!+#REF!+#REF!+#REF!+#REF!+#REF!+#REF!+#REF!+#REF!+#REF!</f>
        <v>#REF!</v>
      </c>
      <c r="F5" s="6" t="s">
        <v>3</v>
      </c>
      <c r="G5" s="6" t="e">
        <f>#REF!+#REF!+#REF!+#REF!+#REF!+#REF!+#REF!+#REF!+#REF!+#REF!+#REF!+#REF!+#REF!+#REF!</f>
        <v>#REF!</v>
      </c>
      <c r="H5" s="6" t="s">
        <v>4</v>
      </c>
      <c r="I5" s="6" t="s">
        <v>5</v>
      </c>
      <c r="J5" s="6" t="e">
        <f>#REF!+#REF!+#REF!+#REF!+#REF!+#REF!+#REF!+#REF!+#REF!+#REF!+#REF!+#REF!+#REF!+#REF!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19">
        <f>+'POAI 2012'!B39</f>
        <v>5000000</v>
      </c>
      <c r="C6" s="19">
        <v>0</v>
      </c>
      <c r="D6" s="19">
        <f>+'POAI 2012'!D39</f>
        <v>2597136491</v>
      </c>
      <c r="E6" s="19">
        <v>0</v>
      </c>
      <c r="F6" s="19">
        <f>+'POAI 2012'!F39</f>
        <v>187427320</v>
      </c>
      <c r="G6" s="19">
        <v>0</v>
      </c>
      <c r="H6" s="19">
        <v>0</v>
      </c>
      <c r="I6" s="19">
        <f>+'POAI 2012'!I39</f>
        <v>2690296860</v>
      </c>
      <c r="J6" s="19">
        <v>0</v>
      </c>
      <c r="K6" s="15">
        <f>SUM(B6:J6)</f>
        <v>5479860671</v>
      </c>
    </row>
    <row r="7" spans="1:11" ht="25.5">
      <c r="A7" s="29" t="s">
        <v>141</v>
      </c>
      <c r="B7" s="19">
        <f>+'POAI 2012'!B64</f>
        <v>63264740</v>
      </c>
      <c r="C7" s="19">
        <v>0</v>
      </c>
      <c r="D7" s="19">
        <f>+'POAI 2012'!D64</f>
        <v>295392576</v>
      </c>
      <c r="E7" s="19">
        <v>0</v>
      </c>
      <c r="F7" s="19">
        <f>+'POAI 2012'!F64</f>
        <v>8000000</v>
      </c>
      <c r="G7" s="19">
        <v>0</v>
      </c>
      <c r="H7" s="19">
        <f>+'POAI 2012'!H64</f>
        <v>200000000</v>
      </c>
      <c r="I7" s="19">
        <f>+'POAI 2012'!I64</f>
        <v>196902778</v>
      </c>
      <c r="J7" s="19">
        <v>0</v>
      </c>
      <c r="K7" s="15">
        <f>SUM(B7:J7)</f>
        <v>763560094</v>
      </c>
    </row>
    <row r="8" spans="1:11" ht="25.5">
      <c r="A8" s="28" t="s">
        <v>116</v>
      </c>
      <c r="B8" s="19">
        <f>+'POAI 2012'!B87</f>
        <v>87699658</v>
      </c>
      <c r="C8" s="19">
        <v>0</v>
      </c>
      <c r="D8" s="19">
        <f>+'POAI 2012'!D87</f>
        <v>1320288991</v>
      </c>
      <c r="E8" s="19">
        <v>0</v>
      </c>
      <c r="F8" s="19">
        <f>+'POAI 2012'!F87</f>
        <v>18000000</v>
      </c>
      <c r="G8" s="19">
        <v>0</v>
      </c>
      <c r="H8" s="19">
        <f>+'POAI 2012'!H87</f>
        <v>0</v>
      </c>
      <c r="I8" s="19">
        <f>+'POAI 2012'!I87</f>
        <v>6000000</v>
      </c>
      <c r="J8" s="19">
        <v>0</v>
      </c>
      <c r="K8" s="15">
        <f>SUM(B8:J8)</f>
        <v>1431988649</v>
      </c>
    </row>
    <row r="9" spans="1:11" ht="25.5">
      <c r="A9" s="28" t="s">
        <v>117</v>
      </c>
      <c r="B9" s="19">
        <f>+'POAI 2012'!B100</f>
        <v>0</v>
      </c>
      <c r="C9" s="19">
        <v>0</v>
      </c>
      <c r="D9" s="19">
        <f>+'POAI 2012'!D100</f>
        <v>230284856</v>
      </c>
      <c r="E9" s="19">
        <v>0</v>
      </c>
      <c r="F9" s="19">
        <f>+'POAI 2012'!F100</f>
        <v>20319139</v>
      </c>
      <c r="G9" s="19">
        <v>0</v>
      </c>
      <c r="H9" s="19">
        <f>+'POAI 2012'!H100</f>
        <v>0</v>
      </c>
      <c r="I9" s="19">
        <f>+'POAI 2012'!I100</f>
        <v>0</v>
      </c>
      <c r="J9" s="19">
        <v>0</v>
      </c>
      <c r="K9" s="15">
        <f>SUM(B9:J9)</f>
        <v>250603995</v>
      </c>
    </row>
    <row r="10" spans="1:11">
      <c r="A10" s="35" t="s">
        <v>8</v>
      </c>
      <c r="B10" s="34">
        <f>SUM(B6:B9)</f>
        <v>155964398</v>
      </c>
      <c r="C10" s="34">
        <f t="shared" ref="C10:K10" si="0">SUM(C6:C9)</f>
        <v>0</v>
      </c>
      <c r="D10" s="34">
        <f t="shared" si="0"/>
        <v>4443102914</v>
      </c>
      <c r="E10" s="34">
        <f t="shared" si="0"/>
        <v>0</v>
      </c>
      <c r="F10" s="34">
        <f t="shared" si="0"/>
        <v>233746459</v>
      </c>
      <c r="G10" s="34">
        <f t="shared" si="0"/>
        <v>0</v>
      </c>
      <c r="H10" s="34">
        <f t="shared" si="0"/>
        <v>200000000</v>
      </c>
      <c r="I10" s="34">
        <f t="shared" si="0"/>
        <v>2893199638</v>
      </c>
      <c r="J10" s="34">
        <f t="shared" si="0"/>
        <v>0</v>
      </c>
      <c r="K10" s="34">
        <f t="shared" si="0"/>
        <v>7926013409</v>
      </c>
    </row>
  </sheetData>
  <mergeCells count="2">
    <mergeCell ref="A1:K1"/>
    <mergeCell ref="A3:K3"/>
  </mergeCells>
  <phoneticPr fontId="6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9" sqref="K9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85546875" style="2" bestFit="1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508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#REF!+#REF!+#REF!+#REF!+#REF!+#REF!+#REF!+#REF!+#REF!+#REF!+#REF!+#REF!+#REF!+#REF!</f>
        <v>#REF!</v>
      </c>
      <c r="D5" s="6" t="s">
        <v>1</v>
      </c>
      <c r="E5" s="6" t="e">
        <f>#REF!+#REF!+#REF!+#REF!+#REF!+#REF!+#REF!+#REF!+#REF!+#REF!+#REF!+#REF!+#REF!+#REF!</f>
        <v>#REF!</v>
      </c>
      <c r="F5" s="6" t="s">
        <v>3</v>
      </c>
      <c r="G5" s="6" t="e">
        <f>#REF!+#REF!+#REF!+#REF!+#REF!+#REF!+#REF!+#REF!+#REF!+#REF!+#REF!+#REF!+#REF!+#REF!</f>
        <v>#REF!</v>
      </c>
      <c r="H5" s="6" t="s">
        <v>4</v>
      </c>
      <c r="I5" s="6" t="s">
        <v>5</v>
      </c>
      <c r="J5" s="6" t="e">
        <f>#REF!+#REF!+#REF!+#REF!+#REF!+#REF!+#REF!+#REF!+#REF!+#REF!+#REF!+#REF!+#REF!+#REF!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19">
        <f>+'POAI 2013'!B39</f>
        <v>5200000</v>
      </c>
      <c r="C6" s="19">
        <v>0</v>
      </c>
      <c r="D6" s="19">
        <f>+'POAI 2013'!D39</f>
        <v>2701021950.6399999</v>
      </c>
      <c r="E6" s="19">
        <v>0</v>
      </c>
      <c r="F6" s="19">
        <f>+'POAI 2013'!F39</f>
        <v>194924412.80000001</v>
      </c>
      <c r="G6" s="19">
        <v>0</v>
      </c>
      <c r="H6" s="19">
        <f>+'POAI 2013'!H39</f>
        <v>0</v>
      </c>
      <c r="I6" s="19">
        <f>+'POAI 2013'!I39</f>
        <v>2793708734.4000001</v>
      </c>
      <c r="J6" s="19">
        <v>0</v>
      </c>
      <c r="K6" s="15">
        <f>SUM(B6:J6)</f>
        <v>5694855097.8400002</v>
      </c>
    </row>
    <row r="7" spans="1:11" ht="25.5">
      <c r="A7" s="29" t="s">
        <v>141</v>
      </c>
      <c r="B7" s="19">
        <f>+'POAI 2013'!B64</f>
        <v>65795329.600000001</v>
      </c>
      <c r="C7" s="19">
        <v>0</v>
      </c>
      <c r="D7" s="19">
        <f>+'POAI 2013'!D64</f>
        <v>300339662.08000004</v>
      </c>
      <c r="E7" s="19">
        <v>0</v>
      </c>
      <c r="F7" s="19">
        <f>+'POAI 2013'!F64</f>
        <v>8320000</v>
      </c>
      <c r="G7" s="19">
        <v>0</v>
      </c>
      <c r="H7" s="19">
        <f>+'POAI 2013'!H64</f>
        <v>300000000</v>
      </c>
      <c r="I7" s="19">
        <f>+'POAI 2013'!I64</f>
        <v>0</v>
      </c>
      <c r="J7" s="19">
        <v>0</v>
      </c>
      <c r="K7" s="15">
        <f>SUM(B7:J7)</f>
        <v>674454991.68000007</v>
      </c>
    </row>
    <row r="8" spans="1:11" ht="25.5">
      <c r="A8" s="28" t="s">
        <v>116</v>
      </c>
      <c r="B8" s="19">
        <f>+'POAI 2013'!B87</f>
        <v>91047645.359999999</v>
      </c>
      <c r="C8" s="19">
        <v>0</v>
      </c>
      <c r="D8" s="19">
        <f>+'POAI 2013'!D87</f>
        <v>1373100550.6400001</v>
      </c>
      <c r="E8" s="19">
        <v>0</v>
      </c>
      <c r="F8" s="19">
        <f>+'POAI 2013'!F87</f>
        <v>18720000</v>
      </c>
      <c r="G8" s="19">
        <v>0</v>
      </c>
      <c r="H8" s="19">
        <f>+'POAI 2013'!H87</f>
        <v>0</v>
      </c>
      <c r="I8" s="19">
        <f>+'POAI 2013'!I87</f>
        <v>6240000</v>
      </c>
      <c r="J8" s="19">
        <v>0</v>
      </c>
      <c r="K8" s="15">
        <f>SUM(B8:J8)</f>
        <v>1489108196</v>
      </c>
    </row>
    <row r="9" spans="1:11" ht="25.5">
      <c r="A9" s="28" t="s">
        <v>117</v>
      </c>
      <c r="B9" s="19">
        <f>+'POAI 2013'!B100</f>
        <v>0</v>
      </c>
      <c r="C9" s="19">
        <v>0</v>
      </c>
      <c r="D9" s="19">
        <f>+'POAI 2013'!D100</f>
        <v>239496250.24000001</v>
      </c>
      <c r="E9" s="19">
        <v>0</v>
      </c>
      <c r="F9" s="19">
        <f>+'POAI 2013'!F100</f>
        <v>21131904.560000002</v>
      </c>
      <c r="G9" s="19">
        <v>0</v>
      </c>
      <c r="H9" s="19">
        <f>+'POAI 2013'!H100</f>
        <v>0</v>
      </c>
      <c r="I9" s="19">
        <f>+'POAI 2013'!I100</f>
        <v>0</v>
      </c>
      <c r="J9" s="19">
        <v>0</v>
      </c>
      <c r="K9" s="15">
        <f>SUM(B9:J9)</f>
        <v>260628154.80000001</v>
      </c>
    </row>
    <row r="10" spans="1:11">
      <c r="A10" s="35" t="s">
        <v>8</v>
      </c>
      <c r="B10" s="34">
        <f>SUM(B6:B9)</f>
        <v>162042974.95999998</v>
      </c>
      <c r="C10" s="34">
        <f t="shared" ref="C10:K10" si="0">SUM(C6:C9)</f>
        <v>0</v>
      </c>
      <c r="D10" s="34">
        <f t="shared" si="0"/>
        <v>4613958413.5999994</v>
      </c>
      <c r="E10" s="34">
        <f t="shared" si="0"/>
        <v>0</v>
      </c>
      <c r="F10" s="34">
        <f t="shared" si="0"/>
        <v>243096317.36000001</v>
      </c>
      <c r="G10" s="34">
        <f t="shared" si="0"/>
        <v>0</v>
      </c>
      <c r="H10" s="34">
        <f t="shared" si="0"/>
        <v>300000000</v>
      </c>
      <c r="I10" s="34">
        <f t="shared" si="0"/>
        <v>2799948734.4000001</v>
      </c>
      <c r="J10" s="34">
        <f t="shared" si="0"/>
        <v>0</v>
      </c>
      <c r="K10" s="34">
        <f t="shared" si="0"/>
        <v>8119046440.3200006</v>
      </c>
    </row>
  </sheetData>
  <mergeCells count="2">
    <mergeCell ref="A1:K1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topLeftCell="A4" workbookViewId="0">
      <selection activeCell="K10" sqref="K10"/>
    </sheetView>
  </sheetViews>
  <sheetFormatPr baseColWidth="10" defaultRowHeight="14.25"/>
  <cols>
    <col min="1" max="1" width="34.5703125" style="2" customWidth="1"/>
    <col min="2" max="2" width="16.7109375" style="2" bestFit="1" customWidth="1"/>
    <col min="3" max="3" width="15.7109375" style="2" hidden="1" customWidth="1"/>
    <col min="4" max="4" width="18.8554687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85546875" style="2" bestFit="1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509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#REF!+#REF!+#REF!+#REF!+#REF!+#REF!+#REF!+#REF!+#REF!+#REF!+#REF!+#REF!+#REF!+#REF!</f>
        <v>#REF!</v>
      </c>
      <c r="D5" s="6" t="s">
        <v>1</v>
      </c>
      <c r="E5" s="6" t="e">
        <f>#REF!+#REF!+#REF!+#REF!+#REF!+#REF!+#REF!+#REF!+#REF!+#REF!+#REF!+#REF!+#REF!+#REF!</f>
        <v>#REF!</v>
      </c>
      <c r="F5" s="6" t="s">
        <v>3</v>
      </c>
      <c r="G5" s="6" t="e">
        <f>#REF!+#REF!+#REF!+#REF!+#REF!+#REF!+#REF!+#REF!+#REF!+#REF!+#REF!+#REF!+#REF!+#REF!</f>
        <v>#REF!</v>
      </c>
      <c r="H5" s="6" t="s">
        <v>4</v>
      </c>
      <c r="I5" s="6" t="s">
        <v>5</v>
      </c>
      <c r="J5" s="6" t="e">
        <f>#REF!+#REF!+#REF!+#REF!+#REF!+#REF!+#REF!+#REF!+#REF!+#REF!+#REF!+#REF!+#REF!+#REF!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19">
        <f>+'POAI 2014'!B39</f>
        <v>5225000</v>
      </c>
      <c r="C6" s="19">
        <v>0</v>
      </c>
      <c r="D6" s="19">
        <f>+'POAI 2014'!D39</f>
        <v>2714007633.0949998</v>
      </c>
      <c r="E6" s="19">
        <v>0</v>
      </c>
      <c r="F6" s="19">
        <f>+'POAI 2014'!F39</f>
        <v>195861549.39999998</v>
      </c>
      <c r="G6" s="19">
        <v>0</v>
      </c>
      <c r="H6" s="19">
        <f>+'POAI 2014'!H39</f>
        <v>0</v>
      </c>
      <c r="I6" s="19">
        <f>+'POAI 2014'!I39</f>
        <v>2806635218.6999998</v>
      </c>
      <c r="J6" s="19">
        <v>0</v>
      </c>
      <c r="K6" s="15">
        <f>SUM(B6:J6)</f>
        <v>5721729401.1949997</v>
      </c>
    </row>
    <row r="7" spans="1:11" ht="25.5">
      <c r="A7" s="29" t="s">
        <v>141</v>
      </c>
      <c r="B7" s="19">
        <f>+'POAI 2014'!B64</f>
        <v>66111653.299999997</v>
      </c>
      <c r="C7" s="19">
        <v>0</v>
      </c>
      <c r="D7" s="19">
        <f>+'POAI 2014'!D64</f>
        <v>300958047.71500003</v>
      </c>
      <c r="E7" s="19">
        <v>0</v>
      </c>
      <c r="F7" s="19">
        <f>+'POAI 2014'!F64</f>
        <v>8360000</v>
      </c>
      <c r="G7" s="19">
        <v>0</v>
      </c>
      <c r="H7" s="19">
        <f>+'POAI 2014'!H64</f>
        <v>300000000</v>
      </c>
      <c r="I7" s="19">
        <f>+'POAI 2014'!I64</f>
        <v>0</v>
      </c>
      <c r="J7" s="19">
        <v>0</v>
      </c>
      <c r="K7" s="15">
        <f>SUM(B7:J7)</f>
        <v>675429701.0150001</v>
      </c>
    </row>
    <row r="8" spans="1:11" ht="25.5">
      <c r="A8" s="28" t="s">
        <v>116</v>
      </c>
      <c r="B8" s="19">
        <f>+'POAI 2014'!B87</f>
        <v>91466143.655000001</v>
      </c>
      <c r="C8" s="19">
        <v>0</v>
      </c>
      <c r="D8" s="19">
        <f>+'POAI 2014'!D87</f>
        <v>1379701995.5949998</v>
      </c>
      <c r="E8" s="19">
        <v>0</v>
      </c>
      <c r="F8" s="19">
        <f>+'POAI 2014'!F87</f>
        <v>18810000</v>
      </c>
      <c r="G8" s="19">
        <v>0</v>
      </c>
      <c r="H8" s="19">
        <f>+'POAI 2014'!H87</f>
        <v>0</v>
      </c>
      <c r="I8" s="19">
        <f>+'POAI 2014'!I87</f>
        <v>6270000</v>
      </c>
      <c r="J8" s="19">
        <v>0</v>
      </c>
      <c r="K8" s="15">
        <f>SUM(B8:J8)</f>
        <v>1496248139.2499998</v>
      </c>
    </row>
    <row r="9" spans="1:11" ht="25.5">
      <c r="A9" s="28" t="s">
        <v>117</v>
      </c>
      <c r="B9" s="19">
        <f>+'POAI 2014'!B100</f>
        <v>0</v>
      </c>
      <c r="C9" s="19">
        <v>0</v>
      </c>
      <c r="D9" s="19">
        <f>+'POAI 2014'!D100</f>
        <v>240647674.51999998</v>
      </c>
      <c r="E9" s="19">
        <v>0</v>
      </c>
      <c r="F9" s="19">
        <f>+'POAI 2014'!F100</f>
        <v>21233500.254999999</v>
      </c>
      <c r="G9" s="19">
        <v>0</v>
      </c>
      <c r="H9" s="19">
        <f>+'POAI 2014'!H100</f>
        <v>0</v>
      </c>
      <c r="I9" s="19">
        <f>+'POAI 2014'!I100</f>
        <v>0</v>
      </c>
      <c r="J9" s="19">
        <v>0</v>
      </c>
      <c r="K9" s="15">
        <f>SUM(B9:J9)</f>
        <v>261881174.77499998</v>
      </c>
    </row>
    <row r="10" spans="1:11">
      <c r="A10" s="35" t="s">
        <v>8</v>
      </c>
      <c r="B10" s="34">
        <f>SUM(B6:B9)</f>
        <v>162802796.95499998</v>
      </c>
      <c r="C10" s="34">
        <f t="shared" ref="C10:K10" si="0">SUM(C6:C9)</f>
        <v>0</v>
      </c>
      <c r="D10" s="34">
        <f t="shared" si="0"/>
        <v>4635315350.9249992</v>
      </c>
      <c r="E10" s="34">
        <f t="shared" si="0"/>
        <v>0</v>
      </c>
      <c r="F10" s="34">
        <f t="shared" si="0"/>
        <v>244265049.65499997</v>
      </c>
      <c r="G10" s="34">
        <f t="shared" si="0"/>
        <v>0</v>
      </c>
      <c r="H10" s="34">
        <f t="shared" si="0"/>
        <v>300000000</v>
      </c>
      <c r="I10" s="34">
        <f t="shared" si="0"/>
        <v>2812905218.6999998</v>
      </c>
      <c r="J10" s="34">
        <f t="shared" si="0"/>
        <v>0</v>
      </c>
      <c r="K10" s="34">
        <f t="shared" si="0"/>
        <v>8155288416.2349997</v>
      </c>
    </row>
  </sheetData>
  <mergeCells count="2">
    <mergeCell ref="A1:K1"/>
    <mergeCell ref="A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I10" sqref="I10"/>
    </sheetView>
  </sheetViews>
  <sheetFormatPr baseColWidth="10" defaultRowHeight="14.25"/>
  <cols>
    <col min="1" max="1" width="30.140625" style="2" customWidth="1"/>
    <col min="2" max="2" width="15.42578125" style="2" customWidth="1"/>
    <col min="3" max="3" width="15.7109375" style="2" hidden="1" customWidth="1"/>
    <col min="4" max="4" width="18.42578125" style="2" customWidth="1"/>
    <col min="5" max="5" width="16.140625" style="2" hidden="1" customWidth="1"/>
    <col min="6" max="6" width="16.5703125" style="2" customWidth="1"/>
    <col min="7" max="7" width="15.140625" style="2" hidden="1" customWidth="1"/>
    <col min="8" max="8" width="16.42578125" style="2" customWidth="1"/>
    <col min="9" max="9" width="17.85546875" style="2" bestFit="1" customWidth="1"/>
    <col min="10" max="10" width="15.140625" style="2" hidden="1" customWidth="1"/>
    <col min="11" max="11" width="18.42578125" style="2" customWidth="1"/>
    <col min="12" max="12" width="3.7109375" style="1" customWidth="1"/>
    <col min="13" max="13" width="11.5703125" style="1" customWidth="1"/>
    <col min="14" max="14" width="40.28515625" style="1" customWidth="1"/>
    <col min="15" max="15" width="15.28515625" style="1" customWidth="1"/>
    <col min="16" max="16384" width="11.42578125" style="1"/>
  </cols>
  <sheetData>
    <row r="1" spans="1:11" ht="1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15" customHeight="1">
      <c r="A3" s="65" t="s">
        <v>510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7">
      <c r="A5" s="5" t="s">
        <v>115</v>
      </c>
      <c r="B5" s="6" t="s">
        <v>2</v>
      </c>
      <c r="C5" s="6" t="e">
        <f>#REF!+#REF!+#REF!+#REF!+#REF!+#REF!+#REF!+#REF!+#REF!+#REF!+#REF!+#REF!+#REF!+#REF!</f>
        <v>#REF!</v>
      </c>
      <c r="D5" s="6" t="s">
        <v>1</v>
      </c>
      <c r="E5" s="6" t="e">
        <f>#REF!+#REF!+#REF!+#REF!+#REF!+#REF!+#REF!+#REF!+#REF!+#REF!+#REF!+#REF!+#REF!+#REF!</f>
        <v>#REF!</v>
      </c>
      <c r="F5" s="6" t="s">
        <v>3</v>
      </c>
      <c r="G5" s="6" t="e">
        <f>#REF!+#REF!+#REF!+#REF!+#REF!+#REF!+#REF!+#REF!+#REF!+#REF!+#REF!+#REF!+#REF!+#REF!</f>
        <v>#REF!</v>
      </c>
      <c r="H5" s="6" t="s">
        <v>4</v>
      </c>
      <c r="I5" s="6" t="s">
        <v>5</v>
      </c>
      <c r="J5" s="6" t="e">
        <f>#REF!+#REF!+#REF!+#REF!+#REF!+#REF!+#REF!+#REF!+#REF!+#REF!+#REF!+#REF!+#REF!+#REF!</f>
        <v>#REF!</v>
      </c>
      <c r="K5" s="7" t="s">
        <v>0</v>
      </c>
    </row>
    <row r="6" spans="1:11" ht="28.5" customHeight="1">
      <c r="A6" s="28" t="s">
        <v>114</v>
      </c>
      <c r="B6" s="19">
        <f>+'POAI 2015'!B39</f>
        <v>5250000</v>
      </c>
      <c r="C6" s="19">
        <v>0</v>
      </c>
      <c r="D6" s="19">
        <f>+'POAI 2015'!D39</f>
        <v>2726993315.5500002</v>
      </c>
      <c r="E6" s="19">
        <v>0</v>
      </c>
      <c r="F6" s="19">
        <f>+'POAI 2015'!F39</f>
        <v>196798686</v>
      </c>
      <c r="G6" s="19">
        <v>0</v>
      </c>
      <c r="H6" s="19">
        <f>+'POAI 2015'!H39</f>
        <v>0</v>
      </c>
      <c r="I6" s="19">
        <f>+'POAI 2015'!I39</f>
        <v>2819561703</v>
      </c>
      <c r="J6" s="19">
        <v>0</v>
      </c>
      <c r="K6" s="15">
        <f>SUM(B6:J6)</f>
        <v>5748603704.5500002</v>
      </c>
    </row>
    <row r="7" spans="1:11" ht="25.5">
      <c r="A7" s="29" t="s">
        <v>141</v>
      </c>
      <c r="B7" s="19">
        <f>+'POAI 2015'!B64</f>
        <v>66427977</v>
      </c>
      <c r="C7" s="19">
        <v>0</v>
      </c>
      <c r="D7" s="19">
        <f>+'POAI 2015'!D64</f>
        <v>301576433.35000002</v>
      </c>
      <c r="E7" s="19">
        <v>0</v>
      </c>
      <c r="F7" s="19">
        <f>+'POAI 2015'!F64</f>
        <v>8400000</v>
      </c>
      <c r="G7" s="19">
        <v>0</v>
      </c>
      <c r="H7" s="19">
        <f>+'POAI 2015'!H64</f>
        <v>300000000</v>
      </c>
      <c r="I7" s="19">
        <f>+'POAI 2015'!I64</f>
        <v>0</v>
      </c>
      <c r="J7" s="19">
        <v>0</v>
      </c>
      <c r="K7" s="15">
        <f>SUM(B7:J7)</f>
        <v>676404410.35000002</v>
      </c>
    </row>
    <row r="8" spans="1:11" ht="25.5">
      <c r="A8" s="28" t="s">
        <v>116</v>
      </c>
      <c r="B8" s="19">
        <f>+'POAI 2015'!B87</f>
        <v>91884641.950000003</v>
      </c>
      <c r="C8" s="19">
        <v>0</v>
      </c>
      <c r="D8" s="19">
        <f>+'POAI 2015'!D87</f>
        <v>1386303440.5500002</v>
      </c>
      <c r="E8" s="19">
        <v>0</v>
      </c>
      <c r="F8" s="19">
        <f>+'POAI 2015'!F87</f>
        <v>18900000</v>
      </c>
      <c r="G8" s="19">
        <v>0</v>
      </c>
      <c r="H8" s="19">
        <f>+'POAI 2015'!H87</f>
        <v>0</v>
      </c>
      <c r="I8" s="19">
        <f>+'POAI 2015'!I87</f>
        <v>6300000</v>
      </c>
      <c r="J8" s="19">
        <v>0</v>
      </c>
      <c r="K8" s="15">
        <f>SUM(B8:J8)</f>
        <v>1503388082.5000002</v>
      </c>
    </row>
    <row r="9" spans="1:11" ht="25.5">
      <c r="A9" s="28" t="s">
        <v>117</v>
      </c>
      <c r="B9" s="19">
        <f>+'POAI 2015'!B100</f>
        <v>0</v>
      </c>
      <c r="C9" s="19">
        <v>0</v>
      </c>
      <c r="D9" s="19">
        <f>+'POAI 2015'!D100</f>
        <v>241799098.80000001</v>
      </c>
      <c r="E9" s="19">
        <v>0</v>
      </c>
      <c r="F9" s="19">
        <f>+'POAI 2015'!F100</f>
        <v>21335095.949999999</v>
      </c>
      <c r="G9" s="19">
        <v>0</v>
      </c>
      <c r="H9" s="19">
        <f>+'POAI 2015'!H100</f>
        <v>0</v>
      </c>
      <c r="I9" s="19">
        <f>+'POAI 2015'!I100</f>
        <v>0</v>
      </c>
      <c r="J9" s="19">
        <v>0</v>
      </c>
      <c r="K9" s="15">
        <f>SUM(B9:J9)</f>
        <v>263134194.75</v>
      </c>
    </row>
    <row r="10" spans="1:11">
      <c r="A10" s="35" t="s">
        <v>8</v>
      </c>
      <c r="B10" s="34">
        <f>SUM(B6:B9)</f>
        <v>163562618.94999999</v>
      </c>
      <c r="C10" s="34">
        <f t="shared" ref="C10:K10" si="0">SUM(C6:C9)</f>
        <v>0</v>
      </c>
      <c r="D10" s="34">
        <f t="shared" si="0"/>
        <v>4656672288.250001</v>
      </c>
      <c r="E10" s="34">
        <f t="shared" si="0"/>
        <v>0</v>
      </c>
      <c r="F10" s="34">
        <f t="shared" si="0"/>
        <v>245433781.94999999</v>
      </c>
      <c r="G10" s="34">
        <f t="shared" si="0"/>
        <v>0</v>
      </c>
      <c r="H10" s="34">
        <f t="shared" si="0"/>
        <v>300000000</v>
      </c>
      <c r="I10" s="34">
        <f t="shared" si="0"/>
        <v>2825861703</v>
      </c>
      <c r="J10" s="34">
        <f t="shared" si="0"/>
        <v>0</v>
      </c>
      <c r="K10" s="34">
        <f t="shared" si="0"/>
        <v>8191530392.1500006</v>
      </c>
    </row>
  </sheetData>
  <mergeCells count="2">
    <mergeCell ref="A1:K1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POAI 2012</vt:lpstr>
      <vt:lpstr>POAI 2013</vt:lpstr>
      <vt:lpstr>POAI 2014</vt:lpstr>
      <vt:lpstr>POAI 2015</vt:lpstr>
      <vt:lpstr>PPTO</vt:lpstr>
      <vt:lpstr>2012</vt:lpstr>
      <vt:lpstr>2013</vt:lpstr>
      <vt:lpstr>2014</vt:lpstr>
      <vt:lpstr>2015</vt:lpstr>
      <vt:lpstr>TOTAL 2012 - 2015</vt:lpstr>
      <vt:lpstr>PPTO GASTOS</vt:lpstr>
      <vt:lpstr>PPTO RENTAS</vt:lpstr>
      <vt:lpstr>PLAN FCIERO</vt:lpstr>
    </vt:vector>
  </TitlesOfParts>
  <Company>gobernacion del risaralda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</dc:creator>
  <cp:lastModifiedBy> </cp:lastModifiedBy>
  <cp:lastPrinted>2012-06-26T22:41:45Z</cp:lastPrinted>
  <dcterms:created xsi:type="dcterms:W3CDTF">2012-01-26T21:45:33Z</dcterms:created>
  <dcterms:modified xsi:type="dcterms:W3CDTF">2012-06-26T22:43:16Z</dcterms:modified>
</cp:coreProperties>
</file>