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35" windowWidth="9420" windowHeight="4500" tabRatio="538"/>
  </bookViews>
  <sheets>
    <sheet name="CULTURAL" sheetId="1" r:id="rId1"/>
    <sheet name="ECONOMICO" sheetId="5" r:id="rId2"/>
    <sheet name="AMBIENTAL" sheetId="6" r:id="rId3"/>
    <sheet name="INSTITUCIONAL" sheetId="7" r:id="rId4"/>
    <sheet name="SALUD" sheetId="8" r:id="rId5"/>
    <sheet name="VARIOS" sheetId="9" state="hidden" r:id="rId6"/>
    <sheet name="gastos" sheetId="13" state="hidden" r:id="rId7"/>
  </sheets>
  <definedNames>
    <definedName name="_xlnm.Print_Area" localSheetId="2">AMBIENTAL!$A$1:$U$59</definedName>
    <definedName name="_xlnm.Print_Area" localSheetId="0">CULTURAL!$A$1:$U$108</definedName>
    <definedName name="_xlnm.Print_Area" localSheetId="1">ECONOMICO!$A$1:$T$62</definedName>
    <definedName name="_xlnm.Print_Area" localSheetId="6">gastos!$A$1:$O$484</definedName>
    <definedName name="_xlnm.Print_Area" localSheetId="3">INSTITUCIONAL!$A$1:$T$42</definedName>
    <definedName name="_xlnm.Print_Area" localSheetId="4">SALUD!$A$1:$R$31</definedName>
    <definedName name="Excel_BuiltIn_Print_Area_3">#REF!</definedName>
    <definedName name="Excel_BuiltIn_Print_Titles_3">#REF!</definedName>
    <definedName name="_xlnm.Print_Titles" localSheetId="2">AMBIENTAL!$3:$7</definedName>
    <definedName name="_xlnm.Print_Titles" localSheetId="0">CULTURAL!$3:$7</definedName>
    <definedName name="_xlnm.Print_Titles" localSheetId="1">ECONOMICO!$3:$7</definedName>
    <definedName name="_xlnm.Print_Titles" localSheetId="6">gastos!$1:$1</definedName>
    <definedName name="_xlnm.Print_Titles" localSheetId="3">INSTITUCIONAL!$3:$7</definedName>
    <definedName name="_xlnm.Print_Titles" localSheetId="4">SALUD!$5:$7</definedName>
  </definedNames>
  <calcPr calcId="124519" concurrentCalc="0"/>
</workbook>
</file>

<file path=xl/calcChain.xml><?xml version="1.0" encoding="utf-8"?>
<calcChain xmlns="http://schemas.openxmlformats.org/spreadsheetml/2006/main">
  <c r="U12" i="1"/>
  <c r="U18"/>
  <c r="U26"/>
  <c r="U37"/>
  <c r="U44"/>
  <c r="U53"/>
  <c r="U64"/>
  <c r="U73"/>
  <c r="U74" s="1"/>
  <c r="U77"/>
  <c r="U78" s="1"/>
  <c r="U97"/>
  <c r="U87"/>
  <c r="U88" s="1"/>
  <c r="U91"/>
  <c r="O8"/>
  <c r="U8"/>
  <c r="G337" i="9"/>
  <c r="U37" i="6" s="1"/>
  <c r="H337" i="9"/>
  <c r="H336"/>
  <c r="G336"/>
  <c r="N37" i="6"/>
  <c r="C447" i="13"/>
  <c r="E337" i="9" s="1"/>
  <c r="D337"/>
  <c r="C337"/>
  <c r="E336"/>
  <c r="D336"/>
  <c r="C336"/>
  <c r="U27" i="1" l="1"/>
  <c r="U45"/>
  <c r="U65"/>
  <c r="U98"/>
  <c r="T77"/>
  <c r="S77"/>
  <c r="P77"/>
  <c r="O42" i="6"/>
  <c r="O86" i="1"/>
  <c r="O85"/>
  <c r="O84"/>
  <c r="O81"/>
  <c r="O72"/>
  <c r="O71"/>
  <c r="O70"/>
  <c r="O69"/>
  <c r="O67"/>
  <c r="O66"/>
  <c r="O63"/>
  <c r="O61"/>
  <c r="O60"/>
  <c r="O59"/>
  <c r="O58"/>
  <c r="O57"/>
  <c r="O56"/>
  <c r="O55"/>
  <c r="O54"/>
  <c r="O17"/>
  <c r="O16"/>
  <c r="O15"/>
  <c r="O24"/>
  <c r="O23"/>
  <c r="O19"/>
  <c r="O36"/>
  <c r="O35"/>
  <c r="O34"/>
  <c r="O33"/>
  <c r="O31"/>
  <c r="O29"/>
  <c r="O28"/>
  <c r="O43"/>
  <c r="O41"/>
  <c r="O39"/>
  <c r="O52"/>
  <c r="O51"/>
  <c r="O50"/>
  <c r="O49"/>
  <c r="O47"/>
  <c r="R18"/>
  <c r="D333" i="9"/>
  <c r="C333"/>
  <c r="D332"/>
  <c r="C332"/>
  <c r="N23" i="6" s="1"/>
  <c r="D293" i="9"/>
  <c r="C293"/>
  <c r="N13" i="5" s="1"/>
  <c r="D331" i="9"/>
  <c r="C331"/>
  <c r="D330"/>
  <c r="C330"/>
  <c r="D213"/>
  <c r="C213"/>
  <c r="D329"/>
  <c r="D328"/>
  <c r="D327"/>
  <c r="D326"/>
  <c r="C329"/>
  <c r="C328"/>
  <c r="C327"/>
  <c r="C326"/>
  <c r="D325"/>
  <c r="C325"/>
  <c r="D324"/>
  <c r="C324"/>
  <c r="N24" i="5" s="1"/>
  <c r="D292" i="9"/>
  <c r="C292"/>
  <c r="D323"/>
  <c r="C323"/>
  <c r="N27" i="5" s="1"/>
  <c r="D322" i="9"/>
  <c r="D321"/>
  <c r="C322"/>
  <c r="C321"/>
  <c r="N25" i="7" s="1"/>
  <c r="D320" i="9"/>
  <c r="D319"/>
  <c r="C320"/>
  <c r="C319"/>
  <c r="D318"/>
  <c r="C318"/>
  <c r="D317"/>
  <c r="C317"/>
  <c r="D315"/>
  <c r="D316"/>
  <c r="C316"/>
  <c r="N9" i="7" s="1"/>
  <c r="C315" i="9"/>
  <c r="D314"/>
  <c r="C314"/>
  <c r="D237"/>
  <c r="C237"/>
  <c r="D236"/>
  <c r="C236"/>
  <c r="D235"/>
  <c r="C235"/>
  <c r="D234"/>
  <c r="C234"/>
  <c r="D309"/>
  <c r="D308"/>
  <c r="D307"/>
  <c r="D306"/>
  <c r="D305"/>
  <c r="D304"/>
  <c r="D303"/>
  <c r="D302"/>
  <c r="D301"/>
  <c r="C309"/>
  <c r="N12" i="7" s="1"/>
  <c r="C308" i="9"/>
  <c r="N17" i="7" s="1"/>
  <c r="C307" i="9"/>
  <c r="C306"/>
  <c r="C305"/>
  <c r="C304"/>
  <c r="C303"/>
  <c r="C302"/>
  <c r="C301"/>
  <c r="D233"/>
  <c r="D232"/>
  <c r="C233"/>
  <c r="C232"/>
  <c r="D299"/>
  <c r="D300"/>
  <c r="C300"/>
  <c r="C299"/>
  <c r="D298"/>
  <c r="C298"/>
  <c r="N10" i="7" s="1"/>
  <c r="D291" i="9"/>
  <c r="C291"/>
  <c r="D290"/>
  <c r="C290"/>
  <c r="D287"/>
  <c r="D288"/>
  <c r="D289"/>
  <c r="C287"/>
  <c r="C288"/>
  <c r="N40" i="6" s="1"/>
  <c r="C289" i="9"/>
  <c r="N39" i="6" s="1"/>
  <c r="D259" i="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C286"/>
  <c r="N14" i="6" s="1"/>
  <c r="C285" i="9"/>
  <c r="C284"/>
  <c r="C283"/>
  <c r="C282"/>
  <c r="C281"/>
  <c r="C280"/>
  <c r="C279"/>
  <c r="C278"/>
  <c r="C277"/>
  <c r="C276"/>
  <c r="C275"/>
  <c r="C274"/>
  <c r="C273"/>
  <c r="N15" i="6" s="1"/>
  <c r="C272" i="9"/>
  <c r="C271"/>
  <c r="C270"/>
  <c r="C269"/>
  <c r="C268"/>
  <c r="C267"/>
  <c r="C266"/>
  <c r="C265"/>
  <c r="C264"/>
  <c r="C263"/>
  <c r="C262"/>
  <c r="C261"/>
  <c r="C260"/>
  <c r="C259"/>
  <c r="D258"/>
  <c r="D257"/>
  <c r="D256"/>
  <c r="D255"/>
  <c r="D254"/>
  <c r="C258"/>
  <c r="C257"/>
  <c r="C256"/>
  <c r="N32" i="6" s="1"/>
  <c r="C255" i="9"/>
  <c r="N30" i="6" s="1"/>
  <c r="C254" i="9"/>
  <c r="D247"/>
  <c r="D248"/>
  <c r="D249"/>
  <c r="D250"/>
  <c r="D251"/>
  <c r="D252"/>
  <c r="D253"/>
  <c r="C253"/>
  <c r="C252"/>
  <c r="C251"/>
  <c r="C250"/>
  <c r="C249"/>
  <c r="C248"/>
  <c r="C247"/>
  <c r="D245"/>
  <c r="D246"/>
  <c r="C246"/>
  <c r="N33" i="6" s="1"/>
  <c r="C245" i="9"/>
  <c r="N11" i="6" s="1"/>
  <c r="D223" i="9"/>
  <c r="D224"/>
  <c r="D225"/>
  <c r="D226"/>
  <c r="D227"/>
  <c r="C224"/>
  <c r="C225"/>
  <c r="C226"/>
  <c r="C227"/>
  <c r="C223"/>
  <c r="D221"/>
  <c r="D222"/>
  <c r="C222"/>
  <c r="C221"/>
  <c r="N16" i="5" s="1"/>
  <c r="D220" i="9"/>
  <c r="D219"/>
  <c r="D218"/>
  <c r="C220"/>
  <c r="C219"/>
  <c r="N26" i="5" s="1"/>
  <c r="C218" i="9"/>
  <c r="D212"/>
  <c r="C212"/>
  <c r="D210"/>
  <c r="C210"/>
  <c r="D209"/>
  <c r="D208"/>
  <c r="D207"/>
  <c r="D206"/>
  <c r="D205"/>
  <c r="D204"/>
  <c r="D203"/>
  <c r="D202"/>
  <c r="C209"/>
  <c r="C208"/>
  <c r="C207"/>
  <c r="C206"/>
  <c r="C205"/>
  <c r="C204"/>
  <c r="C203"/>
  <c r="C202"/>
  <c r="C201"/>
  <c r="N19" i="5" s="1"/>
  <c r="D201" i="9"/>
  <c r="D200"/>
  <c r="C200"/>
  <c r="D196"/>
  <c r="C196"/>
  <c r="N36" i="5" s="1"/>
  <c r="D195" i="9"/>
  <c r="C195"/>
  <c r="D194"/>
  <c r="C194"/>
  <c r="D193"/>
  <c r="C193"/>
  <c r="D192"/>
  <c r="C192"/>
  <c r="D191"/>
  <c r="C191"/>
  <c r="N35" i="5" s="1"/>
  <c r="D190" i="9"/>
  <c r="C190"/>
  <c r="N43" i="5" s="1"/>
  <c r="D186" i="9"/>
  <c r="C186"/>
  <c r="N48" i="5" s="1"/>
  <c r="D180" i="9"/>
  <c r="C180"/>
  <c r="D179"/>
  <c r="C179"/>
  <c r="D172"/>
  <c r="D173"/>
  <c r="D174"/>
  <c r="D175"/>
  <c r="D176"/>
  <c r="D177"/>
  <c r="D178"/>
  <c r="C174"/>
  <c r="C175"/>
  <c r="C176"/>
  <c r="C177"/>
  <c r="C178"/>
  <c r="C173"/>
  <c r="C172"/>
  <c r="N9" i="5" s="1"/>
  <c r="C20" i="9"/>
  <c r="D20"/>
  <c r="E20"/>
  <c r="P8" i="1" s="1"/>
  <c r="C164" i="9"/>
  <c r="D164"/>
  <c r="C165"/>
  <c r="D165"/>
  <c r="C166"/>
  <c r="D166"/>
  <c r="D163"/>
  <c r="C163"/>
  <c r="C159"/>
  <c r="D159"/>
  <c r="D158"/>
  <c r="C158"/>
  <c r="C153"/>
  <c r="D15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D135"/>
  <c r="D136"/>
  <c r="D137"/>
  <c r="D138"/>
  <c r="D139"/>
  <c r="D140"/>
  <c r="D141"/>
  <c r="D142"/>
  <c r="D143"/>
  <c r="C136"/>
  <c r="C137"/>
  <c r="C138"/>
  <c r="C139"/>
  <c r="C140"/>
  <c r="C141"/>
  <c r="C142"/>
  <c r="C143"/>
  <c r="C135"/>
  <c r="D129"/>
  <c r="D125"/>
  <c r="D121"/>
  <c r="D117"/>
  <c r="D111"/>
  <c r="D112"/>
  <c r="D106"/>
  <c r="D101"/>
  <c r="D96"/>
  <c r="C125"/>
  <c r="C112"/>
  <c r="C129"/>
  <c r="C121"/>
  <c r="C106"/>
  <c r="C117"/>
  <c r="N89" i="1" s="1"/>
  <c r="C111" i="9"/>
  <c r="N80" i="1" s="1"/>
  <c r="C101" i="9"/>
  <c r="C96"/>
  <c r="D91"/>
  <c r="C91"/>
  <c r="N75" i="1" s="1"/>
  <c r="C84" i="9"/>
  <c r="D84"/>
  <c r="C85"/>
  <c r="D85"/>
  <c r="C86"/>
  <c r="D86"/>
  <c r="D83"/>
  <c r="C83"/>
  <c r="D75"/>
  <c r="D76"/>
  <c r="C76"/>
  <c r="C75"/>
  <c r="D78"/>
  <c r="C78"/>
  <c r="D77"/>
  <c r="C77"/>
  <c r="D72"/>
  <c r="D73"/>
  <c r="D74"/>
  <c r="C74"/>
  <c r="C73"/>
  <c r="N46" i="1" s="1"/>
  <c r="C72" i="9"/>
  <c r="D65"/>
  <c r="D66"/>
  <c r="D67"/>
  <c r="D68"/>
  <c r="D69"/>
  <c r="D70"/>
  <c r="D71"/>
  <c r="C71"/>
  <c r="C67"/>
  <c r="C68"/>
  <c r="C69"/>
  <c r="C70"/>
  <c r="N48" i="1" s="1"/>
  <c r="C66" i="9"/>
  <c r="C65"/>
  <c r="N62" i="1" s="1"/>
  <c r="D60" i="9"/>
  <c r="D61"/>
  <c r="C61"/>
  <c r="C60"/>
  <c r="D55"/>
  <c r="D56"/>
  <c r="D57"/>
  <c r="D58"/>
  <c r="D59"/>
  <c r="C57"/>
  <c r="C58"/>
  <c r="C59"/>
  <c r="C56"/>
  <c r="C55"/>
  <c r="D50"/>
  <c r="C50"/>
  <c r="D54"/>
  <c r="D53"/>
  <c r="D52"/>
  <c r="D51"/>
  <c r="C54"/>
  <c r="C53"/>
  <c r="N30" i="1" s="1"/>
  <c r="C52" i="9"/>
  <c r="C51"/>
  <c r="D42"/>
  <c r="D43"/>
  <c r="D44"/>
  <c r="D45"/>
  <c r="D46"/>
  <c r="D47"/>
  <c r="D48"/>
  <c r="D49"/>
  <c r="C43"/>
  <c r="C44"/>
  <c r="C45"/>
  <c r="C46"/>
  <c r="C47"/>
  <c r="C48"/>
  <c r="C49"/>
  <c r="N32" i="1" s="1"/>
  <c r="C42" i="9"/>
  <c r="D41"/>
  <c r="C41"/>
  <c r="N38" i="1" s="1"/>
  <c r="D36" i="9"/>
  <c r="D37"/>
  <c r="C37"/>
  <c r="C36"/>
  <c r="D35"/>
  <c r="D34"/>
  <c r="C35"/>
  <c r="C34"/>
  <c r="D33"/>
  <c r="C33"/>
  <c r="D32"/>
  <c r="C32"/>
  <c r="N21" i="1" s="1"/>
  <c r="D31" i="9"/>
  <c r="C31"/>
  <c r="D30"/>
  <c r="C30"/>
  <c r="D29"/>
  <c r="C29"/>
  <c r="D28"/>
  <c r="C28"/>
  <c r="N22" i="1" s="1"/>
  <c r="D27" i="9"/>
  <c r="C27"/>
  <c r="D26"/>
  <c r="C26"/>
  <c r="D25"/>
  <c r="C25"/>
  <c r="D24"/>
  <c r="C24"/>
  <c r="D23"/>
  <c r="C23"/>
  <c r="D22"/>
  <c r="C22"/>
  <c r="D21"/>
  <c r="C21"/>
  <c r="C478" i="13"/>
  <c r="C477"/>
  <c r="C476"/>
  <c r="C474"/>
  <c r="C473"/>
  <c r="C472"/>
  <c r="E61" i="9" s="1"/>
  <c r="C471" i="13"/>
  <c r="E78" i="9" s="1"/>
  <c r="C469" i="13"/>
  <c r="E291" i="9" s="1"/>
  <c r="C468" i="13"/>
  <c r="E37" i="9" s="1"/>
  <c r="C467" i="13"/>
  <c r="E36" i="9" s="1"/>
  <c r="C464" i="13"/>
  <c r="C462"/>
  <c r="E333" i="9" s="1"/>
  <c r="C461" i="13"/>
  <c r="E332" i="9" s="1"/>
  <c r="C459" i="13"/>
  <c r="C458"/>
  <c r="C457"/>
  <c r="E60" i="9" s="1"/>
  <c r="C456" i="13"/>
  <c r="E77" i="9" s="1"/>
  <c r="C454" i="13"/>
  <c r="E293" i="9" s="1"/>
  <c r="R13" i="5" s="1"/>
  <c r="C453" i="13"/>
  <c r="E35" i="9" s="1"/>
  <c r="C452" i="13"/>
  <c r="E34" i="9" s="1"/>
  <c r="C449" i="13"/>
  <c r="E331" i="9" s="1"/>
  <c r="C446" i="13"/>
  <c r="E290" i="9" s="1"/>
  <c r="C445" i="13"/>
  <c r="E330" i="9" s="1"/>
  <c r="R16" i="5" s="1"/>
  <c r="C444" i="13"/>
  <c r="E76" i="9" s="1"/>
  <c r="C443" i="13"/>
  <c r="C442"/>
  <c r="E75" i="9" s="1"/>
  <c r="C441" i="13"/>
  <c r="E59" i="9" s="1"/>
  <c r="C440" i="13"/>
  <c r="C439"/>
  <c r="C438"/>
  <c r="E58" i="9" s="1"/>
  <c r="C437" i="13"/>
  <c r="E57" i="9" s="1"/>
  <c r="C436" i="13"/>
  <c r="E56" i="9" s="1"/>
  <c r="P37" i="1" s="1"/>
  <c r="C433" i="13"/>
  <c r="E213" i="9" s="1"/>
  <c r="C432" i="13"/>
  <c r="E180" i="9" s="1"/>
  <c r="C431" i="13"/>
  <c r="C429"/>
  <c r="E329" i="9" s="1"/>
  <c r="C428" i="13"/>
  <c r="E328" i="9" s="1"/>
  <c r="C427" i="13"/>
  <c r="E212" i="9" s="1"/>
  <c r="S23" i="5" s="1"/>
  <c r="C426" i="13"/>
  <c r="E326" i="9" s="1"/>
  <c r="R9" i="5" s="1"/>
  <c r="C423" i="13"/>
  <c r="E325" i="9" s="1"/>
  <c r="R83" i="1" s="1"/>
  <c r="C422" i="13"/>
  <c r="E324" i="9" s="1"/>
  <c r="C421" i="13"/>
  <c r="C420"/>
  <c r="E55" i="9" s="1"/>
  <c r="C419" i="13"/>
  <c r="E74" i="9" s="1"/>
  <c r="C417" i="13"/>
  <c r="E292" i="9" s="1"/>
  <c r="R39" i="6" s="1"/>
  <c r="R43" s="1"/>
  <c r="C416" i="13"/>
  <c r="E33" i="9" s="1"/>
  <c r="C415" i="13"/>
  <c r="E32" i="9" s="1"/>
  <c r="R21" i="1" s="1"/>
  <c r="O21" s="1"/>
  <c r="C412" i="13"/>
  <c r="C409"/>
  <c r="E323" i="9" s="1"/>
  <c r="C408" i="13"/>
  <c r="C405"/>
  <c r="C403"/>
  <c r="C402"/>
  <c r="C399"/>
  <c r="C397"/>
  <c r="C392"/>
  <c r="C391"/>
  <c r="E73" i="9" s="1"/>
  <c r="C390" i="13"/>
  <c r="E72" i="9" s="1"/>
  <c r="R48" i="1" s="1"/>
  <c r="C388" i="13"/>
  <c r="E322" i="9" s="1"/>
  <c r="C387" i="13"/>
  <c r="E321" i="9" s="1"/>
  <c r="C385" i="13"/>
  <c r="E54" i="9" s="1"/>
  <c r="C384" i="13"/>
  <c r="C383"/>
  <c r="C382"/>
  <c r="E53" i="9" s="1"/>
  <c r="R30" i="1" s="1"/>
  <c r="O30" s="1"/>
  <c r="C381" i="13"/>
  <c r="E52" i="9" s="1"/>
  <c r="R42" i="1" s="1"/>
  <c r="O42" s="1"/>
  <c r="C380" i="13"/>
  <c r="E51" i="9" s="1"/>
  <c r="R38" i="1" s="1"/>
  <c r="C377" i="13"/>
  <c r="C376"/>
  <c r="E210" i="9" s="1"/>
  <c r="C375" i="13"/>
  <c r="C374"/>
  <c r="C373"/>
  <c r="E179" i="9" s="1"/>
  <c r="C372" i="13"/>
  <c r="C371"/>
  <c r="C370"/>
  <c r="E166" i="9" s="1"/>
  <c r="P22" i="8" s="1"/>
  <c r="C369" i="13"/>
  <c r="E165" i="9" s="1"/>
  <c r="O22" i="8" s="1"/>
  <c r="C368" i="13"/>
  <c r="E164" i="9" s="1"/>
  <c r="C367" i="13"/>
  <c r="E163" i="9" s="1"/>
  <c r="Q22" i="8" s="1"/>
  <c r="C365" i="13"/>
  <c r="E159" i="9" s="1"/>
  <c r="O10" i="8" s="1"/>
  <c r="C363" i="13"/>
  <c r="E158" i="9" s="1"/>
  <c r="C361" i="13"/>
  <c r="C360"/>
  <c r="C359"/>
  <c r="E153" i="9" s="1"/>
  <c r="C358" i="13"/>
  <c r="E152" i="9" s="1"/>
  <c r="C357" i="13"/>
  <c r="E151" i="9" s="1"/>
  <c r="C356" i="13"/>
  <c r="E150" i="9" s="1"/>
  <c r="C355" i="13"/>
  <c r="E149" i="9" s="1"/>
  <c r="C353" i="13"/>
  <c r="E148" i="9" s="1"/>
  <c r="C352" i="13"/>
  <c r="E147" i="9" s="1"/>
  <c r="C351" i="13"/>
  <c r="E146" i="9" s="1"/>
  <c r="C350" i="13"/>
  <c r="E145" i="9" s="1"/>
  <c r="C349" i="13"/>
  <c r="E144" i="9" s="1"/>
  <c r="C348" i="13"/>
  <c r="E143" i="9" s="1"/>
  <c r="C347" i="13"/>
  <c r="E142" i="9" s="1"/>
  <c r="C346" i="13"/>
  <c r="E141" i="9" s="1"/>
  <c r="C345" i="13"/>
  <c r="E140" i="9" s="1"/>
  <c r="C342" i="13"/>
  <c r="E139" i="9" s="1"/>
  <c r="R8" i="8" s="1"/>
  <c r="C341" i="13"/>
  <c r="E138" i="9" s="1"/>
  <c r="C340" i="13"/>
  <c r="E137" i="9" s="1"/>
  <c r="C339" i="13"/>
  <c r="E136" i="9" s="1"/>
  <c r="C338" i="13"/>
  <c r="E135" i="9" s="1"/>
  <c r="C333" i="13"/>
  <c r="C330"/>
  <c r="E289" i="9" s="1"/>
  <c r="Q39" i="6" s="1"/>
  <c r="O39" s="1"/>
  <c r="C329" i="13"/>
  <c r="E288" i="9" s="1"/>
  <c r="C328" i="13"/>
  <c r="E287" i="9" s="1"/>
  <c r="C327" i="13"/>
  <c r="E286" i="9" s="1"/>
  <c r="C326" i="13"/>
  <c r="E285" i="9" s="1"/>
  <c r="C325" i="13"/>
  <c r="E284" i="9" s="1"/>
  <c r="C324" i="13"/>
  <c r="E283" i="9" s="1"/>
  <c r="C323" i="13"/>
  <c r="E282" i="9" s="1"/>
  <c r="C322" i="13"/>
  <c r="E281" i="9" s="1"/>
  <c r="C321" i="13"/>
  <c r="E280" i="9" s="1"/>
  <c r="C319" i="13"/>
  <c r="E279" i="9" s="1"/>
  <c r="C318" i="13"/>
  <c r="E278" i="9" s="1"/>
  <c r="C317" i="13"/>
  <c r="E277" i="9" s="1"/>
  <c r="C316" i="13"/>
  <c r="E276" i="9" s="1"/>
  <c r="C315" i="13"/>
  <c r="E275" i="9" s="1"/>
  <c r="C314" i="13"/>
  <c r="E274" i="9" s="1"/>
  <c r="C313" i="13"/>
  <c r="E273" i="9" s="1"/>
  <c r="Q15" i="6" s="1"/>
  <c r="O15" s="1"/>
  <c r="C312" i="13"/>
  <c r="E272" i="9" s="1"/>
  <c r="C311" i="13"/>
  <c r="E271" i="9" s="1"/>
  <c r="C310" i="13"/>
  <c r="E270" i="9" s="1"/>
  <c r="C308" i="13"/>
  <c r="E269" i="9" s="1"/>
  <c r="C307" i="13"/>
  <c r="E268" i="9" s="1"/>
  <c r="C306" i="13"/>
  <c r="E267" i="9" s="1"/>
  <c r="C305" i="13"/>
  <c r="E266" i="9" s="1"/>
  <c r="C304" i="13"/>
  <c r="E265" i="9" s="1"/>
  <c r="C303" i="13"/>
  <c r="E264" i="9" s="1"/>
  <c r="C302" i="13"/>
  <c r="E263" i="9" s="1"/>
  <c r="C301" i="13"/>
  <c r="E262" i="9" s="1"/>
  <c r="C300" i="13"/>
  <c r="E261" i="9" s="1"/>
  <c r="C299" i="13"/>
  <c r="E260" i="9" s="1"/>
  <c r="C298" i="13"/>
  <c r="E259" i="9" s="1"/>
  <c r="C295" i="13"/>
  <c r="E237" i="9" s="1"/>
  <c r="C294" i="13"/>
  <c r="E236" i="9" s="1"/>
  <c r="C293" i="13"/>
  <c r="E235" i="9" s="1"/>
  <c r="C292" i="13"/>
  <c r="E234" i="9" s="1"/>
  <c r="C290" i="13"/>
  <c r="E71" i="9" s="1"/>
  <c r="C288" i="13"/>
  <c r="E50" i="9" s="1"/>
  <c r="C286" i="13"/>
  <c r="E320" i="9" s="1"/>
  <c r="P82" i="1" s="1"/>
  <c r="C285" i="13"/>
  <c r="E319" i="9" s="1"/>
  <c r="Q83" i="1" s="1"/>
  <c r="C284" i="13"/>
  <c r="C282"/>
  <c r="E227" i="9" s="1"/>
  <c r="C281" i="13"/>
  <c r="E226" i="9" s="1"/>
  <c r="C280" i="13"/>
  <c r="E225" i="9" s="1"/>
  <c r="C279" i="13"/>
  <c r="E224" i="9" s="1"/>
  <c r="Q26" i="5" s="1"/>
  <c r="C278" i="13"/>
  <c r="E223" i="9" s="1"/>
  <c r="C276" i="13"/>
  <c r="E258" i="9" s="1"/>
  <c r="C275" i="13"/>
  <c r="E257" i="9" s="1"/>
  <c r="C274" i="13"/>
  <c r="E256" i="9" s="1"/>
  <c r="C273" i="13"/>
  <c r="E255" i="9" s="1"/>
  <c r="Q30" i="6" s="1"/>
  <c r="C272" i="13"/>
  <c r="E254" i="9" s="1"/>
  <c r="C270" i="13"/>
  <c r="E209" i="9" s="1"/>
  <c r="C269" i="13"/>
  <c r="E208" i="9" s="1"/>
  <c r="C268" i="13"/>
  <c r="E207" i="9" s="1"/>
  <c r="C267" i="13"/>
  <c r="E206" i="9" s="1"/>
  <c r="C266" i="13"/>
  <c r="E205" i="9" s="1"/>
  <c r="C265" i="13"/>
  <c r="E204" i="9" s="1"/>
  <c r="C264" i="13"/>
  <c r="E203" i="9" s="1"/>
  <c r="C263" i="13"/>
  <c r="E202" i="9" s="1"/>
  <c r="C261" i="13"/>
  <c r="E196" i="9" s="1"/>
  <c r="C260" i="13"/>
  <c r="E195" i="9" s="1"/>
  <c r="C259" i="13"/>
  <c r="E194" i="9" s="1"/>
  <c r="C258" i="13"/>
  <c r="E193" i="9" s="1"/>
  <c r="C257" i="13"/>
  <c r="E192" i="9" s="1"/>
  <c r="C256" i="13"/>
  <c r="E191" i="9" s="1"/>
  <c r="C255" i="13"/>
  <c r="E190" i="9" s="1"/>
  <c r="Q43" i="5" s="1"/>
  <c r="C253" i="13"/>
  <c r="E309" i="9" s="1"/>
  <c r="Q12" i="7" s="1"/>
  <c r="O12" s="1"/>
  <c r="C252" i="13"/>
  <c r="E308" i="9" s="1"/>
  <c r="Q17" i="7" s="1"/>
  <c r="O17" s="1"/>
  <c r="C251" i="13"/>
  <c r="E307" i="9" s="1"/>
  <c r="C250" i="13"/>
  <c r="E306" i="9" s="1"/>
  <c r="C249" i="13"/>
  <c r="E305" i="9" s="1"/>
  <c r="C248" i="13"/>
  <c r="E304" i="9" s="1"/>
  <c r="C247" i="13"/>
  <c r="E303" i="9" s="1"/>
  <c r="C246" i="13"/>
  <c r="E302" i="9" s="1"/>
  <c r="C245" i="13"/>
  <c r="E301" i="9" s="1"/>
  <c r="Q8" i="7" s="1"/>
  <c r="Q11" s="1"/>
  <c r="C243" i="13"/>
  <c r="C242"/>
  <c r="C240"/>
  <c r="E129" i="9" s="1"/>
  <c r="E130" s="1"/>
  <c r="C239" i="13"/>
  <c r="C238"/>
  <c r="C236"/>
  <c r="E121" i="9" s="1"/>
  <c r="E122" s="1"/>
  <c r="C235" i="13"/>
  <c r="C234"/>
  <c r="C233"/>
  <c r="C231"/>
  <c r="C229"/>
  <c r="C228"/>
  <c r="C227"/>
  <c r="C226"/>
  <c r="C224"/>
  <c r="C223"/>
  <c r="C222"/>
  <c r="C221"/>
  <c r="C220"/>
  <c r="C219"/>
  <c r="C218"/>
  <c r="C217"/>
  <c r="C216"/>
  <c r="C214"/>
  <c r="C213"/>
  <c r="C212"/>
  <c r="C211"/>
  <c r="C208"/>
  <c r="C207"/>
  <c r="C204"/>
  <c r="C203"/>
  <c r="C201"/>
  <c r="E86" i="9" s="1"/>
  <c r="C200" i="13"/>
  <c r="E85" i="9" s="1"/>
  <c r="C199" i="13"/>
  <c r="E84" i="9" s="1"/>
  <c r="Q68" i="1" s="1"/>
  <c r="O68" s="1"/>
  <c r="C198" i="13"/>
  <c r="E83" i="9" s="1"/>
  <c r="C196" i="13"/>
  <c r="C195"/>
  <c r="C193"/>
  <c r="C192"/>
  <c r="C191"/>
  <c r="C189"/>
  <c r="C188"/>
  <c r="C185"/>
  <c r="E178" i="9" s="1"/>
  <c r="C184" i="13"/>
  <c r="E177" i="9" s="1"/>
  <c r="C183" i="13"/>
  <c r="E176" i="9" s="1"/>
  <c r="C182" i="13"/>
  <c r="E175" i="9" s="1"/>
  <c r="C181" i="13"/>
  <c r="E174" i="9" s="1"/>
  <c r="C180" i="13"/>
  <c r="E173" i="9" s="1"/>
  <c r="C178" i="13"/>
  <c r="E253" i="9" s="1"/>
  <c r="C177" i="13"/>
  <c r="E252" i="9" s="1"/>
  <c r="C176" i="13"/>
  <c r="E251" i="9" s="1"/>
  <c r="C175" i="13"/>
  <c r="E250" i="9" s="1"/>
  <c r="C174" i="13"/>
  <c r="E249" i="9" s="1"/>
  <c r="C173" i="13"/>
  <c r="E248" i="9" s="1"/>
  <c r="C172" i="13"/>
  <c r="E247" i="9" s="1"/>
  <c r="C170" i="13"/>
  <c r="E222" i="9" s="1"/>
  <c r="C169" i="13"/>
  <c r="E221" i="9" s="1"/>
  <c r="C167" i="13"/>
  <c r="E186" i="9" s="1"/>
  <c r="E187" s="1"/>
  <c r="C166" i="13"/>
  <c r="E233" i="9" s="1"/>
  <c r="C165" i="13"/>
  <c r="E232" i="9" s="1"/>
  <c r="C162" i="13"/>
  <c r="E49" i="9" s="1"/>
  <c r="Q32" i="1" s="1"/>
  <c r="O32" s="1"/>
  <c r="C161" i="13"/>
  <c r="E48" i="9" s="1"/>
  <c r="C160" i="13"/>
  <c r="E47" i="9" s="1"/>
  <c r="C159" i="13"/>
  <c r="E46" i="9" s="1"/>
  <c r="C158" i="13"/>
  <c r="E45" i="9" s="1"/>
  <c r="C157" i="13"/>
  <c r="E44" i="9" s="1"/>
  <c r="C156" i="13"/>
  <c r="E43" i="9" s="1"/>
  <c r="C155" i="13"/>
  <c r="E42" i="9" s="1"/>
  <c r="C153" i="13"/>
  <c r="E70" i="9" s="1"/>
  <c r="Q48" i="1" s="1"/>
  <c r="O48" s="1"/>
  <c r="C152" i="13"/>
  <c r="E69" i="9" s="1"/>
  <c r="C151" i="13"/>
  <c r="E68" i="9" s="1"/>
  <c r="C150" i="13"/>
  <c r="E67" i="9" s="1"/>
  <c r="C149" i="13"/>
  <c r="E66" i="9" s="1"/>
  <c r="C146" i="13"/>
  <c r="E31" i="9" s="1"/>
  <c r="C145" i="13"/>
  <c r="E30" i="9" s="1"/>
  <c r="C143" i="13"/>
  <c r="E29" i="9" s="1"/>
  <c r="C142" i="13"/>
  <c r="E28" i="9" s="1"/>
  <c r="Q22" i="1" s="1"/>
  <c r="O22" s="1"/>
  <c r="C140" i="13"/>
  <c r="E27" i="9" s="1"/>
  <c r="C138" i="13"/>
  <c r="E26" i="9" s="1"/>
  <c r="C137" i="13"/>
  <c r="E25" i="9" s="1"/>
  <c r="C136" i="13"/>
  <c r="E24" i="9" s="1"/>
  <c r="Q9" i="1" s="1"/>
  <c r="C135" i="13"/>
  <c r="C134"/>
  <c r="C132"/>
  <c r="E23" i="9" s="1"/>
  <c r="Q13" i="1" s="1"/>
  <c r="C131" i="13"/>
  <c r="E22" i="9" s="1"/>
  <c r="Q14" i="1" s="1"/>
  <c r="O14" s="1"/>
  <c r="C130" i="13"/>
  <c r="E21" i="9" s="1"/>
  <c r="C126" i="13"/>
  <c r="E220" i="9" s="1"/>
  <c r="C125" i="13"/>
  <c r="E219" i="9" s="1"/>
  <c r="P26" i="5" s="1"/>
  <c r="C124" i="13"/>
  <c r="E318" i="9" s="1"/>
  <c r="P83" i="1" s="1"/>
  <c r="C123" i="13"/>
  <c r="E314" i="9" s="1"/>
  <c r="C122" i="13"/>
  <c r="E300" i="9" s="1"/>
  <c r="C121" i="13"/>
  <c r="E317" i="9" s="1"/>
  <c r="R20" i="1" s="1"/>
  <c r="O20" s="1"/>
  <c r="C120" i="13"/>
  <c r="E299" i="9" s="1"/>
  <c r="P15" i="7" s="1"/>
  <c r="P18" s="1"/>
  <c r="C119" i="13"/>
  <c r="E316" i="9" s="1"/>
  <c r="P9" i="7" s="1"/>
  <c r="O9" s="1"/>
  <c r="C118" i="13"/>
  <c r="E315" i="9" s="1"/>
  <c r="C117" i="13"/>
  <c r="E246" i="9" s="1"/>
  <c r="C116" i="13"/>
  <c r="E298" i="9" s="1"/>
  <c r="C115" i="13"/>
  <c r="E172" i="9" s="1"/>
  <c r="P9" i="5" s="1"/>
  <c r="C114" i="13"/>
  <c r="E218" i="9" s="1"/>
  <c r="C113" i="13"/>
  <c r="E201" i="9" s="1"/>
  <c r="P19" i="5" s="1"/>
  <c r="C112" i="13"/>
  <c r="E200" i="9" s="1"/>
  <c r="C110" i="13"/>
  <c r="E41" i="9" s="1"/>
  <c r="P38" i="1" s="1"/>
  <c r="C108" i="13"/>
  <c r="E65" i="9" s="1"/>
  <c r="P62" i="1" s="1"/>
  <c r="C106" i="13"/>
  <c r="E245" i="9" s="1"/>
  <c r="C103" i="13"/>
  <c r="C101"/>
  <c r="C100"/>
  <c r="C99"/>
  <c r="C98"/>
  <c r="C97"/>
  <c r="C96"/>
  <c r="C92"/>
  <c r="C91"/>
  <c r="C89"/>
  <c r="C88"/>
  <c r="C83"/>
  <c r="C82"/>
  <c r="C81"/>
  <c r="C80"/>
  <c r="C79"/>
  <c r="C78"/>
  <c r="C75"/>
  <c r="C74"/>
  <c r="C72"/>
  <c r="C71"/>
  <c r="C69"/>
  <c r="C68"/>
  <c r="C67"/>
  <c r="C66"/>
  <c r="C65"/>
  <c r="C63"/>
  <c r="C62"/>
  <c r="C61"/>
  <c r="C60"/>
  <c r="C59"/>
  <c r="C58"/>
  <c r="C57"/>
  <c r="C56"/>
  <c r="C54"/>
  <c r="C53"/>
  <c r="C52"/>
  <c r="C51"/>
  <c r="C50"/>
  <c r="C48"/>
  <c r="C46"/>
  <c r="C45"/>
  <c r="C43"/>
  <c r="C42"/>
  <c r="C40"/>
  <c r="C39"/>
  <c r="C36"/>
  <c r="C35"/>
  <c r="C34"/>
  <c r="C33"/>
  <c r="C32"/>
  <c r="C30"/>
  <c r="C29"/>
  <c r="C28"/>
  <c r="C25"/>
  <c r="C24"/>
  <c r="C20"/>
  <c r="C19"/>
  <c r="C18"/>
  <c r="C17"/>
  <c r="C14"/>
  <c r="C13"/>
  <c r="C12"/>
  <c r="C11"/>
  <c r="C10"/>
  <c r="C9"/>
  <c r="C8"/>
  <c r="C6"/>
  <c r="E19" i="9"/>
  <c r="P11" i="1" s="1"/>
  <c r="D19" i="9"/>
  <c r="E18"/>
  <c r="P9" i="1" s="1"/>
  <c r="O9" s="1"/>
  <c r="D18" i="9"/>
  <c r="E17"/>
  <c r="P25" i="1" s="1"/>
  <c r="O25" s="1"/>
  <c r="D17" i="9"/>
  <c r="E16"/>
  <c r="P13" i="1" s="1"/>
  <c r="O13" s="1"/>
  <c r="D16" i="9"/>
  <c r="E15"/>
  <c r="D15"/>
  <c r="E14"/>
  <c r="P10" i="1" s="1"/>
  <c r="D14" i="9"/>
  <c r="C19"/>
  <c r="N11" i="1" s="1"/>
  <c r="C18" i="9"/>
  <c r="C17"/>
  <c r="N25" i="1" s="1"/>
  <c r="C16" i="9"/>
  <c r="C15"/>
  <c r="C14"/>
  <c r="Q475" i="13"/>
  <c r="O475"/>
  <c r="N475"/>
  <c r="M475"/>
  <c r="L475"/>
  <c r="C475"/>
  <c r="Q470"/>
  <c r="O470"/>
  <c r="O466" s="1"/>
  <c r="N470"/>
  <c r="M470"/>
  <c r="M466" s="1"/>
  <c r="L470"/>
  <c r="C466"/>
  <c r="Q466"/>
  <c r="Q465" s="1"/>
  <c r="Q463" s="1"/>
  <c r="N466"/>
  <c r="L466"/>
  <c r="L465" s="1"/>
  <c r="L463" s="1"/>
  <c r="O465"/>
  <c r="O463" s="1"/>
  <c r="Q460"/>
  <c r="O460"/>
  <c r="N460"/>
  <c r="M460"/>
  <c r="L460"/>
  <c r="C460"/>
  <c r="Q455"/>
  <c r="Q451" s="1"/>
  <c r="O455"/>
  <c r="O451" s="1"/>
  <c r="N455"/>
  <c r="M455"/>
  <c r="M451" s="1"/>
  <c r="L455"/>
  <c r="L451" s="1"/>
  <c r="L450" s="1"/>
  <c r="L448" s="1"/>
  <c r="C455"/>
  <c r="N451"/>
  <c r="N450" s="1"/>
  <c r="N448" s="1"/>
  <c r="Q435"/>
  <c r="Q434" s="1"/>
  <c r="O435"/>
  <c r="O434" s="1"/>
  <c r="N435"/>
  <c r="N434" s="1"/>
  <c r="M435"/>
  <c r="M434" s="1"/>
  <c r="L435"/>
  <c r="L434" s="1"/>
  <c r="C435"/>
  <c r="Q430"/>
  <c r="O430"/>
  <c r="N430"/>
  <c r="M430"/>
  <c r="L430"/>
  <c r="C430"/>
  <c r="Q425"/>
  <c r="O425"/>
  <c r="N425"/>
  <c r="M425"/>
  <c r="L425"/>
  <c r="Q418"/>
  <c r="Q414" s="1"/>
  <c r="O418"/>
  <c r="O414" s="1"/>
  <c r="N418"/>
  <c r="N414" s="1"/>
  <c r="M418"/>
  <c r="M414" s="1"/>
  <c r="L418"/>
  <c r="L414" s="1"/>
  <c r="C418"/>
  <c r="Q407"/>
  <c r="O407"/>
  <c r="O406" s="1"/>
  <c r="N407"/>
  <c r="N406" s="1"/>
  <c r="M407"/>
  <c r="M406" s="1"/>
  <c r="L407"/>
  <c r="L406" s="1"/>
  <c r="C407"/>
  <c r="Q406"/>
  <c r="Q404"/>
  <c r="O404"/>
  <c r="N404"/>
  <c r="M404"/>
  <c r="L404"/>
  <c r="C404"/>
  <c r="Q401"/>
  <c r="Q400" s="1"/>
  <c r="O401"/>
  <c r="O400" s="1"/>
  <c r="N401"/>
  <c r="N400" s="1"/>
  <c r="M401"/>
  <c r="M400" s="1"/>
  <c r="L401"/>
  <c r="L400" s="1"/>
  <c r="C401"/>
  <c r="C400"/>
  <c r="Q398"/>
  <c r="O398"/>
  <c r="N398"/>
  <c r="M398"/>
  <c r="L398"/>
  <c r="C398"/>
  <c r="Q396"/>
  <c r="O396"/>
  <c r="N396"/>
  <c r="M396"/>
  <c r="L396"/>
  <c r="C396"/>
  <c r="Q389"/>
  <c r="O389"/>
  <c r="N389"/>
  <c r="M389"/>
  <c r="L389"/>
  <c r="C389"/>
  <c r="Q386"/>
  <c r="O386"/>
  <c r="N386"/>
  <c r="M386"/>
  <c r="L386"/>
  <c r="C386"/>
  <c r="Q379"/>
  <c r="O379"/>
  <c r="N379"/>
  <c r="M379"/>
  <c r="L379"/>
  <c r="Q366"/>
  <c r="O366"/>
  <c r="N366"/>
  <c r="M366"/>
  <c r="L366"/>
  <c r="C366"/>
  <c r="Q364"/>
  <c r="Q362" s="1"/>
  <c r="O364"/>
  <c r="O362" s="1"/>
  <c r="N364"/>
  <c r="N362" s="1"/>
  <c r="M364"/>
  <c r="L364"/>
  <c r="L362" s="1"/>
  <c r="C364"/>
  <c r="M362"/>
  <c r="Q354"/>
  <c r="O354"/>
  <c r="N354"/>
  <c r="M354"/>
  <c r="L354"/>
  <c r="C354"/>
  <c r="Q344"/>
  <c r="O344"/>
  <c r="N344"/>
  <c r="N343" s="1"/>
  <c r="N337" s="1"/>
  <c r="M344"/>
  <c r="L344"/>
  <c r="Q332"/>
  <c r="O332"/>
  <c r="N332"/>
  <c r="M332"/>
  <c r="L332"/>
  <c r="C332"/>
  <c r="Q320"/>
  <c r="O320"/>
  <c r="N320"/>
  <c r="M320"/>
  <c r="L320"/>
  <c r="C320"/>
  <c r="Q309"/>
  <c r="O309"/>
  <c r="O296" s="1"/>
  <c r="N309"/>
  <c r="M309"/>
  <c r="L309"/>
  <c r="C309"/>
  <c r="Q297"/>
  <c r="O297"/>
  <c r="N297"/>
  <c r="M297"/>
  <c r="L297"/>
  <c r="C297"/>
  <c r="Q291"/>
  <c r="O291"/>
  <c r="N291"/>
  <c r="M291"/>
  <c r="L291"/>
  <c r="C291"/>
  <c r="Q289"/>
  <c r="O289"/>
  <c r="N289"/>
  <c r="M289"/>
  <c r="L289"/>
  <c r="C289"/>
  <c r="Q287"/>
  <c r="O287"/>
  <c r="N287"/>
  <c r="M287"/>
  <c r="L287"/>
  <c r="C287"/>
  <c r="Q283"/>
  <c r="O283"/>
  <c r="N283"/>
  <c r="M283"/>
  <c r="L283"/>
  <c r="C283"/>
  <c r="Q277"/>
  <c r="O277"/>
  <c r="N277"/>
  <c r="M277"/>
  <c r="L277"/>
  <c r="C277"/>
  <c r="Q271"/>
  <c r="O271"/>
  <c r="N271"/>
  <c r="M271"/>
  <c r="L271"/>
  <c r="C271"/>
  <c r="Q262"/>
  <c r="O262"/>
  <c r="N262"/>
  <c r="M262"/>
  <c r="L262"/>
  <c r="C262"/>
  <c r="Q254"/>
  <c r="O254"/>
  <c r="N254"/>
  <c r="M254"/>
  <c r="L254"/>
  <c r="C254"/>
  <c r="Q244"/>
  <c r="O244"/>
  <c r="N244"/>
  <c r="M244"/>
  <c r="L244"/>
  <c r="C244"/>
  <c r="Q241"/>
  <c r="O241"/>
  <c r="N241"/>
  <c r="M241"/>
  <c r="L241"/>
  <c r="C241"/>
  <c r="E112" i="9" s="1"/>
  <c r="Q237" i="13"/>
  <c r="O237"/>
  <c r="N237"/>
  <c r="M237"/>
  <c r="L237"/>
  <c r="C237"/>
  <c r="E125" i="9" s="1"/>
  <c r="E126" s="1"/>
  <c r="Q232" i="13"/>
  <c r="O232"/>
  <c r="N232"/>
  <c r="M232"/>
  <c r="L232"/>
  <c r="C232"/>
  <c r="E106" i="9" s="1"/>
  <c r="E107" s="1"/>
  <c r="Q230" i="13"/>
  <c r="O230"/>
  <c r="N230"/>
  <c r="M230"/>
  <c r="L230"/>
  <c r="C230"/>
  <c r="Q225"/>
  <c r="O225"/>
  <c r="N225"/>
  <c r="M225"/>
  <c r="L225"/>
  <c r="C225"/>
  <c r="Q215"/>
  <c r="O215"/>
  <c r="N215"/>
  <c r="M215"/>
  <c r="L215"/>
  <c r="C215"/>
  <c r="Q210"/>
  <c r="O210"/>
  <c r="N210"/>
  <c r="M210"/>
  <c r="L210"/>
  <c r="L209"/>
  <c r="Q206"/>
  <c r="O206"/>
  <c r="N206"/>
  <c r="M206"/>
  <c r="L206"/>
  <c r="Q202"/>
  <c r="O202"/>
  <c r="N202"/>
  <c r="M202"/>
  <c r="L202"/>
  <c r="C202"/>
  <c r="E117" i="9" s="1"/>
  <c r="E118" s="1"/>
  <c r="Q197" i="13"/>
  <c r="O197"/>
  <c r="N197"/>
  <c r="M197"/>
  <c r="L197"/>
  <c r="C197"/>
  <c r="Q194"/>
  <c r="O194"/>
  <c r="N194"/>
  <c r="M194"/>
  <c r="L194"/>
  <c r="C194"/>
  <c r="E111" i="9" s="1"/>
  <c r="Q190" i="13"/>
  <c r="O190"/>
  <c r="N190"/>
  <c r="M190"/>
  <c r="L190"/>
  <c r="C190"/>
  <c r="E101" i="9" s="1"/>
  <c r="Q187" i="13"/>
  <c r="O187"/>
  <c r="N187"/>
  <c r="M187"/>
  <c r="L187"/>
  <c r="Q179"/>
  <c r="O179"/>
  <c r="N179"/>
  <c r="M179"/>
  <c r="L179"/>
  <c r="C179"/>
  <c r="Q171"/>
  <c r="O171"/>
  <c r="N171"/>
  <c r="M171"/>
  <c r="L171"/>
  <c r="C171"/>
  <c r="Q168"/>
  <c r="O168"/>
  <c r="N168"/>
  <c r="M168"/>
  <c r="L168"/>
  <c r="C168"/>
  <c r="Q164"/>
  <c r="O164"/>
  <c r="N164"/>
  <c r="M164"/>
  <c r="L164"/>
  <c r="C164"/>
  <c r="Q154"/>
  <c r="O154"/>
  <c r="N154"/>
  <c r="M154"/>
  <c r="L154"/>
  <c r="C154"/>
  <c r="Q148"/>
  <c r="O148"/>
  <c r="N148"/>
  <c r="M148"/>
  <c r="L148"/>
  <c r="C148"/>
  <c r="Q144"/>
  <c r="O144"/>
  <c r="N144"/>
  <c r="M144"/>
  <c r="L144"/>
  <c r="C144"/>
  <c r="Q141"/>
  <c r="O141"/>
  <c r="N141"/>
  <c r="M141"/>
  <c r="L141"/>
  <c r="C141"/>
  <c r="Q139"/>
  <c r="O139"/>
  <c r="N139"/>
  <c r="M139"/>
  <c r="L139"/>
  <c r="C139"/>
  <c r="Q133"/>
  <c r="Q129" s="1"/>
  <c r="O133"/>
  <c r="N133"/>
  <c r="N129" s="1"/>
  <c r="N128" s="1"/>
  <c r="M133"/>
  <c r="L133"/>
  <c r="L129" s="1"/>
  <c r="L128" s="1"/>
  <c r="C133"/>
  <c r="O129"/>
  <c r="M129"/>
  <c r="M128" s="1"/>
  <c r="Q128"/>
  <c r="Q111"/>
  <c r="O111"/>
  <c r="N111"/>
  <c r="M111"/>
  <c r="L111"/>
  <c r="C111"/>
  <c r="Q109"/>
  <c r="O109"/>
  <c r="N109"/>
  <c r="M109"/>
  <c r="L109"/>
  <c r="C109"/>
  <c r="Q107"/>
  <c r="O107"/>
  <c r="N107"/>
  <c r="M107"/>
  <c r="L107"/>
  <c r="C107"/>
  <c r="Q105"/>
  <c r="O105"/>
  <c r="N105"/>
  <c r="M105"/>
  <c r="L105"/>
  <c r="Q102"/>
  <c r="O102"/>
  <c r="N102"/>
  <c r="M102"/>
  <c r="L102"/>
  <c r="C102"/>
  <c r="Q95"/>
  <c r="O95"/>
  <c r="N95"/>
  <c r="M95"/>
  <c r="L95"/>
  <c r="C95"/>
  <c r="Q90"/>
  <c r="O90"/>
  <c r="N90"/>
  <c r="M90"/>
  <c r="L90"/>
  <c r="C90"/>
  <c r="Q87"/>
  <c r="Q86" s="1"/>
  <c r="O87"/>
  <c r="N87"/>
  <c r="N86" s="1"/>
  <c r="M87"/>
  <c r="M86" s="1"/>
  <c r="M85" s="1"/>
  <c r="M84" s="1"/>
  <c r="L87"/>
  <c r="L86" s="1"/>
  <c r="C87"/>
  <c r="O86"/>
  <c r="O85" s="1"/>
  <c r="O84" s="1"/>
  <c r="C86"/>
  <c r="C85"/>
  <c r="Q77"/>
  <c r="Q76" s="1"/>
  <c r="O77"/>
  <c r="O76" s="1"/>
  <c r="N77"/>
  <c r="M77"/>
  <c r="M76" s="1"/>
  <c r="L77"/>
  <c r="L76" s="1"/>
  <c r="C77"/>
  <c r="N76"/>
  <c r="Q73"/>
  <c r="O73"/>
  <c r="N73"/>
  <c r="N70" s="1"/>
  <c r="M73"/>
  <c r="L73"/>
  <c r="C73"/>
  <c r="Q64"/>
  <c r="O64"/>
  <c r="N64"/>
  <c r="M64"/>
  <c r="L64"/>
  <c r="C64"/>
  <c r="Q55"/>
  <c r="O55"/>
  <c r="N55"/>
  <c r="M55"/>
  <c r="L55"/>
  <c r="C55"/>
  <c r="Q49"/>
  <c r="Q47" s="1"/>
  <c r="O49"/>
  <c r="N49"/>
  <c r="N47" s="1"/>
  <c r="M49"/>
  <c r="M47" s="1"/>
  <c r="M44" s="1"/>
  <c r="L49"/>
  <c r="L47" s="1"/>
  <c r="C49"/>
  <c r="O47"/>
  <c r="C47"/>
  <c r="Q41"/>
  <c r="Q38" s="1"/>
  <c r="O41"/>
  <c r="O38" s="1"/>
  <c r="N41"/>
  <c r="M41"/>
  <c r="M38" s="1"/>
  <c r="L41"/>
  <c r="L38" s="1"/>
  <c r="C41"/>
  <c r="N38"/>
  <c r="Q31"/>
  <c r="O31"/>
  <c r="N31"/>
  <c r="M31"/>
  <c r="L31"/>
  <c r="C31"/>
  <c r="Q27"/>
  <c r="O27"/>
  <c r="O26" s="1"/>
  <c r="N27"/>
  <c r="M27"/>
  <c r="M26" s="1"/>
  <c r="L27"/>
  <c r="C27"/>
  <c r="Q26"/>
  <c r="N26"/>
  <c r="L26"/>
  <c r="Q23"/>
  <c r="Q22" s="1"/>
  <c r="O23"/>
  <c r="N23"/>
  <c r="N22" s="1"/>
  <c r="M23"/>
  <c r="M22" s="1"/>
  <c r="L23"/>
  <c r="L22" s="1"/>
  <c r="C23"/>
  <c r="O22"/>
  <c r="C22"/>
  <c r="Q16"/>
  <c r="O16"/>
  <c r="N16"/>
  <c r="M16"/>
  <c r="L16"/>
  <c r="C16"/>
  <c r="Q7"/>
  <c r="Q5" s="1"/>
  <c r="O7"/>
  <c r="O5" s="1"/>
  <c r="N7"/>
  <c r="M7"/>
  <c r="M5" s="1"/>
  <c r="L7"/>
  <c r="L5" s="1"/>
  <c r="C7"/>
  <c r="N5"/>
  <c r="I9" i="8"/>
  <c r="I11"/>
  <c r="I22"/>
  <c r="I24"/>
  <c r="I25"/>
  <c r="G9" i="9" s="1"/>
  <c r="G10" s="1"/>
  <c r="E75" i="1"/>
  <c r="F5" i="8"/>
  <c r="F5" i="5" s="1"/>
  <c r="F5" i="6" s="1"/>
  <c r="F5" i="7" s="1"/>
  <c r="A2" i="8"/>
  <c r="A2" i="5" s="1"/>
  <c r="A2" i="6" s="1"/>
  <c r="A2" i="7" s="1"/>
  <c r="O14" i="5"/>
  <c r="N23" i="8"/>
  <c r="N24" s="1"/>
  <c r="P35" i="7"/>
  <c r="O12" i="6"/>
  <c r="O13"/>
  <c r="O16"/>
  <c r="O41"/>
  <c r="O44"/>
  <c r="O21" i="5"/>
  <c r="O20"/>
  <c r="O22"/>
  <c r="O12"/>
  <c r="O42"/>
  <c r="O95" i="1"/>
  <c r="P97"/>
  <c r="O96"/>
  <c r="O92"/>
  <c r="O94"/>
  <c r="O90"/>
  <c r="P53"/>
  <c r="T35" i="7"/>
  <c r="S35"/>
  <c r="R35"/>
  <c r="T29"/>
  <c r="S29"/>
  <c r="R29"/>
  <c r="P29"/>
  <c r="T27"/>
  <c r="S27"/>
  <c r="R27"/>
  <c r="P27"/>
  <c r="T24"/>
  <c r="S24"/>
  <c r="R24"/>
  <c r="T18"/>
  <c r="S18"/>
  <c r="R18"/>
  <c r="T11"/>
  <c r="S11"/>
  <c r="R11"/>
  <c r="O34"/>
  <c r="O33"/>
  <c r="O32"/>
  <c r="O30"/>
  <c r="O23"/>
  <c r="O20"/>
  <c r="O19"/>
  <c r="O14"/>
  <c r="T17" i="6"/>
  <c r="S17"/>
  <c r="T20"/>
  <c r="S20"/>
  <c r="R20"/>
  <c r="Q20"/>
  <c r="P20"/>
  <c r="T28"/>
  <c r="S28"/>
  <c r="Q28"/>
  <c r="P28"/>
  <c r="T35"/>
  <c r="S35"/>
  <c r="R35"/>
  <c r="T43"/>
  <c r="S43"/>
  <c r="T47"/>
  <c r="T48" s="1"/>
  <c r="S47"/>
  <c r="P47"/>
  <c r="O46"/>
  <c r="O34"/>
  <c r="O31"/>
  <c r="O29"/>
  <c r="O27"/>
  <c r="O26"/>
  <c r="O25"/>
  <c r="O24"/>
  <c r="O22"/>
  <c r="O21"/>
  <c r="O19"/>
  <c r="O18"/>
  <c r="O15" i="5"/>
  <c r="O11"/>
  <c r="O10"/>
  <c r="O30"/>
  <c r="O29"/>
  <c r="O28"/>
  <c r="O25"/>
  <c r="O53"/>
  <c r="O52"/>
  <c r="O51"/>
  <c r="O50"/>
  <c r="O49"/>
  <c r="O47"/>
  <c r="O44"/>
  <c r="O41"/>
  <c r="O40"/>
  <c r="O39"/>
  <c r="O37"/>
  <c r="T54"/>
  <c r="T55" s="1"/>
  <c r="S54"/>
  <c r="S55" s="1"/>
  <c r="R54"/>
  <c r="R55" s="1"/>
  <c r="P54"/>
  <c r="P55" s="1"/>
  <c r="T45"/>
  <c r="T46" s="1"/>
  <c r="S45"/>
  <c r="S46" s="1"/>
  <c r="R45"/>
  <c r="R46" s="1"/>
  <c r="T23"/>
  <c r="T17"/>
  <c r="T18" s="1"/>
  <c r="S17"/>
  <c r="S18" s="1"/>
  <c r="R24" i="8"/>
  <c r="Q24"/>
  <c r="O24"/>
  <c r="T91" i="1"/>
  <c r="S91"/>
  <c r="R91"/>
  <c r="T87"/>
  <c r="T88" s="1"/>
  <c r="S87"/>
  <c r="S88" s="1"/>
  <c r="T97"/>
  <c r="T98" s="1"/>
  <c r="T12"/>
  <c r="T78"/>
  <c r="S97"/>
  <c r="S98" s="1"/>
  <c r="S12"/>
  <c r="S78"/>
  <c r="R97"/>
  <c r="P73"/>
  <c r="P74" s="1"/>
  <c r="T73"/>
  <c r="T74" s="1"/>
  <c r="S73"/>
  <c r="S74" s="1"/>
  <c r="R73"/>
  <c r="R74" s="1"/>
  <c r="T64"/>
  <c r="S64"/>
  <c r="T53"/>
  <c r="T65" s="1"/>
  <c r="S53"/>
  <c r="S65" s="1"/>
  <c r="T44"/>
  <c r="S44"/>
  <c r="T18"/>
  <c r="S18"/>
  <c r="T26"/>
  <c r="S26"/>
  <c r="T37"/>
  <c r="T45" s="1"/>
  <c r="S37"/>
  <c r="S45"/>
  <c r="R11" i="8"/>
  <c r="Q11"/>
  <c r="B244" i="9"/>
  <c r="B170"/>
  <c r="B133"/>
  <c r="E34" i="7"/>
  <c r="E30"/>
  <c r="E31"/>
  <c r="E32"/>
  <c r="E35" s="1"/>
  <c r="E33"/>
  <c r="E28"/>
  <c r="E29"/>
  <c r="E26"/>
  <c r="E25"/>
  <c r="E23"/>
  <c r="E19"/>
  <c r="E20"/>
  <c r="E21"/>
  <c r="E22"/>
  <c r="E17"/>
  <c r="E12"/>
  <c r="E13"/>
  <c r="E14"/>
  <c r="E18"/>
  <c r="E15"/>
  <c r="E16"/>
  <c r="E8"/>
  <c r="E11" s="1"/>
  <c r="E9"/>
  <c r="E10"/>
  <c r="E46" i="6"/>
  <c r="E44"/>
  <c r="E47" s="1"/>
  <c r="E45"/>
  <c r="E37"/>
  <c r="E38"/>
  <c r="E39"/>
  <c r="E40"/>
  <c r="E43"/>
  <c r="E41"/>
  <c r="E42"/>
  <c r="E8"/>
  <c r="E10"/>
  <c r="E12"/>
  <c r="E13"/>
  <c r="E14"/>
  <c r="E15"/>
  <c r="E16"/>
  <c r="E18"/>
  <c r="E19"/>
  <c r="E20" s="1"/>
  <c r="E21"/>
  <c r="E22"/>
  <c r="E23"/>
  <c r="E24"/>
  <c r="E25"/>
  <c r="E26"/>
  <c r="E27"/>
  <c r="E29"/>
  <c r="E30"/>
  <c r="E31"/>
  <c r="E32"/>
  <c r="E33"/>
  <c r="E34"/>
  <c r="E34" i="5"/>
  <c r="E35"/>
  <c r="E36"/>
  <c r="E37"/>
  <c r="E38"/>
  <c r="E39"/>
  <c r="E40"/>
  <c r="E41"/>
  <c r="E42"/>
  <c r="E43"/>
  <c r="E44"/>
  <c r="E8"/>
  <c r="E9"/>
  <c r="E10"/>
  <c r="E11"/>
  <c r="E12"/>
  <c r="E13"/>
  <c r="E14"/>
  <c r="E15"/>
  <c r="E16"/>
  <c r="E19"/>
  <c r="E20"/>
  <c r="E21"/>
  <c r="E22"/>
  <c r="E24"/>
  <c r="E25"/>
  <c r="E26"/>
  <c r="E27"/>
  <c r="E29"/>
  <c r="E30"/>
  <c r="E31"/>
  <c r="E47"/>
  <c r="E48"/>
  <c r="E49"/>
  <c r="E50"/>
  <c r="E51"/>
  <c r="E21" i="8"/>
  <c r="E10"/>
  <c r="E11" s="1"/>
  <c r="E12"/>
  <c r="E13"/>
  <c r="E14"/>
  <c r="E15"/>
  <c r="E16"/>
  <c r="E17"/>
  <c r="E18"/>
  <c r="E19"/>
  <c r="E20"/>
  <c r="E8"/>
  <c r="E9"/>
  <c r="E23"/>
  <c r="E24"/>
  <c r="E13" i="1"/>
  <c r="E14"/>
  <c r="E15"/>
  <c r="E16"/>
  <c r="E17"/>
  <c r="E8"/>
  <c r="E9"/>
  <c r="E10"/>
  <c r="E11"/>
  <c r="E19"/>
  <c r="E20"/>
  <c r="E21"/>
  <c r="E22"/>
  <c r="E23"/>
  <c r="E24"/>
  <c r="E25"/>
  <c r="E28"/>
  <c r="E29"/>
  <c r="E30"/>
  <c r="E31"/>
  <c r="E32"/>
  <c r="E33"/>
  <c r="E34"/>
  <c r="E35"/>
  <c r="E36"/>
  <c r="E38"/>
  <c r="E40"/>
  <c r="E41"/>
  <c r="E42"/>
  <c r="E43"/>
  <c r="E46"/>
  <c r="E47"/>
  <c r="E48"/>
  <c r="E49"/>
  <c r="E50"/>
  <c r="E51"/>
  <c r="E52"/>
  <c r="E54"/>
  <c r="E55"/>
  <c r="E56"/>
  <c r="E57"/>
  <c r="E58"/>
  <c r="E59"/>
  <c r="E60"/>
  <c r="E61"/>
  <c r="E62"/>
  <c r="E63"/>
  <c r="E66"/>
  <c r="E67"/>
  <c r="E68"/>
  <c r="E69"/>
  <c r="E70"/>
  <c r="E71"/>
  <c r="E72"/>
  <c r="E76"/>
  <c r="E79"/>
  <c r="E80"/>
  <c r="E81"/>
  <c r="E82"/>
  <c r="E83"/>
  <c r="E84"/>
  <c r="E85"/>
  <c r="E86"/>
  <c r="E89"/>
  <c r="E90"/>
  <c r="E92"/>
  <c r="E93"/>
  <c r="E94"/>
  <c r="E95"/>
  <c r="E96"/>
  <c r="B13" i="9"/>
  <c r="F9"/>
  <c r="F10" s="1"/>
  <c r="D9"/>
  <c r="D10" s="1"/>
  <c r="H2"/>
  <c r="J46" i="5"/>
  <c r="J56"/>
  <c r="H3" i="9" s="1"/>
  <c r="J54" i="5"/>
  <c r="J55" s="1"/>
  <c r="H4" i="9"/>
  <c r="H5"/>
  <c r="I46" i="5"/>
  <c r="I54"/>
  <c r="I55"/>
  <c r="G4" i="9"/>
  <c r="G5"/>
  <c r="F2"/>
  <c r="H46" i="5"/>
  <c r="H54"/>
  <c r="H55"/>
  <c r="F4" i="9"/>
  <c r="F5"/>
  <c r="G46" i="5"/>
  <c r="G54"/>
  <c r="G55" s="1"/>
  <c r="G56" s="1"/>
  <c r="E4" i="9"/>
  <c r="E5"/>
  <c r="D2"/>
  <c r="F46" i="5"/>
  <c r="F56" s="1"/>
  <c r="D3" i="9" s="1"/>
  <c r="F54" i="5"/>
  <c r="F55" s="1"/>
  <c r="D4" i="9"/>
  <c r="D5"/>
  <c r="G8"/>
  <c r="F8"/>
  <c r="E8"/>
  <c r="D8"/>
  <c r="C8"/>
  <c r="H1"/>
  <c r="G1"/>
  <c r="F1"/>
  <c r="E1"/>
  <c r="D1"/>
  <c r="C1"/>
  <c r="T36" i="7"/>
  <c r="E2" i="9"/>
  <c r="G2"/>
  <c r="E3"/>
  <c r="E9"/>
  <c r="E10" s="1"/>
  <c r="Q35" i="7"/>
  <c r="P91" i="1"/>
  <c r="P24" i="7"/>
  <c r="O31"/>
  <c r="O35" s="1"/>
  <c r="P24" i="8"/>
  <c r="O38" i="5"/>
  <c r="O8" i="6"/>
  <c r="O10"/>
  <c r="E48"/>
  <c r="E22" i="8"/>
  <c r="E64" i="1"/>
  <c r="E12"/>
  <c r="E26"/>
  <c r="E97"/>
  <c r="E53"/>
  <c r="E18"/>
  <c r="E91"/>
  <c r="E73"/>
  <c r="E74"/>
  <c r="E39"/>
  <c r="E77"/>
  <c r="E27"/>
  <c r="J21" i="8"/>
  <c r="J14"/>
  <c r="J18"/>
  <c r="J13"/>
  <c r="J17"/>
  <c r="J12"/>
  <c r="J16"/>
  <c r="J20"/>
  <c r="J15"/>
  <c r="J19"/>
  <c r="E25"/>
  <c r="C9" i="9"/>
  <c r="C10" s="1"/>
  <c r="E98" i="1"/>
  <c r="E78"/>
  <c r="E44"/>
  <c r="H56" i="5" l="1"/>
  <c r="F3" i="9" s="1"/>
  <c r="I56" i="5"/>
  <c r="G3" i="9" s="1"/>
  <c r="E45" i="5"/>
  <c r="U99" i="1"/>
  <c r="T36" i="6"/>
  <c r="O21" i="13"/>
  <c r="M21"/>
  <c r="M4" s="1"/>
  <c r="O4"/>
  <c r="L44"/>
  <c r="N44"/>
  <c r="Q44"/>
  <c r="M70"/>
  <c r="O70"/>
  <c r="L85"/>
  <c r="L84" s="1"/>
  <c r="N85"/>
  <c r="N84" s="1"/>
  <c r="Q85"/>
  <c r="Q84" s="1"/>
  <c r="L104"/>
  <c r="C296"/>
  <c r="M395"/>
  <c r="M394" s="1"/>
  <c r="O395"/>
  <c r="O394" s="1"/>
  <c r="C406"/>
  <c r="L70"/>
  <c r="Q70"/>
  <c r="N37"/>
  <c r="L21"/>
  <c r="L4" s="1"/>
  <c r="N21"/>
  <c r="N4" s="1"/>
  <c r="N3" s="1"/>
  <c r="Q21"/>
  <c r="Q4" s="1"/>
  <c r="O44"/>
  <c r="O37" s="1"/>
  <c r="O3" s="1"/>
  <c r="Q80" i="1"/>
  <c r="O80" s="1"/>
  <c r="N209" i="13"/>
  <c r="M296"/>
  <c r="L343"/>
  <c r="L337" s="1"/>
  <c r="N13" i="1"/>
  <c r="N9"/>
  <c r="O38"/>
  <c r="N42"/>
  <c r="N15" i="7"/>
  <c r="L37" i="13"/>
  <c r="Q37"/>
  <c r="M37"/>
  <c r="C84"/>
  <c r="Q378"/>
  <c r="M450"/>
  <c r="M448" s="1"/>
  <c r="O450"/>
  <c r="O448" s="1"/>
  <c r="C44"/>
  <c r="Q19" i="5"/>
  <c r="N40" i="1"/>
  <c r="N205" i="13"/>
  <c r="N186" s="1"/>
  <c r="Q343"/>
  <c r="Q337" s="1"/>
  <c r="Q336" s="1"/>
  <c r="Q335" s="1"/>
  <c r="Q334" s="1"/>
  <c r="C362"/>
  <c r="M378"/>
  <c r="L378"/>
  <c r="N378"/>
  <c r="M424"/>
  <c r="M413" s="1"/>
  <c r="M411" s="1"/>
  <c r="Q450"/>
  <c r="Q448" s="1"/>
  <c r="L205"/>
  <c r="N336"/>
  <c r="N335" s="1"/>
  <c r="N334" s="1"/>
  <c r="Q34" i="5"/>
  <c r="R40" i="1"/>
  <c r="O40" s="1"/>
  <c r="N68"/>
  <c r="N79"/>
  <c r="N28" i="7"/>
  <c r="M10" i="8"/>
  <c r="M21"/>
  <c r="N34" i="5"/>
  <c r="N45" i="6"/>
  <c r="P8" i="8"/>
  <c r="N14" i="1"/>
  <c r="N10"/>
  <c r="M8" i="8"/>
  <c r="N8" i="1"/>
  <c r="N38" i="6"/>
  <c r="N82" i="1"/>
  <c r="P17" i="6"/>
  <c r="P11"/>
  <c r="P35"/>
  <c r="P33"/>
  <c r="O32"/>
  <c r="Q32"/>
  <c r="O14"/>
  <c r="Q14"/>
  <c r="O40"/>
  <c r="Q40"/>
  <c r="R27" i="5"/>
  <c r="O27" s="1"/>
  <c r="R26"/>
  <c r="R24"/>
  <c r="R76" i="1"/>
  <c r="R77" s="1"/>
  <c r="R78" s="1"/>
  <c r="R23" i="6"/>
  <c r="S26" i="5"/>
  <c r="Q10" i="1"/>
  <c r="Q15" i="7"/>
  <c r="Q33" i="6"/>
  <c r="Q35" s="1"/>
  <c r="Q37"/>
  <c r="O37" s="1"/>
  <c r="Q38"/>
  <c r="O38" s="1"/>
  <c r="E102" i="9"/>
  <c r="Q79" i="1"/>
  <c r="E310" i="9"/>
  <c r="P10" i="7"/>
  <c r="O10" s="1"/>
  <c r="P8"/>
  <c r="P11" s="1"/>
  <c r="Q16" i="5"/>
  <c r="O16" s="1"/>
  <c r="Q25" i="7"/>
  <c r="Q21"/>
  <c r="O21" s="1"/>
  <c r="Q26"/>
  <c r="Q22"/>
  <c r="R17" i="6"/>
  <c r="R11"/>
  <c r="O10" i="1"/>
  <c r="Q45" i="6"/>
  <c r="L186" i="13"/>
  <c r="L336"/>
  <c r="L335" s="1"/>
  <c r="L334" s="1"/>
  <c r="O424"/>
  <c r="O413" s="1"/>
  <c r="O411" s="1"/>
  <c r="O410" s="1"/>
  <c r="O393" s="1"/>
  <c r="N424"/>
  <c r="M465"/>
  <c r="M463" s="1"/>
  <c r="R8" i="5"/>
  <c r="N8"/>
  <c r="N8" i="7"/>
  <c r="R11" i="1"/>
  <c r="O11" s="1"/>
  <c r="P10" i="8"/>
  <c r="P11" s="1"/>
  <c r="M12"/>
  <c r="M14"/>
  <c r="M16"/>
  <c r="M18"/>
  <c r="M20"/>
  <c r="Q8" i="5"/>
  <c r="O8" s="1"/>
  <c r="Q35"/>
  <c r="O35" s="1"/>
  <c r="N22" i="7"/>
  <c r="N26"/>
  <c r="N76" i="1"/>
  <c r="R19" i="5"/>
  <c r="R23" s="1"/>
  <c r="O104" i="13"/>
  <c r="O94" s="1"/>
  <c r="N104"/>
  <c r="Q104"/>
  <c r="O128"/>
  <c r="N163"/>
  <c r="N147" s="1"/>
  <c r="M209"/>
  <c r="M205" s="1"/>
  <c r="M186" s="1"/>
  <c r="M163" s="1"/>
  <c r="M147" s="1"/>
  <c r="M127" s="1"/>
  <c r="O209"/>
  <c r="O205" s="1"/>
  <c r="O186" s="1"/>
  <c r="O163" s="1"/>
  <c r="O147" s="1"/>
  <c r="O127" s="1"/>
  <c r="Q209"/>
  <c r="Q205" s="1"/>
  <c r="Q186" s="1"/>
  <c r="N296"/>
  <c r="M343"/>
  <c r="M337" s="1"/>
  <c r="M336" s="1"/>
  <c r="M335" s="1"/>
  <c r="M334" s="1"/>
  <c r="O343"/>
  <c r="O337" s="1"/>
  <c r="O336" s="1"/>
  <c r="O335" s="1"/>
  <c r="O334" s="1"/>
  <c r="L424"/>
  <c r="Q424"/>
  <c r="Q413" s="1"/>
  <c r="Q411" s="1"/>
  <c r="Q410" s="1"/>
  <c r="C434"/>
  <c r="Q8" i="1"/>
  <c r="P9" i="8"/>
  <c r="N83" i="1"/>
  <c r="E327" i="9"/>
  <c r="E339" s="1"/>
  <c r="R62" i="1"/>
  <c r="R64" s="1"/>
  <c r="R79"/>
  <c r="O79" s="1"/>
  <c r="Q89"/>
  <c r="O8" i="8"/>
  <c r="Q8"/>
  <c r="Q9" s="1"/>
  <c r="Q25" s="1"/>
  <c r="M13"/>
  <c r="M15"/>
  <c r="M17"/>
  <c r="M19"/>
  <c r="Q36" i="5"/>
  <c r="O36" s="1"/>
  <c r="Q48"/>
  <c r="Q28" i="7"/>
  <c r="N21"/>
  <c r="R46" i="1"/>
  <c r="O46" s="1"/>
  <c r="R32" i="5"/>
  <c r="S36" i="6"/>
  <c r="R17" i="5"/>
  <c r="R18" s="1"/>
  <c r="O83" i="1"/>
  <c r="O20" i="6"/>
  <c r="P23" i="5"/>
  <c r="N10" i="8"/>
  <c r="O11"/>
  <c r="P21"/>
  <c r="P18"/>
  <c r="P20"/>
  <c r="P12"/>
  <c r="P14"/>
  <c r="P16"/>
  <c r="O30" i="6"/>
  <c r="P87" i="1"/>
  <c r="P88" s="1"/>
  <c r="O19" i="8"/>
  <c r="O21"/>
  <c r="O20"/>
  <c r="O12"/>
  <c r="O14"/>
  <c r="O17"/>
  <c r="Q43" i="6"/>
  <c r="P64" i="1"/>
  <c r="Q20" i="8"/>
  <c r="Q21"/>
  <c r="Q13"/>
  <c r="Q17"/>
  <c r="O26" i="5"/>
  <c r="S32"/>
  <c r="S33" s="1"/>
  <c r="S56" s="1"/>
  <c r="E197" i="9"/>
  <c r="R8" i="1"/>
  <c r="O13" i="5"/>
  <c r="R9" i="8"/>
  <c r="R87" i="1"/>
  <c r="R88" s="1"/>
  <c r="P36" i="6"/>
  <c r="P13" i="8"/>
  <c r="P15"/>
  <c r="P17"/>
  <c r="P19"/>
  <c r="O13"/>
  <c r="O15"/>
  <c r="Q15"/>
  <c r="N15" s="1"/>
  <c r="Q19"/>
  <c r="Q12"/>
  <c r="Q14"/>
  <c r="Q16"/>
  <c r="Q18"/>
  <c r="O16"/>
  <c r="N16" s="1"/>
  <c r="O18"/>
  <c r="R37" i="1"/>
  <c r="R44"/>
  <c r="E294" i="9"/>
  <c r="R26" i="1"/>
  <c r="P26"/>
  <c r="P18"/>
  <c r="R12"/>
  <c r="T27"/>
  <c r="T99" s="1"/>
  <c r="S27"/>
  <c r="S99" s="1"/>
  <c r="Q12"/>
  <c r="D6" i="9"/>
  <c r="E228"/>
  <c r="E239" s="1"/>
  <c r="E214"/>
  <c r="S48" i="6"/>
  <c r="S49" s="1"/>
  <c r="E46" i="5"/>
  <c r="E32"/>
  <c r="O45" i="6"/>
  <c r="O47" s="1"/>
  <c r="Q47"/>
  <c r="C210" i="13"/>
  <c r="C209"/>
  <c r="E37" i="1"/>
  <c r="L94" i="13"/>
  <c r="Q94"/>
  <c r="O31" i="5"/>
  <c r="P32"/>
  <c r="P33" s="1"/>
  <c r="P44" i="1"/>
  <c r="P45" s="1"/>
  <c r="C105" i="13"/>
  <c r="C129"/>
  <c r="C206"/>
  <c r="C205"/>
  <c r="E91" i="9" s="1"/>
  <c r="Q75" i="1" s="1"/>
  <c r="Q77" s="1"/>
  <c r="Q78" s="1"/>
  <c r="C395" i="13"/>
  <c r="C414"/>
  <c r="C451"/>
  <c r="E28" i="6"/>
  <c r="C187" i="13"/>
  <c r="E96" i="9" s="1"/>
  <c r="Q82" i="1" s="1"/>
  <c r="O82" s="1"/>
  <c r="C186" i="13"/>
  <c r="C344"/>
  <c r="C425"/>
  <c r="C424"/>
  <c r="O24" i="5"/>
  <c r="Q32"/>
  <c r="E87" i="1"/>
  <c r="E17" i="5"/>
  <c r="E35" i="6"/>
  <c r="E17"/>
  <c r="E24" i="7"/>
  <c r="T49" i="6"/>
  <c r="O16" i="7"/>
  <c r="N94" i="13"/>
  <c r="L296"/>
  <c r="Q296"/>
  <c r="N465"/>
  <c r="N463" s="1"/>
  <c r="P17" i="5"/>
  <c r="P18" s="1"/>
  <c r="E160" i="9"/>
  <c r="E54" i="5"/>
  <c r="E27" i="7"/>
  <c r="E36" s="1"/>
  <c r="C379" i="13"/>
  <c r="C378"/>
  <c r="O73" i="1"/>
  <c r="E87" i="9"/>
  <c r="P12" i="1"/>
  <c r="E65"/>
  <c r="E23" i="5"/>
  <c r="R98" i="1"/>
  <c r="R36" i="7"/>
  <c r="M104" i="13"/>
  <c r="M94" s="1"/>
  <c r="L163"/>
  <c r="L147" s="1"/>
  <c r="L127" s="1"/>
  <c r="Q163"/>
  <c r="Q147" s="1"/>
  <c r="Q127" s="1"/>
  <c r="O378"/>
  <c r="L395"/>
  <c r="L394" s="1"/>
  <c r="N395"/>
  <c r="N394" s="1"/>
  <c r="Q395"/>
  <c r="Q394" s="1"/>
  <c r="L413"/>
  <c r="L411" s="1"/>
  <c r="L410" s="1"/>
  <c r="N413"/>
  <c r="N411" s="1"/>
  <c r="O43" i="5"/>
  <c r="C470" i="13"/>
  <c r="S36" i="7"/>
  <c r="Q53" i="1"/>
  <c r="E182" i="9"/>
  <c r="P43" i="6"/>
  <c r="P48" s="1"/>
  <c r="Q17"/>
  <c r="O13" i="7"/>
  <c r="F6" i="9"/>
  <c r="G6"/>
  <c r="H6"/>
  <c r="Q18" i="1"/>
  <c r="Q37"/>
  <c r="O9" i="8"/>
  <c r="O25" s="1"/>
  <c r="Q17" i="5"/>
  <c r="Q18" s="1"/>
  <c r="Q26" i="1"/>
  <c r="O43" i="6"/>
  <c r="O9"/>
  <c r="O9" i="5"/>
  <c r="O26" i="7"/>
  <c r="O15"/>
  <c r="O8"/>
  <c r="E6" i="9"/>
  <c r="O11" i="6"/>
  <c r="O33"/>
  <c r="E167" i="9"/>
  <c r="E154"/>
  <c r="Q45" i="5"/>
  <c r="Q46" s="1"/>
  <c r="Q24" i="7"/>
  <c r="Q23" i="5"/>
  <c r="Q44" i="1"/>
  <c r="P45" i="5"/>
  <c r="P46" s="1"/>
  <c r="N19" i="8"/>
  <c r="Q18" i="7"/>
  <c r="P98" i="1"/>
  <c r="Q73"/>
  <c r="Q74" s="1"/>
  <c r="R47" i="6"/>
  <c r="R48" s="1"/>
  <c r="E38" i="9"/>
  <c r="E62"/>
  <c r="N17" i="8"/>
  <c r="R25"/>
  <c r="P65" i="1"/>
  <c r="E79" i="9"/>
  <c r="O26" i="1"/>
  <c r="K20" s="1"/>
  <c r="E113" i="9"/>
  <c r="N21" i="8"/>
  <c r="N14"/>
  <c r="O22" i="7"/>
  <c r="P36"/>
  <c r="O34" i="5"/>
  <c r="O19" l="1"/>
  <c r="K40" i="6"/>
  <c r="K38"/>
  <c r="K39"/>
  <c r="K37"/>
  <c r="C26" i="13"/>
  <c r="C21"/>
  <c r="M3"/>
  <c r="C76"/>
  <c r="C70"/>
  <c r="Q3"/>
  <c r="L3"/>
  <c r="C5"/>
  <c r="C4"/>
  <c r="N127"/>
  <c r="C38"/>
  <c r="M410"/>
  <c r="M393" s="1"/>
  <c r="N410"/>
  <c r="O62" i="1"/>
  <c r="N8" i="8"/>
  <c r="R33" i="5"/>
  <c r="R56" s="1"/>
  <c r="P25" i="8"/>
  <c r="O93" i="13"/>
  <c r="O2" s="1"/>
  <c r="O35" i="6"/>
  <c r="O74" i="1"/>
  <c r="K72"/>
  <c r="K70"/>
  <c r="K66"/>
  <c r="K71"/>
  <c r="K69"/>
  <c r="K67"/>
  <c r="O28" i="7"/>
  <c r="Q29"/>
  <c r="O25"/>
  <c r="Q27"/>
  <c r="O23" i="6"/>
  <c r="O28" s="1"/>
  <c r="R28"/>
  <c r="R36" s="1"/>
  <c r="Q393" i="13"/>
  <c r="N20" i="8"/>
  <c r="K30" i="6"/>
  <c r="R53" i="1"/>
  <c r="R65" s="1"/>
  <c r="K32" i="6"/>
  <c r="O24" i="7"/>
  <c r="K22" s="1"/>
  <c r="O27"/>
  <c r="K26" s="1"/>
  <c r="N11" i="8"/>
  <c r="K68" i="1"/>
  <c r="O23" i="5"/>
  <c r="O17"/>
  <c r="K24" i="1"/>
  <c r="K22"/>
  <c r="K25"/>
  <c r="K23"/>
  <c r="K21"/>
  <c r="K19"/>
  <c r="O11" i="7"/>
  <c r="O32" i="5"/>
  <c r="Q36" i="6"/>
  <c r="R49"/>
  <c r="T32" i="5"/>
  <c r="T33" s="1"/>
  <c r="T56" s="1"/>
  <c r="N13" i="8"/>
  <c r="N9"/>
  <c r="R27" i="1"/>
  <c r="Q36" i="7"/>
  <c r="O18"/>
  <c r="O17" i="6"/>
  <c r="Q48"/>
  <c r="R45" i="1"/>
  <c r="O48" i="5"/>
  <c r="Q54"/>
  <c r="Q55" s="1"/>
  <c r="O89" i="1"/>
  <c r="Q91"/>
  <c r="O53"/>
  <c r="P49" i="6"/>
  <c r="O48"/>
  <c r="O45" i="5"/>
  <c r="K35" s="1"/>
  <c r="Q33"/>
  <c r="P56"/>
  <c r="O64" i="1"/>
  <c r="P27"/>
  <c r="Q45"/>
  <c r="K6" i="8"/>
  <c r="K25" s="1"/>
  <c r="L25" s="1"/>
  <c r="O44" i="1"/>
  <c r="O12"/>
  <c r="K9" s="1"/>
  <c r="O33" i="5"/>
  <c r="C5" i="9"/>
  <c r="Q97" i="1"/>
  <c r="O93"/>
  <c r="O97" s="1"/>
  <c r="C104" i="13"/>
  <c r="E55" i="5"/>
  <c r="E18"/>
  <c r="C343" i="13"/>
  <c r="E92" i="9"/>
  <c r="C465" i="13"/>
  <c r="C463"/>
  <c r="L393"/>
  <c r="L93" s="1"/>
  <c r="L2" s="1"/>
  <c r="Q93"/>
  <c r="Q2" s="1"/>
  <c r="E33" i="5"/>
  <c r="E88" i="1"/>
  <c r="E97" i="9"/>
  <c r="C448" i="13"/>
  <c r="C450"/>
  <c r="N18" i="8"/>
  <c r="N393" i="13"/>
  <c r="N93" s="1"/>
  <c r="N2" s="1"/>
  <c r="M93"/>
  <c r="M2" s="1"/>
  <c r="E36" i="6"/>
  <c r="C394" i="13"/>
  <c r="C128"/>
  <c r="E45" i="1"/>
  <c r="Q27"/>
  <c r="O18"/>
  <c r="O37"/>
  <c r="Q64"/>
  <c r="Q65" s="1"/>
  <c r="N12" i="8"/>
  <c r="Q56" i="5" l="1"/>
  <c r="C37" i="13"/>
  <c r="C3"/>
  <c r="K21" i="7"/>
  <c r="K16" i="1"/>
  <c r="K17"/>
  <c r="K15"/>
  <c r="K13"/>
  <c r="K14"/>
  <c r="K43"/>
  <c r="K41"/>
  <c r="K39"/>
  <c r="K42"/>
  <c r="K38"/>
  <c r="K40"/>
  <c r="K60"/>
  <c r="K58"/>
  <c r="K56"/>
  <c r="K54"/>
  <c r="K63"/>
  <c r="K61"/>
  <c r="K59"/>
  <c r="K57"/>
  <c r="K55"/>
  <c r="O91"/>
  <c r="O54" i="5"/>
  <c r="K16" i="7"/>
  <c r="K14"/>
  <c r="K13"/>
  <c r="K12"/>
  <c r="K17"/>
  <c r="K23"/>
  <c r="K19"/>
  <c r="K20"/>
  <c r="K31" i="6"/>
  <c r="K29"/>
  <c r="K34"/>
  <c r="O27" i="1"/>
  <c r="K34" i="5"/>
  <c r="K10" i="1"/>
  <c r="K62"/>
  <c r="K43" i="5"/>
  <c r="K8" i="1"/>
  <c r="O46" i="5"/>
  <c r="K41"/>
  <c r="K39"/>
  <c r="K37"/>
  <c r="K44"/>
  <c r="K42"/>
  <c r="K40"/>
  <c r="K38"/>
  <c r="O29" i="7"/>
  <c r="K28" s="1"/>
  <c r="E131" i="9"/>
  <c r="L6" i="1" s="1"/>
  <c r="L99" s="1"/>
  <c r="M99" s="1"/>
  <c r="K15" i="7"/>
  <c r="K25"/>
  <c r="K33" i="6"/>
  <c r="K11" i="1"/>
  <c r="K36" i="5"/>
  <c r="K21"/>
  <c r="K22"/>
  <c r="K20"/>
  <c r="K19"/>
  <c r="O36" i="6"/>
  <c r="O18" i="5"/>
  <c r="K16"/>
  <c r="K14"/>
  <c r="K12"/>
  <c r="K10"/>
  <c r="K8"/>
  <c r="K17"/>
  <c r="K15"/>
  <c r="K13"/>
  <c r="K11"/>
  <c r="K9"/>
  <c r="K36" i="1"/>
  <c r="K34"/>
  <c r="K32"/>
  <c r="K28"/>
  <c r="K35"/>
  <c r="K33"/>
  <c r="K31"/>
  <c r="K29"/>
  <c r="K30"/>
  <c r="K18"/>
  <c r="K12"/>
  <c r="K26"/>
  <c r="K9" i="7"/>
  <c r="K10"/>
  <c r="K8"/>
  <c r="K52" i="1"/>
  <c r="K50"/>
  <c r="K46"/>
  <c r="K51"/>
  <c r="K49"/>
  <c r="K47"/>
  <c r="K48"/>
  <c r="K31" i="5"/>
  <c r="K29"/>
  <c r="K27"/>
  <c r="K25"/>
  <c r="K32"/>
  <c r="K30"/>
  <c r="K28"/>
  <c r="K24"/>
  <c r="K23"/>
  <c r="K26"/>
  <c r="Q49" i="6"/>
  <c r="Q98" i="1"/>
  <c r="O65"/>
  <c r="K64" s="1"/>
  <c r="R99"/>
  <c r="N22" i="8"/>
  <c r="O45" i="1"/>
  <c r="K44" s="1"/>
  <c r="O98"/>
  <c r="K97" s="1"/>
  <c r="O49" i="6"/>
  <c r="K48" s="1"/>
  <c r="P78" i="1"/>
  <c r="P99" s="1"/>
  <c r="O75"/>
  <c r="O76"/>
  <c r="O87"/>
  <c r="Q87"/>
  <c r="Q88" s="1"/>
  <c r="Q99" s="1"/>
  <c r="C413" i="13"/>
  <c r="E99" i="1"/>
  <c r="E49" i="6"/>
  <c r="C337" i="13"/>
  <c r="E56" i="5"/>
  <c r="C163" i="13"/>
  <c r="C94"/>
  <c r="O77" i="1" l="1"/>
  <c r="K75" s="1"/>
  <c r="N25" i="8"/>
  <c r="O55" i="5"/>
  <c r="O56" s="1"/>
  <c r="K33" s="1"/>
  <c r="K53"/>
  <c r="K51"/>
  <c r="K49"/>
  <c r="K47"/>
  <c r="K54"/>
  <c r="K52"/>
  <c r="K50"/>
  <c r="K90" i="1"/>
  <c r="K91"/>
  <c r="O36" i="7"/>
  <c r="O78" i="1"/>
  <c r="K48" i="5"/>
  <c r="K89" i="1"/>
  <c r="K35" i="6"/>
  <c r="K20"/>
  <c r="K36"/>
  <c r="K28"/>
  <c r="K17"/>
  <c r="K37" i="1"/>
  <c r="O88"/>
  <c r="K86"/>
  <c r="K84"/>
  <c r="K82"/>
  <c r="K80"/>
  <c r="K85"/>
  <c r="K81"/>
  <c r="K79"/>
  <c r="K83"/>
  <c r="K53"/>
  <c r="K46" i="5"/>
  <c r="K55"/>
  <c r="K18"/>
  <c r="C4" i="9"/>
  <c r="O99" i="1"/>
  <c r="K78" s="1"/>
  <c r="L78" s="1"/>
  <c r="L77" s="1"/>
  <c r="C3" i="9"/>
  <c r="C336" i="13"/>
  <c r="C2" i="9"/>
  <c r="C147" i="13"/>
  <c r="C411"/>
  <c r="K76" i="1" l="1"/>
  <c r="L75"/>
  <c r="M75" s="1"/>
  <c r="F339" i="9"/>
  <c r="K24" i="7"/>
  <c r="K29"/>
  <c r="K35"/>
  <c r="K18"/>
  <c r="K27"/>
  <c r="K11"/>
  <c r="J24" i="8"/>
  <c r="K24" s="1"/>
  <c r="J11"/>
  <c r="K11" s="1"/>
  <c r="J9"/>
  <c r="K9" s="1"/>
  <c r="J22"/>
  <c r="K22" s="1"/>
  <c r="M77" i="1"/>
  <c r="K98"/>
  <c r="L98" s="1"/>
  <c r="K65"/>
  <c r="L65" s="1"/>
  <c r="L64" s="1"/>
  <c r="K74"/>
  <c r="L74" s="1"/>
  <c r="L73" s="1"/>
  <c r="L70" s="1"/>
  <c r="M70" s="1"/>
  <c r="K27"/>
  <c r="L27" s="1"/>
  <c r="L18" s="1"/>
  <c r="L13" s="1"/>
  <c r="M13" s="1"/>
  <c r="K88"/>
  <c r="L88" s="1"/>
  <c r="K45"/>
  <c r="L45" s="1"/>
  <c r="L76"/>
  <c r="M76" s="1"/>
  <c r="L66"/>
  <c r="M66" s="1"/>
  <c r="L69"/>
  <c r="M69" s="1"/>
  <c r="L67"/>
  <c r="M67" s="1"/>
  <c r="M78"/>
  <c r="C410" i="13"/>
  <c r="C393"/>
  <c r="L97" i="1"/>
  <c r="L91"/>
  <c r="M98"/>
  <c r="C335" i="13"/>
  <c r="C334"/>
  <c r="M74" i="1"/>
  <c r="C127" i="13"/>
  <c r="C6" i="9"/>
  <c r="L53" i="1"/>
  <c r="M65"/>
  <c r="L68" l="1"/>
  <c r="M68" s="1"/>
  <c r="L71"/>
  <c r="M71" s="1"/>
  <c r="M73"/>
  <c r="L72"/>
  <c r="M72" s="1"/>
  <c r="L22" i="8"/>
  <c r="K15"/>
  <c r="L15" s="1"/>
  <c r="K12"/>
  <c r="L12" s="1"/>
  <c r="K14"/>
  <c r="L14" s="1"/>
  <c r="K20"/>
  <c r="L20" s="1"/>
  <c r="K17"/>
  <c r="L17" s="1"/>
  <c r="K16"/>
  <c r="L16" s="1"/>
  <c r="K19"/>
  <c r="L19" s="1"/>
  <c r="K13"/>
  <c r="L13" s="1"/>
  <c r="K21"/>
  <c r="L21" s="1"/>
  <c r="K18"/>
  <c r="L18" s="1"/>
  <c r="K10"/>
  <c r="L10" s="1"/>
  <c r="L11"/>
  <c r="L9"/>
  <c r="K8"/>
  <c r="L8" s="1"/>
  <c r="K23"/>
  <c r="L23" s="1"/>
  <c r="L24"/>
  <c r="L15" i="1"/>
  <c r="M15" s="1"/>
  <c r="M27"/>
  <c r="M88"/>
  <c r="L87"/>
  <c r="L14"/>
  <c r="M14" s="1"/>
  <c r="M45"/>
  <c r="L37"/>
  <c r="L44"/>
  <c r="L26"/>
  <c r="L20" s="1"/>
  <c r="M20" s="1"/>
  <c r="L12"/>
  <c r="L10" s="1"/>
  <c r="M10" s="1"/>
  <c r="M18"/>
  <c r="L16"/>
  <c r="M16" s="1"/>
  <c r="L17"/>
  <c r="M17" s="1"/>
  <c r="L11"/>
  <c r="M11" s="1"/>
  <c r="L25"/>
  <c r="M25" s="1"/>
  <c r="C93" i="13"/>
  <c r="C2"/>
  <c r="L96" i="1"/>
  <c r="M96" s="1"/>
  <c r="M97"/>
  <c r="L95"/>
  <c r="M95" s="1"/>
  <c r="L93"/>
  <c r="M93" s="1"/>
  <c r="L94"/>
  <c r="M94" s="1"/>
  <c r="L92"/>
  <c r="M92" s="1"/>
  <c r="L55"/>
  <c r="M55" s="1"/>
  <c r="L57"/>
  <c r="M57" s="1"/>
  <c r="L54"/>
  <c r="M54" s="1"/>
  <c r="L59"/>
  <c r="M59" s="1"/>
  <c r="M64"/>
  <c r="L62"/>
  <c r="M62" s="1"/>
  <c r="L63"/>
  <c r="M63" s="1"/>
  <c r="L56"/>
  <c r="M56" s="1"/>
  <c r="L61"/>
  <c r="M61" s="1"/>
  <c r="L60"/>
  <c r="M60" s="1"/>
  <c r="L58"/>
  <c r="M58" s="1"/>
  <c r="L52"/>
  <c r="M52" s="1"/>
  <c r="L50"/>
  <c r="M50" s="1"/>
  <c r="L47"/>
  <c r="M47" s="1"/>
  <c r="L49"/>
  <c r="M49" s="1"/>
  <c r="L51"/>
  <c r="M51" s="1"/>
  <c r="M53"/>
  <c r="L48"/>
  <c r="M48" s="1"/>
  <c r="L46"/>
  <c r="M46" s="1"/>
  <c r="M91"/>
  <c r="L90"/>
  <c r="M90" s="1"/>
  <c r="L89"/>
  <c r="M89" s="1"/>
  <c r="L23" l="1"/>
  <c r="M23" s="1"/>
  <c r="L21"/>
  <c r="M21" s="1"/>
  <c r="L22"/>
  <c r="M22" s="1"/>
  <c r="L24"/>
  <c r="M24" s="1"/>
  <c r="M12"/>
  <c r="M26"/>
  <c r="L29"/>
  <c r="M29" s="1"/>
  <c r="L33"/>
  <c r="M33" s="1"/>
  <c r="L31"/>
  <c r="M31" s="1"/>
  <c r="L35"/>
  <c r="M35" s="1"/>
  <c r="L28"/>
  <c r="M28" s="1"/>
  <c r="L32"/>
  <c r="M32" s="1"/>
  <c r="M37"/>
  <c r="L30"/>
  <c r="M30" s="1"/>
  <c r="L36"/>
  <c r="M36" s="1"/>
  <c r="L34"/>
  <c r="M34" s="1"/>
  <c r="L43"/>
  <c r="M43" s="1"/>
  <c r="L42"/>
  <c r="M42" s="1"/>
  <c r="M44"/>
  <c r="L39"/>
  <c r="M39" s="1"/>
  <c r="L40"/>
  <c r="M40" s="1"/>
  <c r="L41"/>
  <c r="M41" s="1"/>
  <c r="L38"/>
  <c r="M38" s="1"/>
  <c r="L83"/>
  <c r="M83" s="1"/>
  <c r="L82"/>
  <c r="M82" s="1"/>
  <c r="L81"/>
  <c r="M81" s="1"/>
  <c r="L85"/>
  <c r="M85" s="1"/>
  <c r="L86"/>
  <c r="M86" s="1"/>
  <c r="M87"/>
  <c r="L79"/>
  <c r="M79" s="1"/>
  <c r="L84"/>
  <c r="M84" s="1"/>
  <c r="L80"/>
  <c r="M80" s="1"/>
  <c r="L9"/>
  <c r="M9" s="1"/>
  <c r="L8"/>
  <c r="M8" s="1"/>
  <c r="L19"/>
  <c r="M19" s="1"/>
</calcChain>
</file>

<file path=xl/sharedStrings.xml><?xml version="1.0" encoding="utf-8"?>
<sst xmlns="http://schemas.openxmlformats.org/spreadsheetml/2006/main" count="1606" uniqueCount="1280">
  <si>
    <t>2.3.1.4.4.12</t>
  </si>
  <si>
    <t>Preinversion</t>
  </si>
  <si>
    <t>2.3.1.4.4.13</t>
  </si>
  <si>
    <t>Programa de Bienestar Social y Salud Ocupacional</t>
  </si>
  <si>
    <t>2.3.1.4.4.14</t>
  </si>
  <si>
    <t>2.3.1.4.4.16</t>
  </si>
  <si>
    <t>2.3.1.4.4.17</t>
  </si>
  <si>
    <t>2.3.2</t>
  </si>
  <si>
    <t>INVERSIÓN CON S.G.P SIN SALUD</t>
  </si>
  <si>
    <t>2.3.2.1</t>
  </si>
  <si>
    <t>2.3.2.1.1</t>
  </si>
  <si>
    <t>2.3.2.1.1.02</t>
  </si>
  <si>
    <t>2.3.2.1.1.03</t>
  </si>
  <si>
    <t>2.3.2.1.1.05</t>
  </si>
  <si>
    <t>2.3.2.1.1.06</t>
  </si>
  <si>
    <t>2.3.2.1.1.07</t>
  </si>
  <si>
    <t>2.3.2.1.1.08</t>
  </si>
  <si>
    <t>2.3.2.1.1.09</t>
  </si>
  <si>
    <t>2.3.2.2</t>
  </si>
  <si>
    <t>2.3.2.2.1</t>
  </si>
  <si>
    <t>2.3.2.2.2</t>
  </si>
  <si>
    <t>2.3.2.3</t>
  </si>
  <si>
    <t>2.3.2.3.1</t>
  </si>
  <si>
    <t>2.3.2.3.1.1</t>
  </si>
  <si>
    <t>2.3.2.3.2</t>
  </si>
  <si>
    <t>2.3.2.3.3</t>
  </si>
  <si>
    <t>AMBIENTAL</t>
  </si>
  <si>
    <t>AGROPECUARIO</t>
  </si>
  <si>
    <t>DEPORTE</t>
  </si>
  <si>
    <t>2.3.2.4</t>
  </si>
  <si>
    <t>2.3.3</t>
  </si>
  <si>
    <t>FONDOS ESPECIALES</t>
  </si>
  <si>
    <t>2.3.3.01</t>
  </si>
  <si>
    <t>FONDO LOCAL DE SALUD</t>
  </si>
  <si>
    <t>Servicios personales indirectos</t>
  </si>
  <si>
    <t>Adquisición de bienes</t>
  </si>
  <si>
    <t>Adquisición de servicios</t>
  </si>
  <si>
    <t>2.3.3.01.2</t>
  </si>
  <si>
    <t>2.3.3.01.2.1</t>
  </si>
  <si>
    <t>2.3.3.01.2.1.01</t>
  </si>
  <si>
    <t>Régimen subsidiado continuidad S.G.P</t>
  </si>
  <si>
    <t>2.3.3.01.2.1.02</t>
  </si>
  <si>
    <t>Régimen subsidiado ampliación S.G.P</t>
  </si>
  <si>
    <t>2.3.3.01.2.1.03</t>
  </si>
  <si>
    <t>Régimen subsidiado FOSYGA</t>
  </si>
  <si>
    <t>2.3.3.01.2.1.04</t>
  </si>
  <si>
    <t>2.3.3.01.2.1.05</t>
  </si>
  <si>
    <t>Régimen subsidiado con rentas cedidas</t>
  </si>
  <si>
    <t>2.3.3.01.2.1.06</t>
  </si>
  <si>
    <t>Otros subsidios a la demanda</t>
  </si>
  <si>
    <t>2.3.3.01.2.1.07</t>
  </si>
  <si>
    <t>2.3.3.01.2.1.08</t>
  </si>
  <si>
    <t>Promoción y prevención régimen subsidiado</t>
  </si>
  <si>
    <t>DE BALANCE</t>
  </si>
  <si>
    <t>ETESA</t>
  </si>
  <si>
    <t>Rentas cedidas régimen subsidiado</t>
  </si>
  <si>
    <t>Convenios departamentales</t>
  </si>
  <si>
    <t>Régimen Subsidiado Continuidad SGP</t>
  </si>
  <si>
    <t>Régimen Subsidiado Ampliación SGP</t>
  </si>
  <si>
    <t>2.3.3.01.2.2</t>
  </si>
  <si>
    <t>2.3.3.01.2.2.1</t>
  </si>
  <si>
    <t>2.3.3.01.2.2.3</t>
  </si>
  <si>
    <t>Rendimientos financieros</t>
  </si>
  <si>
    <t>DESPLAZDOS</t>
  </si>
  <si>
    <t>NIÑEZ</t>
  </si>
  <si>
    <t>MUJER</t>
  </si>
  <si>
    <t>PORCENTAJE DE PARTICIP</t>
  </si>
  <si>
    <t>TOTAL EJE</t>
  </si>
  <si>
    <t xml:space="preserve">PRESUPUESTO </t>
  </si>
  <si>
    <t>TOTAL</t>
  </si>
  <si>
    <t>2.3.3.01.2.3</t>
  </si>
  <si>
    <t>2.3.3.01.2.3.1</t>
  </si>
  <si>
    <t>2.3.3.01.2.3.2</t>
  </si>
  <si>
    <t>2.3.3.01.2.3.3</t>
  </si>
  <si>
    <t>Gastos por recursos de capital en salud pública</t>
  </si>
  <si>
    <t>Del balance salud pública</t>
  </si>
  <si>
    <t>OTROS GASTOS DEL SECTOR SALUD</t>
  </si>
  <si>
    <t>Empres Territorial para la salud (ETESA)</t>
  </si>
  <si>
    <t>Gastos con otros Ingresos municipales</t>
  </si>
  <si>
    <t>2.3.3.02</t>
  </si>
  <si>
    <t>2.3.3.03</t>
  </si>
  <si>
    <t>2.3.3.04</t>
  </si>
  <si>
    <t>2.3.3.05</t>
  </si>
  <si>
    <t>2.3.3.06</t>
  </si>
  <si>
    <t>2.3.3.07</t>
  </si>
  <si>
    <t>2.3.3.08</t>
  </si>
  <si>
    <t>Orden público</t>
  </si>
  <si>
    <t>ESTAMPILLA PROCULTURA</t>
  </si>
  <si>
    <t>Construcción adecuación mejoramiento y mant. infraestructura</t>
  </si>
  <si>
    <t>Formación y capacitación técnica y cultural del gestor cultural</t>
  </si>
  <si>
    <t>Seguridad social creador y gestor cultural</t>
  </si>
  <si>
    <t>Pasivo pensional municipal</t>
  </si>
  <si>
    <t>Apoyo a programas de expresión cultural, artística Art.17 Ley 397/97</t>
  </si>
  <si>
    <t>2.3.4</t>
  </si>
  <si>
    <t>2.3.4.1</t>
  </si>
  <si>
    <t>2.3.4.1.1</t>
  </si>
  <si>
    <t>2.3.4.1.2</t>
  </si>
  <si>
    <t>2.3.4.1.3</t>
  </si>
  <si>
    <t>RUBRO (S)</t>
  </si>
  <si>
    <t>DIST. X PARTICIP</t>
  </si>
  <si>
    <t>PROPIOS</t>
  </si>
  <si>
    <t>SGPSIN SALUD</t>
  </si>
  <si>
    <t>RESERVAS</t>
  </si>
  <si>
    <t>2.3.4.2</t>
  </si>
  <si>
    <t>2.3.4.2.1</t>
  </si>
  <si>
    <t>2.3.4.2.2</t>
  </si>
  <si>
    <t>2.3.4.3</t>
  </si>
  <si>
    <t>2.3.4.3.1</t>
  </si>
  <si>
    <t>2.3.5</t>
  </si>
  <si>
    <t>2.3.5.1</t>
  </si>
  <si>
    <t>2.3.5.1.1</t>
  </si>
  <si>
    <t>2.3.5.1.1.1</t>
  </si>
  <si>
    <t>2.3.5.2</t>
  </si>
  <si>
    <t>2.3.5.2.1</t>
  </si>
  <si>
    <t>2.3.5.2.1.1</t>
  </si>
  <si>
    <t>Alimentación Escolar</t>
  </si>
  <si>
    <t>Cultura</t>
  </si>
  <si>
    <t>2.3.5.3</t>
  </si>
  <si>
    <t>Fondos Especiales</t>
  </si>
  <si>
    <t>2.3.5.3.1</t>
  </si>
  <si>
    <t>2.3.5.3.1.1</t>
  </si>
  <si>
    <t>2.3.5.3.1.2</t>
  </si>
  <si>
    <t>2.3.5.3.1.2.1</t>
  </si>
  <si>
    <t>2.3.5.3.2</t>
  </si>
  <si>
    <t>2.3.5.3.2.1</t>
  </si>
  <si>
    <t>Transporte escolar</t>
  </si>
  <si>
    <t>Fondo de solidaridad rural</t>
  </si>
  <si>
    <t>GASTOS POR RECURSOS DE CAPITAL</t>
  </si>
  <si>
    <t>DEL ACTIVO</t>
  </si>
  <si>
    <t>DEL CREDITO</t>
  </si>
  <si>
    <t>Deporte y recreación</t>
  </si>
  <si>
    <t>TURISMO</t>
  </si>
  <si>
    <t>FORTALECIMIENTO</t>
  </si>
  <si>
    <t>Vivienda</t>
  </si>
  <si>
    <t>RUBROS</t>
  </si>
  <si>
    <t>DEFINITIVO</t>
  </si>
  <si>
    <t>CONVENCIONES</t>
  </si>
  <si>
    <t>TOTAL SECTOR</t>
  </si>
  <si>
    <t>COMPONENTE</t>
  </si>
  <si>
    <t xml:space="preserve">PROGRAMA </t>
  </si>
  <si>
    <t>SUBPROGRAMA</t>
  </si>
  <si>
    <t>PROYECTO</t>
  </si>
  <si>
    <t>COSTO TOTAL</t>
  </si>
  <si>
    <t>RP.</t>
  </si>
  <si>
    <t>SGP</t>
  </si>
  <si>
    <t>OTROS RECUROS DE INV.</t>
  </si>
  <si>
    <t xml:space="preserve">    COFIN.</t>
  </si>
  <si>
    <t>DEP</t>
  </si>
  <si>
    <t>NAL</t>
  </si>
  <si>
    <t>SALUD</t>
  </si>
  <si>
    <t>Subtotal</t>
  </si>
  <si>
    <t>Total Salud</t>
  </si>
  <si>
    <t>EDUCACION</t>
  </si>
  <si>
    <t>COBERTURA EDUCATIVA.</t>
  </si>
  <si>
    <t>Fortalecimiento de los restaurantes escolares en convenio con el I.C.B.F y entrega de refrigerios a la población infantil.</t>
  </si>
  <si>
    <t>CALIDAD PARA UNA REALIDAD SOCIAL Y CULTURAL</t>
  </si>
  <si>
    <t>FORTALECIMIENTO DE LAS ENTIDADES EDUCATIVAS</t>
  </si>
  <si>
    <t>Adquisición y producción de material didáctico y ayudas educativas acordes con el entorno del sistema municipio.</t>
  </si>
  <si>
    <t xml:space="preserve"> Mantenimiento de centros educativos urbanos y rurales del municipio de la Celia</t>
  </si>
  <si>
    <t>Puesta en funcionamiento de la JUME.</t>
  </si>
  <si>
    <t>Apoyo a educadores comprometidos con la comunidad por medio de incentivos y la búsqueda de la continuidad laboral.</t>
  </si>
  <si>
    <t>Fortalecimiento y/o creación de Escuelas de Padres en los establecimientos educativos.</t>
  </si>
  <si>
    <t>EDUCACIÓN AL ALCANCE DE TODOS.</t>
  </si>
  <si>
    <t>OFERTA EDUCATIVA</t>
  </si>
  <si>
    <t>Apoyo y fortalecimiento del bachillerato nocturno.</t>
  </si>
  <si>
    <t>Apoyo y fortalecimiento del Bachillerato en Bienestar Rural.</t>
  </si>
  <si>
    <t>Elaboración de diagnostico cultural del Municipio y el plan municipal de cultura.</t>
  </si>
  <si>
    <t>Capacitación y formación de gestores culturales (Programa de fomento a la cultura).</t>
  </si>
  <si>
    <t>Apoyo al talento de personas sobresalientes en el aspecto cultural y artístico.</t>
  </si>
  <si>
    <t>PROMOCIÓN CULTURAL A NIVEL URBANO Y RURAL.</t>
  </si>
  <si>
    <t>Fomento y divulgación de la cultura Municipal (peña cultural, cineforo entre otros) de manera descentralizada.</t>
  </si>
  <si>
    <t>CULTURA</t>
  </si>
  <si>
    <t>Total Cultura</t>
  </si>
  <si>
    <t>GENERACIÓN DE CONDICIONES PARA EL EMPRENDIMIENTO DE LA RECREACION  Y EL DEPORTE</t>
  </si>
  <si>
    <t>Construcción, ampliación y mejoramiento de escenarios deportivos</t>
  </si>
  <si>
    <t>Construcción, ampliación y mantenimiento de escenarios deportivos rurales y urbanos.</t>
  </si>
  <si>
    <t>Capacitación y formación de líderes deportivos, recreación y lúdica a nivel rural y urbano</t>
  </si>
  <si>
    <t>Apoyo a talentos deportivos</t>
  </si>
  <si>
    <t>PROGRAMACION</t>
  </si>
  <si>
    <t>DISTRIBUCION</t>
  </si>
  <si>
    <t xml:space="preserve">DISTRIBUCION </t>
  </si>
  <si>
    <t>PROMOCIÓN DEL DEPORTE Y LA RECREACIÓN EN TODOS LOS SECTORES POBLACIONALES</t>
  </si>
  <si>
    <t>Fortalecimiento de los juegos municipales campesinos</t>
  </si>
  <si>
    <t>Desarrollo de olimpiadas deportivas y recreativas municipales</t>
  </si>
  <si>
    <t>Realización de olimpiadas especiales</t>
  </si>
  <si>
    <t>Realización de diferentes campeonatos en el municipio</t>
  </si>
  <si>
    <t>Implementación de un campeonato regional de fútbol.</t>
  </si>
  <si>
    <t>Actividades recreativas y deportivas con la población adulta mayor</t>
  </si>
  <si>
    <t>Actividades recreativas y deportivas con la Población discapacitada</t>
  </si>
  <si>
    <t>DEPORTE Y RECREACION</t>
  </si>
  <si>
    <t>Total Deporte y Recreación</t>
  </si>
  <si>
    <t>ADULTO MAYOR</t>
  </si>
  <si>
    <t>APOYO A ADULTOS MAYORES Y DISCAPACITADOS DEL MUNICIPIO</t>
  </si>
  <si>
    <t>Sensibilización a las familias de adultos mayores y discapacitados</t>
  </si>
  <si>
    <t>Proyecto productivo para adultos mayores</t>
  </si>
  <si>
    <t>Apoyo al hogar del anciano</t>
  </si>
  <si>
    <t>Actividades recreativas pro mejoramiento de la calidad de vida de la tercera edad</t>
  </si>
  <si>
    <t>Apoyo al adulta mayor especial y/o con limitaciones</t>
  </si>
  <si>
    <t>POBLACION DESPLAZADA</t>
  </si>
  <si>
    <t>% DE PARTIC</t>
  </si>
  <si>
    <t>Aplicación de la sentencia T – 025 DE 2004</t>
  </si>
  <si>
    <t>NIÑEZ INFANCIA, ADOLESCENCIA Y JUVENTUD</t>
  </si>
  <si>
    <t>Apoyo a la niñez, infancia, adolescencia y juventud especial y/o con limitaciones</t>
  </si>
  <si>
    <t>Promoción de grupos juveniles a nivel cultural, ambiental, de salud y recreación y deporte.</t>
  </si>
  <si>
    <t>Sensibilizar la comunidad para la denuncia de casos de abuso o explotación sexual y o laboral en menores de 18 años</t>
  </si>
  <si>
    <t>Atención a niños, niñas, infantes y adolescentes victimas de abuso o explotación sexual y o laboral, en abandono, maltrato, en condiciones de inseguridad alimentaria extrema o en conflicto con la ley penal</t>
  </si>
  <si>
    <t xml:space="preserve">Promoción de la convivencia familiar y aplicación de la Ley de infancia y
Adolescencia (JUSTICIA – COMISARIA DE FAMILIA)
</t>
  </si>
  <si>
    <t>ATENCION A MUJERES</t>
  </si>
  <si>
    <t>GENERACIÓN DE INGRESOS PARA MUJERES CABEZA DE HOGAR</t>
  </si>
  <si>
    <t>Apoyo a la creación de microempresas de mujeres cabeza de hogar</t>
  </si>
  <si>
    <t>Fortalecimiento al grupo de recicladoras del municipio</t>
  </si>
  <si>
    <t>ORGANIZACIÓN Y FORMACION PARA LA EQUIDAD DE GENERO</t>
  </si>
  <si>
    <t>Impulso a la creación de organizaciones productivas de mujeres en el municipio</t>
  </si>
  <si>
    <t>Importancia de la mujer desde el sistema educativo</t>
  </si>
  <si>
    <t>Total Adulto Mayor</t>
  </si>
  <si>
    <t>VIVIENDA</t>
  </si>
  <si>
    <t>Total Mujeres</t>
  </si>
  <si>
    <t>Total Fomento a la Vivienda</t>
  </si>
  <si>
    <t>Total Poblacion Desplazada</t>
  </si>
  <si>
    <t>Total Educacion</t>
  </si>
  <si>
    <t>ATENCION A LOS DESPLAZADOS POR LA VIOLENCIA EN EL PAIS</t>
  </si>
  <si>
    <t>Construcción, mejoramiento y apoyo a la vivienda.</t>
  </si>
  <si>
    <t>Promover la creación del banco de tierras</t>
  </si>
  <si>
    <t>Asesoría y apoyo a las comunidades para legalizar predios.</t>
  </si>
  <si>
    <t>Construcción de unidades sanitarias y construcción de sistemas sépticos.</t>
  </si>
  <si>
    <t>Reubicación de viviendas  de alto riesgo del Municipio de la Celia.</t>
  </si>
  <si>
    <t>Viviendas con energía.</t>
  </si>
  <si>
    <t xml:space="preserve">FOMENTO A LA VIVIENDA </t>
  </si>
  <si>
    <t>Creación de un comité técnico de vivienda</t>
  </si>
  <si>
    <t>Ambientes saludables</t>
  </si>
  <si>
    <t xml:space="preserve">CONSOLIDACIÓN DE LA MALLA VIAL </t>
  </si>
  <si>
    <t>Elaboración del plan vial.</t>
  </si>
  <si>
    <t>EQUIPAMIENTO URBANO Y RURAL.</t>
  </si>
  <si>
    <t>Adecuación y mejoramiento de las instalaciones de la planta de sacrificio municipal.</t>
  </si>
  <si>
    <t>Remodelación y ampliación del palacio municipal.</t>
  </si>
  <si>
    <t>VIAS E INFRAESTRUCTURA</t>
  </si>
  <si>
    <t>Mantenimiento y mejoramiento</t>
  </si>
  <si>
    <t>Mantenimiento de la malla vial urbana y rural</t>
  </si>
  <si>
    <t>FORTALECIMIENTO AL PEQUEÑO PRODUCTOR.</t>
  </si>
  <si>
    <t>Puesta en funcionamiento el centro de acopio del Municipio.</t>
  </si>
  <si>
    <t>Asesoría, Creación y fortalecimiento de  cadenas productivas.</t>
  </si>
  <si>
    <t>Fortalecimiento a las asociaciones productoras.</t>
  </si>
  <si>
    <t>SECTOR AGROPECUARIO</t>
  </si>
  <si>
    <t>Asistencia Tecnica y acompañamiento</t>
  </si>
  <si>
    <t>Capacitación y asistencia técnica y  a los productores del municipio de la Celia</t>
  </si>
  <si>
    <t>Apoyo al sector pecuario</t>
  </si>
  <si>
    <t>GENERANDO TURISMO</t>
  </si>
  <si>
    <t>Construir el Inventario turístico del municipio.</t>
  </si>
  <si>
    <t>Plan de turismo Municipal.</t>
  </si>
  <si>
    <t xml:space="preserve">Crear espacios de atracción turística. </t>
  </si>
  <si>
    <t xml:space="preserve">  </t>
  </si>
  <si>
    <t>EJE ESTRATEGICO SOCIO CULTURAL</t>
  </si>
  <si>
    <t>Dotación a los estudiantes de paquetes escolares</t>
  </si>
  <si>
    <t>Conformación y operatividad del Consejo Municipal de cultura.</t>
  </si>
  <si>
    <t>Remodelación y dotación de la casa de la cultura.</t>
  </si>
  <si>
    <t>FORMACIÓN ARTISTICA Y CULTURAL</t>
  </si>
  <si>
    <t>Capacitar a 120 personas en actividades artesanales y diferentes tipos de manualidades.</t>
  </si>
  <si>
    <t>Realizar capacitaciones en valores, derechos humanos, convivencia pacífica y familia.</t>
  </si>
  <si>
    <t>Realización del Plan Lectura.</t>
  </si>
  <si>
    <t>Realización de Olimpiadas culturales y apoyo a diferentes  actividades culturales.</t>
  </si>
  <si>
    <t>Apoyo a las ferias agro artesanales</t>
  </si>
  <si>
    <t>GESTION DEL PATRIMONIO CULTURAL Y ARQUITECTONICO</t>
  </si>
  <si>
    <t xml:space="preserve">Elaborar un diagnostico y programa para la conservación y valoración del patrimonio  cultural, arquitectónico y urbanístico. </t>
  </si>
  <si>
    <t>Apoyo para la conformación de organizaciones deportivas</t>
  </si>
  <si>
    <t>Elaboración de un plan Municipal de deportes  y recreación.</t>
  </si>
  <si>
    <t>Creación  clubes deportivos,  y escuela de formación deportiva.</t>
  </si>
  <si>
    <t>Apoyar las diferentes actividades deportivas y recreativas municipales.</t>
  </si>
  <si>
    <t>Creación del Club de la salud.</t>
  </si>
  <si>
    <t>Promover la participación activa de los jóvenes en el Municipio.</t>
  </si>
  <si>
    <t>Apoyo y fortalecimiento  al  Consejo Municipal de Juventudes-</t>
  </si>
  <si>
    <t>Fortalecimiento del Consejo de política social y la red del Buen trato.</t>
  </si>
  <si>
    <t xml:space="preserve">Mujeres destinatarias del proyecto de
recreación y actividad física que reconocen su
derecho al descanso, el esparcimiento y la  recreación
</t>
  </si>
  <si>
    <t>Crear una asociación de mujeres.</t>
  </si>
  <si>
    <t>EJE ESTRATEGICO ECONOMICO</t>
  </si>
  <si>
    <t>PERIODO</t>
  </si>
  <si>
    <t>EJE ESTRATEGICO AMBIENTAL</t>
  </si>
  <si>
    <t>EJE ESTRATEGICO INSTITUCIONAL</t>
  </si>
  <si>
    <t>Mejoramiento  de vivienda en el sector urbano y rural.</t>
  </si>
  <si>
    <t>Ambientes seguros</t>
  </si>
  <si>
    <t>MANTENIMIENTO Y MEJORAMIENTO DEL ESPACIO PUBLICO.</t>
  </si>
  <si>
    <t>Mantenimiento y mejoramiento de parques y de zonas de uso publico en deterioro.</t>
  </si>
  <si>
    <t>Creación de un fondo codeudor para pequeños productores asociados ante el Banco Agrario</t>
  </si>
  <si>
    <t>PROTECCIÓN, CONSERVACIÓN Y USO RACIONAL DEL RECURSO HÍDRICO</t>
  </si>
  <si>
    <t>Identificación, recuperación, conservación y manejo de micro cuencas para acueductos veredales a través de convenios</t>
  </si>
  <si>
    <t>Ampliación de la cobertura de alcantarillados en zonas rurales y el corregimiento a partir de modelos alternativos.</t>
  </si>
  <si>
    <t>Reforestación de cuencas y micro cuencas en el municipio</t>
  </si>
  <si>
    <t>Compra de predios ubicados en las cuencas hidrográficas</t>
  </si>
  <si>
    <t>Control de vertimientos y erosión.</t>
  </si>
  <si>
    <t>Control sobre los efectos contaminantes de los procesos productivos en el Municipio.</t>
  </si>
  <si>
    <t>RECUPERACIÓN DE ECOSISTEMAS URBANOS Y RURALES</t>
  </si>
  <si>
    <t>Total vias e infraestructura</t>
  </si>
  <si>
    <t>Ubicación y caracterización de ecosistemas estratégicos de flora, fauna y recurso hídrico de la zona rural para su recuperación y protección .</t>
  </si>
  <si>
    <t>Conservación y restauración de áreas naturales y recursos biológicos vulnerables identificados en el esquema de ordenamiento territorial</t>
  </si>
  <si>
    <t>ORGANIZACIÓN Y EDUCACIÓN AMBIENTAL</t>
  </si>
  <si>
    <t>Poner en marcha el comité ambiental del CMDI (Consejo Municipal de Desarrollo Integral).</t>
  </si>
  <si>
    <t>Capacitación, difusión y fomento para la producción de agricultura orgánica</t>
  </si>
  <si>
    <t>Capacitación en el control integrado de plagas en la producción diversificada</t>
  </si>
  <si>
    <t>Programas de educación ambiental en las instituciones educativas del municipio .</t>
  </si>
  <si>
    <t>RECURSOS NATURALES Y MITIGACIÓN DEL RIESGO</t>
  </si>
  <si>
    <t>Prevención y atención de desastres</t>
  </si>
  <si>
    <t>GESTION INTEGRAL DEL RIESGO.</t>
  </si>
  <si>
    <t>Evaluación y manejo de asentamientos humanos en zonas de riesgo</t>
  </si>
  <si>
    <t>Capacitación en atención y prevención de desastres</t>
  </si>
  <si>
    <t>Fortalecimiento al cuerpo de Bomberos</t>
  </si>
  <si>
    <t>MITIGACION DEL RIESGO</t>
  </si>
  <si>
    <t>Estudio para la  mitigación del riesgo</t>
  </si>
  <si>
    <t>Total recursos naturales y mitigación del riesgo</t>
  </si>
  <si>
    <t>AGUA POTABLE</t>
  </si>
  <si>
    <t>Mantenimiento, mejoramiento, adecuación y construcción de acueductos rurales comunitarios.</t>
  </si>
  <si>
    <t>Construcción  del plan maestro de acueducto y alcantarillado</t>
  </si>
  <si>
    <t>REDUCCIÓN DE VERTIMIENTOS DE AGUAS RESIDUALES</t>
  </si>
  <si>
    <t>SERVICIOS PUBLICOS</t>
  </si>
  <si>
    <t>GESTION INTEGRAL DE RESIDUOS SOLIDOS EN EL MUNICIPIO</t>
  </si>
  <si>
    <t>Capacitación a la comunidad sobre actividades MIRS.</t>
  </si>
  <si>
    <t>Total Gestión integral de residuos sólidos en el municipio.</t>
  </si>
  <si>
    <t>CALIFICACIÓN DEL RECURSO HUMANO.</t>
  </si>
  <si>
    <t>FORTALECIMIENTO INSTITUCIONAL Y COMUNITARIO</t>
  </si>
  <si>
    <t>Implementación del plan de capacitación</t>
  </si>
  <si>
    <t>Capacitación a los funcionarios</t>
  </si>
  <si>
    <t xml:space="preserve">Adquisición y compra de equipos de computo </t>
  </si>
  <si>
    <t>Instalar, actualizar y legalizar los software y acceder a internet Banda ancha</t>
  </si>
  <si>
    <t>Actualización de equipos</t>
  </si>
  <si>
    <t>GESTION DOCUMENTAL DEL ARCHIVO</t>
  </si>
  <si>
    <t>Implementación del archivo municipal.</t>
  </si>
  <si>
    <t>DESARROLLO COMUNITARIO</t>
  </si>
  <si>
    <t>Capacitar las 26 juntas de acción comunal del municipio de la Celia.</t>
  </si>
  <si>
    <t>SEGURIDAD CIUDADANA</t>
  </si>
  <si>
    <t>Hacer un plan de contingencia para apoyar  la seguridad ciudadana.</t>
  </si>
  <si>
    <t>Solución de conflictos</t>
  </si>
  <si>
    <t>Fortalecimiento a la educación ciudadana para la seguridad y la convivencia.</t>
  </si>
  <si>
    <t>Control ciudadano.</t>
  </si>
  <si>
    <t>Fortalecimiento a las veedurías ciudadanas</t>
  </si>
  <si>
    <t>CULTURA CIUDADANA Y CONVIVIENCIA</t>
  </si>
  <si>
    <t>Involucrar a la comunidad para que participe en procesos y actividades comunitarias</t>
  </si>
  <si>
    <t>Promoción de la convivencia familiar</t>
  </si>
  <si>
    <t>PEDAGOGIA, PROMOCIÓN Y SEGUIMIENTO A LOS DERECHOS HUMANOS</t>
  </si>
  <si>
    <t>Fortalecimiento a los derechos humanos</t>
  </si>
  <si>
    <t>Divulgación y promoción de los derechos humanos</t>
  </si>
  <si>
    <t>Total Fortalecimiento institucional y comunitario</t>
  </si>
  <si>
    <t>DESCENTRALIZACIÓN ADMINISTRATIVA Y FISCAL</t>
  </si>
  <si>
    <t>Implementación del acuerdo sobre sistema municipal de planeacion participativo</t>
  </si>
  <si>
    <t>Implementación de presupuesto participativo local</t>
  </si>
  <si>
    <t>Contratación directa con las Juntas de Acción Comunal y otras organizaciones legalmente constituidas del municipio</t>
  </si>
  <si>
    <t>Impulso de la universidad Abierta y a distancia a través de los CERES.</t>
  </si>
  <si>
    <t>Dotación  a los tutores del bachillerato rural de computador portátil</t>
  </si>
  <si>
    <t>Apoyo al canal comunitario de televisión.</t>
  </si>
  <si>
    <t>Concurso Departamental de música de cuerda,  el emulo del despecho y de trova. (fiestas aniversarios de la lluvia )</t>
  </si>
  <si>
    <t>Creación y Fortalecimiento de la junta de deportes municipal.</t>
  </si>
  <si>
    <t>Gestionar el aumento de cobertura para la meda pensión</t>
  </si>
  <si>
    <t>Gestionar el aumento de cobertura para el programa de almuerzos servidos</t>
  </si>
  <si>
    <t>Construir 80 viviendas de interés social</t>
  </si>
  <si>
    <t>.</t>
  </si>
  <si>
    <t>VIVIENDAS SALUDABLES</t>
  </si>
  <si>
    <t>Construcción de la plaza de mercado</t>
  </si>
  <si>
    <t>Recuperación y Mantenimiento de parques y zonas verdes.</t>
  </si>
  <si>
    <t>Construcción de garrucha en la vereda de San Eugenio</t>
  </si>
  <si>
    <t xml:space="preserve">Viabilizacion y gestión de recursos para la construcción de teleférico </t>
  </si>
  <si>
    <t xml:space="preserve">Crear y Apoyar organizaciones ambientalistas a nivel Rural y Urbano. </t>
  </si>
  <si>
    <t>Mejoramiento  de la infraestructura de la bocatoma</t>
  </si>
  <si>
    <t>Construcción  del colector de la planta de tratamiento de aguas residuales</t>
  </si>
  <si>
    <t>Apoyo a cooperativas comercializadoras</t>
  </si>
  <si>
    <t>Apoyo a los productores de café especial</t>
  </si>
  <si>
    <t>Apoyar la ordenación de la cuenca del Totui</t>
  </si>
  <si>
    <t>Instalar Biodigestores comunitarios</t>
  </si>
  <si>
    <t>Presupuesto Participativo con niños y niñas como experenca pedagogca</t>
  </si>
  <si>
    <t xml:space="preserve">Cofinanciación al presupuesto comunitario de la gobernación.
Gestión y acciones para garantizar la seguridad ciudadana
</t>
  </si>
  <si>
    <t>Gestion y acciones para garantizar la seguridad ciudadana.</t>
  </si>
  <si>
    <t>Incentivos a los mejores estudiantes</t>
  </si>
  <si>
    <t>Construcción de sistemas Biodigestores.</t>
  </si>
  <si>
    <t>Apertura de vias rurales</t>
  </si>
  <si>
    <t>Evaluacion y retroalimentación del esquema de ordenamiento territorial</t>
  </si>
  <si>
    <t>Apoyo a alianzas cadenas  productivas</t>
  </si>
  <si>
    <t>Realizaciòn de cabalgata urbana Mensual</t>
  </si>
  <si>
    <t>Creación y apoyo a  diferentes grupos de expresión cultural (Banda de musica, papayera, banda marcial,  grupo de danza y teatro).</t>
  </si>
  <si>
    <t>Construcción  de la planta de tratamiento de aguas residuales</t>
  </si>
  <si>
    <t>Realización de los juegos comunales.</t>
  </si>
  <si>
    <t>Total Niñez, infancia, adolescencia y juventud.</t>
  </si>
  <si>
    <t>TOTAL EJE SOCIO CULTURAL.</t>
  </si>
  <si>
    <t>Remodelación de la Casa Museo</t>
  </si>
  <si>
    <t>Construcción y mantenimiento de casetas comunales</t>
  </si>
  <si>
    <t>Cofinanciación de proyectos de cooperación internacional.</t>
  </si>
  <si>
    <t>Total Sector Agropecuario</t>
  </si>
  <si>
    <t>Creación de un sendero ecologico en el río Monos.</t>
  </si>
  <si>
    <t>Recuperación del jardin Botanico.</t>
  </si>
  <si>
    <t>TOTAL DEL EJE ECONOMICO.</t>
  </si>
  <si>
    <t xml:space="preserve">
Implementar PGIR.
</t>
  </si>
  <si>
    <t>Actualización  del expediente urbano.</t>
  </si>
  <si>
    <t>Mejoramiento a la infraestructura de planta de tratamiento de agua potable.</t>
  </si>
  <si>
    <t>Fortalecimiento al laboratorio de agua potable.</t>
  </si>
  <si>
    <t xml:space="preserve"> Organización física del archivo.</t>
  </si>
  <si>
    <t>Implementación del plan de Bienestar social y estimulos.</t>
  </si>
  <si>
    <t>Apoyo al Consejo Municipal de Planeación.</t>
  </si>
  <si>
    <t>Implementación del Nuevo Sisben y el Sisben Net.</t>
  </si>
  <si>
    <t>Implementación del MECI.</t>
  </si>
  <si>
    <t>Pago a recompensas</t>
  </si>
  <si>
    <t>NOTA IMPORTANTE: ESTE EJE ESTA SUPEDITADO AL PLAN DEPARTAMENTAL DE AGUAS.</t>
  </si>
  <si>
    <t>Fortalecimiento al CLOPAD y politicas ambientales.</t>
  </si>
  <si>
    <t>Elaboración del plan de contingencias</t>
  </si>
  <si>
    <t>Total  Turismo</t>
  </si>
  <si>
    <t>TOTAL EJE AMBENTAL.</t>
  </si>
  <si>
    <t>LA CULTURA COMO ESTRATEGIA DE CAMBIO.</t>
  </si>
  <si>
    <t>MEJORAMIENTO DE LA INFRAESTRUCTURA.</t>
  </si>
  <si>
    <t>TODOS PARTICIPANDO EN EVENTOS DEPORTIVOS.</t>
  </si>
  <si>
    <t>MEJORANDO LA CALIDAD DE VIDA.</t>
  </si>
  <si>
    <t>ATENCION PREVENTIVA AL ADULTO MAYOR.</t>
  </si>
  <si>
    <t>CONTRIBUYENDO A UNA VEJEZ DIGNA.</t>
  </si>
  <si>
    <t>ATENCION A LA NIÑEZ, LA INFANCIA , LA ADOLESCENCIA Y LA JUVENTUD.</t>
  </si>
  <si>
    <t xml:space="preserve">PROMOCIÓN DE LOS DERECHOS YORTALECIMIENTO INSTITUCIONAL. </t>
  </si>
  <si>
    <t>GENERANDO BIENESTAR.</t>
  </si>
  <si>
    <t>RECONOCIMIENTO A LAS POTENCIALIDADES DE LA MUJER.</t>
  </si>
  <si>
    <t>HACIA EL MEJORAMIENTO PRODUCTIVO.</t>
  </si>
  <si>
    <t xml:space="preserve"> TURISMO</t>
  </si>
  <si>
    <t>LA CELIA TURISTICA.</t>
  </si>
  <si>
    <t>RECURSO HIDRICO.</t>
  </si>
  <si>
    <t>AREAS PROTEGIDAS.</t>
  </si>
  <si>
    <t>MEJORAMIENTO DEL HABITAT</t>
  </si>
  <si>
    <t>INVENTARIO AMBIENTAL.</t>
  </si>
  <si>
    <t>FORTALECER LA CULTURA AMBIENTAL.</t>
  </si>
  <si>
    <t>MANTENIMIENTO Y MEJORAMIENTO DE LA INFRAESTRUCTURA.</t>
  </si>
  <si>
    <t>CONTROL INTERNO.</t>
  </si>
  <si>
    <t>ACTUALIZACIÓN DE LOS SISTEMAS DE INFORMACIÓN</t>
  </si>
  <si>
    <t>Apoyo integral a la acción comunal.</t>
  </si>
  <si>
    <t>Mejorando las condiciones de seguridad.</t>
  </si>
  <si>
    <t>Estrategia Juntos</t>
  </si>
  <si>
    <t>Apoyo a los PRAES.</t>
  </si>
  <si>
    <t>Apoyo al programa Cafam</t>
  </si>
  <si>
    <t>Prevención y atención a la violencia intrafamiliar y maltrato infantil.</t>
  </si>
  <si>
    <t>Mantenimiento y mejoramiento de la infraestructura fisica de salud</t>
  </si>
  <si>
    <t>Operatividad de la morgue.</t>
  </si>
  <si>
    <t>OTROS FONDOS</t>
  </si>
  <si>
    <t>PENDIENTE POR CUBRIR</t>
  </si>
  <si>
    <r>
      <t>Conformación del consejo municipal de desarrollo rural</t>
    </r>
    <r>
      <rPr>
        <b/>
        <sz val="8"/>
        <rFont val="Times New Roman"/>
        <family val="1"/>
      </rPr>
      <t>.</t>
    </r>
  </si>
  <si>
    <t>FOSYGA</t>
  </si>
  <si>
    <t>DEPARTAM</t>
  </si>
  <si>
    <t>Plan Territorial de Salud</t>
  </si>
  <si>
    <t>Aseguramiento con justicia social</t>
  </si>
  <si>
    <t>Cobertura Universal en Salud para la población Celianés</t>
  </si>
  <si>
    <t>Prestación y desarrollo de servicios de salud con calidad y oportunidad</t>
  </si>
  <si>
    <t>Servicios de salud con calidad y oportunidad para la población Celianés</t>
  </si>
  <si>
    <t>Hacia una salud pública integral, participativa y preventiva con eficiencia y compromiso social</t>
  </si>
  <si>
    <t>La Celia previniendo y conservando la salud de los niños</t>
  </si>
  <si>
    <t>Comunidad responsable, planificadora y segura</t>
  </si>
  <si>
    <t>Sonrisas saludables</t>
  </si>
  <si>
    <t>Adicciónate a la vida</t>
  </si>
  <si>
    <t>Vigilando y previniendo</t>
  </si>
  <si>
    <t>La Celia en movimiento y con estilos de vida saludables</t>
  </si>
  <si>
    <t>Programas sociales que mejoren el estado nutricional de la población vulnerable</t>
  </si>
  <si>
    <t>Siento mi municipio - mejoro mis condiciones ambientales</t>
  </si>
  <si>
    <t>Entorno laboral seguro y confortable</t>
  </si>
  <si>
    <t>Participación intersectorial e interinstitucional para mejorar la salud integral de la pobación</t>
  </si>
  <si>
    <t>Promoción y participación social   saludable</t>
  </si>
  <si>
    <t>En busca del trabajo interinstitucional con y para la comunidad, permitiendo fortalecer los procesos enfocados a mejorar la calidad de vida de la población Celianés</t>
  </si>
  <si>
    <t>EJE ESTRATEGICO SALUD</t>
  </si>
  <si>
    <t xml:space="preserve"> </t>
  </si>
  <si>
    <t>EJE CULTURA</t>
  </si>
  <si>
    <t>EJE SALUD</t>
  </si>
  <si>
    <t>EJE ECONOMICO</t>
  </si>
  <si>
    <t>EJE AMBIENTAL</t>
  </si>
  <si>
    <t>EJE INSTITUCIONAL</t>
  </si>
  <si>
    <t>FINANCIACION</t>
  </si>
  <si>
    <t>2</t>
  </si>
  <si>
    <t>PRESUPUESTO DE GASTOS</t>
  </si>
  <si>
    <t>2.1</t>
  </si>
  <si>
    <t>GASTOS DE FUNCIONAMIENTO</t>
  </si>
  <si>
    <t>2.1.1</t>
  </si>
  <si>
    <t>2.1.1.1</t>
  </si>
  <si>
    <t>Prima de Navidad</t>
  </si>
  <si>
    <t>Prima de Vacaciones</t>
  </si>
  <si>
    <t>Honorarios</t>
  </si>
  <si>
    <t>Materiales y suministros</t>
  </si>
  <si>
    <t>Impresos y publicaciones</t>
  </si>
  <si>
    <t>Transporte</t>
  </si>
  <si>
    <t>2.1.1.3</t>
  </si>
  <si>
    <t>2.1.1.3.1</t>
  </si>
  <si>
    <t xml:space="preserve">EXEDENTE </t>
  </si>
  <si>
    <t>2.1.1.4</t>
  </si>
  <si>
    <t>2.1.1.4.1</t>
  </si>
  <si>
    <t>2.1.1.4.1.1</t>
  </si>
  <si>
    <t>2.1.1.4.2</t>
  </si>
  <si>
    <t>2.1.1.4.2.1</t>
  </si>
  <si>
    <t>Salud</t>
  </si>
  <si>
    <t>Vacaciones</t>
  </si>
  <si>
    <t>2.2</t>
  </si>
  <si>
    <t>SERVICIO DE LA DEUDA</t>
  </si>
  <si>
    <t>2.2.1</t>
  </si>
  <si>
    <t>2.2.1.1</t>
  </si>
  <si>
    <t>Amortización</t>
  </si>
  <si>
    <t>2.2.1.2</t>
  </si>
  <si>
    <t>Intereses</t>
  </si>
  <si>
    <t>INVERSIÓN</t>
  </si>
  <si>
    <t>PROPÓSITO GENERAL</t>
  </si>
  <si>
    <t>Servicio de deuda otros sectores</t>
  </si>
  <si>
    <t>Servicio deuda Agua Potable y Saneamiento Básico</t>
  </si>
  <si>
    <t>2.3</t>
  </si>
  <si>
    <t>2.3.1</t>
  </si>
  <si>
    <t>2.3.1.1</t>
  </si>
  <si>
    <t>EDUCACIÓN</t>
  </si>
  <si>
    <t>2.3.1.1.1</t>
  </si>
  <si>
    <t>Gratuidad en la educación</t>
  </si>
  <si>
    <t>2.3.1.1.2</t>
  </si>
  <si>
    <t>2.3.1.1.3</t>
  </si>
  <si>
    <t>2.3.1.1.4</t>
  </si>
  <si>
    <t>Bachillerato en Bienestar Rural</t>
  </si>
  <si>
    <t>2.3.1.1.5</t>
  </si>
  <si>
    <t>Canasta Educativa</t>
  </si>
  <si>
    <t>2.3.1.1.6</t>
  </si>
  <si>
    <r>
      <t xml:space="preserve"> </t>
    </r>
    <r>
      <rPr>
        <sz val="8"/>
        <rFont val="Times New Roman"/>
        <family val="1"/>
      </rPr>
      <t>Sostenimiento del transporte escolar.</t>
    </r>
  </si>
  <si>
    <r>
      <t> </t>
    </r>
    <r>
      <rPr>
        <sz val="8"/>
        <rFont val="Times New Roman"/>
        <family val="1"/>
      </rPr>
      <t>Implementar la gratuidad de la educación con base en la ley 715 del 2001.</t>
    </r>
  </si>
  <si>
    <r>
      <t xml:space="preserve"> </t>
    </r>
    <r>
      <rPr>
        <sz val="8"/>
        <rFont val="Times New Roman"/>
        <family val="1"/>
      </rPr>
      <t>Acceso a la educación para la población especial y discapacitada.</t>
    </r>
  </si>
  <si>
    <r>
      <t>GENERACIÓN DE CONDICIONES PARA EL EMPRENDIMIENTO CULTURAL.</t>
    </r>
    <r>
      <rPr>
        <sz val="8"/>
        <color indexed="8"/>
        <rFont val="Times New Roman"/>
        <family val="1"/>
      </rPr>
      <t xml:space="preserve"> </t>
    </r>
  </si>
  <si>
    <r>
      <t>Programa de Dotación deportiva</t>
    </r>
    <r>
      <rPr>
        <b/>
        <sz val="8"/>
        <rFont val="Times New Roman"/>
        <family val="1"/>
      </rPr>
      <t xml:space="preserve"> </t>
    </r>
  </si>
  <si>
    <r>
      <t>Formación integral y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apoyo a las organizaciones existentes de mujeres </t>
    </r>
  </si>
  <si>
    <t>PENDIENTE  POR FINANCIAC</t>
  </si>
  <si>
    <t>2.3.1.2</t>
  </si>
  <si>
    <t>ALIMENTACIÓN ESCOLAR</t>
  </si>
  <si>
    <t>2.3.1.2.1</t>
  </si>
  <si>
    <t>Nutrición escolar</t>
  </si>
  <si>
    <t>2.3.1.4</t>
  </si>
  <si>
    <t>2.3.1.4.1</t>
  </si>
  <si>
    <t>2.3.1.4.1.1</t>
  </si>
  <si>
    <t>Compra predios art. 111 ley 99/93</t>
  </si>
  <si>
    <t>2.3.1.4.2</t>
  </si>
  <si>
    <t>DEPORTE Y RECREACIÓN</t>
  </si>
  <si>
    <t>2.3.1.4.2.1</t>
  </si>
  <si>
    <t>Promoción y desarrollo</t>
  </si>
  <si>
    <t>2.3.1.4.3</t>
  </si>
  <si>
    <t>2.3.1.4.3.1</t>
  </si>
  <si>
    <t>2.3.1.4.4</t>
  </si>
  <si>
    <t>OTROS SECTORES</t>
  </si>
  <si>
    <t>2.3.1.4.4.01</t>
  </si>
  <si>
    <t>2.3.1.4.4.02</t>
  </si>
  <si>
    <t>Desarrollo vial urbano</t>
  </si>
  <si>
    <t>2.3.1.4.4.03</t>
  </si>
  <si>
    <t>2.3.1.4.4.04</t>
  </si>
  <si>
    <t>2.3.1.4.4.05</t>
  </si>
  <si>
    <t>2.3.1.4.4.06</t>
  </si>
  <si>
    <t>2.3.1.4.4.07</t>
  </si>
  <si>
    <t>2.3.1.4.4.08</t>
  </si>
  <si>
    <t>2.3.1.4.4.09</t>
  </si>
  <si>
    <t>Fortalecimiento Institucional</t>
  </si>
  <si>
    <t>2.3.1.4.4.10</t>
  </si>
  <si>
    <t>Prevención y Atención de Desastres</t>
  </si>
  <si>
    <t>RUBRO</t>
  </si>
  <si>
    <t>NOMBRE</t>
  </si>
  <si>
    <t>INICIAL</t>
  </si>
  <si>
    <t>CREDITOS</t>
  </si>
  <si>
    <t>CONTRACR</t>
  </si>
  <si>
    <t>ADICION</t>
  </si>
  <si>
    <t>REDUCCION</t>
  </si>
  <si>
    <t>CDP</t>
  </si>
  <si>
    <t>COMPRIMISOS</t>
  </si>
  <si>
    <t>OLIGACIONES</t>
  </si>
  <si>
    <t>PAGOS</t>
  </si>
  <si>
    <t>FORMULA</t>
  </si>
  <si>
    <t>Gastos de Personal</t>
  </si>
  <si>
    <t>Servicios personales asociados a la nomina</t>
  </si>
  <si>
    <t>2.1.1.1.01</t>
  </si>
  <si>
    <t>Sueldos de personal de Nomina</t>
  </si>
  <si>
    <t>2.1.1.1.04</t>
  </si>
  <si>
    <t>Primas legales</t>
  </si>
  <si>
    <t>2.1.1.1.04.1</t>
  </si>
  <si>
    <t>2.1.1.1.04.2</t>
  </si>
  <si>
    <t>2.1.1.1.05</t>
  </si>
  <si>
    <t>Indemnización por vacaciones</t>
  </si>
  <si>
    <t>2.1.1.1.06</t>
  </si>
  <si>
    <t>2.1.1.1.07</t>
  </si>
  <si>
    <t>Bonificación de dirección</t>
  </si>
  <si>
    <t>2.1.1.1.09</t>
  </si>
  <si>
    <t>Dotación de personal</t>
  </si>
  <si>
    <t>2.1.1.1.10</t>
  </si>
  <si>
    <t>Pagos directos de cesantías parciales y/o definitivas</t>
  </si>
  <si>
    <t>2.1.1.3.3</t>
  </si>
  <si>
    <t>Personal supernumerario</t>
  </si>
  <si>
    <t>2.1.1.3.4</t>
  </si>
  <si>
    <t>Servicios técnicos</t>
  </si>
  <si>
    <t>2.1.1.3.7</t>
  </si>
  <si>
    <t>Otros Servicios Personales Indirectos</t>
  </si>
  <si>
    <t>Contribuciones inherentes a la nomina</t>
  </si>
  <si>
    <t>Al sector público</t>
  </si>
  <si>
    <t>Aportes de previsión Social</t>
  </si>
  <si>
    <t>2.1.1.4.1.1.2</t>
  </si>
  <si>
    <t>Aportes para pensión</t>
  </si>
  <si>
    <t>2.1.1.4.1.1.3</t>
  </si>
  <si>
    <t>Aportes ARP</t>
  </si>
  <si>
    <t>Al sector privado</t>
  </si>
  <si>
    <t>Aportes de previsión social</t>
  </si>
  <si>
    <t>2.1.1.4.2.1.1</t>
  </si>
  <si>
    <t>Aportes para salud</t>
  </si>
  <si>
    <t>2.1.1.4.2.1.2</t>
  </si>
  <si>
    <t>2.1.1.4.2.1.4</t>
  </si>
  <si>
    <t>Aportes para Cesantías</t>
  </si>
  <si>
    <t>2.1.1.4.3</t>
  </si>
  <si>
    <t>Aportes parafiscales</t>
  </si>
  <si>
    <t>2.1.1.4.3.1</t>
  </si>
  <si>
    <t>SENA</t>
  </si>
  <si>
    <t>2.1.1.4.3.2</t>
  </si>
  <si>
    <t>ICBF</t>
  </si>
  <si>
    <t>2.1.1.4.3.3</t>
  </si>
  <si>
    <t>ESAP</t>
  </si>
  <si>
    <t>2.1.1.4.3.4</t>
  </si>
  <si>
    <t>Cajas de compensación familiar</t>
  </si>
  <si>
    <t>2.1.1.4.3.5</t>
  </si>
  <si>
    <t>Institutos técnicos</t>
  </si>
  <si>
    <t>2.1.2</t>
  </si>
  <si>
    <t>Gastos generales</t>
  </si>
  <si>
    <t>2.1.2.1</t>
  </si>
  <si>
    <t>2.1.2.1.1</t>
  </si>
  <si>
    <t>Compra de equipos</t>
  </si>
  <si>
    <t>2.1.2.1.2</t>
  </si>
  <si>
    <t>2.1.2.1.9</t>
  </si>
  <si>
    <t>Otros gastos adquisición de bienes</t>
  </si>
  <si>
    <t>2.1.2.1.9.1</t>
  </si>
  <si>
    <t>Combustible</t>
  </si>
  <si>
    <t>2.1.2.1.9.2</t>
  </si>
  <si>
    <t>repuestos</t>
  </si>
  <si>
    <t>2.1.2.2</t>
  </si>
  <si>
    <t>2.1.2.2.01</t>
  </si>
  <si>
    <t>Capacitación personal administrativo</t>
  </si>
  <si>
    <t>2.1.2.2.02</t>
  </si>
  <si>
    <t>2.1.2.2.03</t>
  </si>
  <si>
    <t>Seguros</t>
  </si>
  <si>
    <t>2.1.2.2.03.1</t>
  </si>
  <si>
    <t>Seguros de bienes muebles e inmuebles</t>
  </si>
  <si>
    <t>2.1.2.2.03.2</t>
  </si>
  <si>
    <t>Seguros de vida</t>
  </si>
  <si>
    <t>2.1.2.2.03.2.2</t>
  </si>
  <si>
    <t>Del alcalde</t>
  </si>
  <si>
    <t>2.1.2.2.03.2.3</t>
  </si>
  <si>
    <t>De los concejales</t>
  </si>
  <si>
    <t>2.1.2.2.03.2.4</t>
  </si>
  <si>
    <t>Otros seguros de vida</t>
  </si>
  <si>
    <t>2.1.2.2.03.4</t>
  </si>
  <si>
    <t>Otros seguros</t>
  </si>
  <si>
    <t>2.1.2.2.04</t>
  </si>
  <si>
    <t>Contribuciones, impuestos y tasas multas</t>
  </si>
  <si>
    <t>2.1.2.2.06</t>
  </si>
  <si>
    <t>Servicios públicos</t>
  </si>
  <si>
    <t>2.1.2.2.06.1</t>
  </si>
  <si>
    <t>Energía</t>
  </si>
  <si>
    <t>2.1.2.2.06.2</t>
  </si>
  <si>
    <t>Telecomunicaciones</t>
  </si>
  <si>
    <t>2.1.2.2.06.3</t>
  </si>
  <si>
    <t>Acueducto, alcantarillado y aseo</t>
  </si>
  <si>
    <t>2.1.2.2.06.4</t>
  </si>
  <si>
    <t>Gas natural</t>
  </si>
  <si>
    <t>2.1.2.2.07</t>
  </si>
  <si>
    <t>Gastos vinculación de personal</t>
  </si>
  <si>
    <t>2.1.2.2.08</t>
  </si>
  <si>
    <t>Viáticos y gastos de viaje</t>
  </si>
  <si>
    <t>2.1.2.2.09</t>
  </si>
  <si>
    <t>Gastos electorales</t>
  </si>
  <si>
    <t>2.1.2.2.10</t>
  </si>
  <si>
    <t>Mantenimiento y reparaciones</t>
  </si>
  <si>
    <t>2.1.2.2.11</t>
  </si>
  <si>
    <t>Gastos financieros</t>
  </si>
  <si>
    <t>2.1.2.2.11.1</t>
  </si>
  <si>
    <t>Intereses de créditos de tesoreria</t>
  </si>
  <si>
    <t>2.1.2.2.11.5</t>
  </si>
  <si>
    <t>Otros gastos financieros</t>
  </si>
  <si>
    <t>2.1.2.4</t>
  </si>
  <si>
    <t>Gastos de bienestar social y salud ocupacional</t>
  </si>
  <si>
    <t>2.1.2.5</t>
  </si>
  <si>
    <t>Sentecias y conciliaciones</t>
  </si>
  <si>
    <t>2.1.2.9</t>
  </si>
  <si>
    <t>Caja menor</t>
  </si>
  <si>
    <t>2.1.3</t>
  </si>
  <si>
    <t>Transferencias corrientes</t>
  </si>
  <si>
    <t>2.1.3.01</t>
  </si>
  <si>
    <t>Mesadas pensionales</t>
  </si>
  <si>
    <t>2.1.3.02</t>
  </si>
  <si>
    <t>Cuotas partes de mesada pensional</t>
  </si>
  <si>
    <t>2.1.3.04</t>
  </si>
  <si>
    <t>Pago de Bonos Pensionales y Cuotas Partes de Bono Pensional Tipo C y E</t>
  </si>
  <si>
    <t>2.1.3.04.1</t>
  </si>
  <si>
    <t>Con situación de fondos</t>
  </si>
  <si>
    <t>2.1.3.04.2</t>
  </si>
  <si>
    <t>Sin situación de fondos</t>
  </si>
  <si>
    <t>2.1.3.06</t>
  </si>
  <si>
    <t>Transferencias corrientes: establecimientos públicos y entidades descentralizadas - nivel territorial</t>
  </si>
  <si>
    <t>2.1.3.06.1</t>
  </si>
  <si>
    <t>Transferencias - establecimientos públicos</t>
  </si>
  <si>
    <t>2.1.3.06.1.1</t>
  </si>
  <si>
    <t>A Concejo</t>
  </si>
  <si>
    <t>2.1.3.06.1.2</t>
  </si>
  <si>
    <t>A Personeria</t>
  </si>
  <si>
    <t>2.1.3.06.7</t>
  </si>
  <si>
    <t>Por Estampilla prodesarrollo</t>
  </si>
  <si>
    <t>2.1.3.08</t>
  </si>
  <si>
    <t>Sobretasa ambiental - Corporaciones autónomas regionales</t>
  </si>
  <si>
    <t>2.1.3.15</t>
  </si>
  <si>
    <t>Transferencia cuerpos de bomberos</t>
  </si>
  <si>
    <t>2.1.3.19</t>
  </si>
  <si>
    <t>Sentencias y Conciliaciones</t>
  </si>
  <si>
    <t>Recuros de Inversion S.G.P</t>
  </si>
  <si>
    <t>Proposito General</t>
  </si>
  <si>
    <t>2.2.1.1.1</t>
  </si>
  <si>
    <t>2.2.1.1.1.1</t>
  </si>
  <si>
    <t>2.2.1.1.1.2</t>
  </si>
  <si>
    <t>2.2.1.2.1</t>
  </si>
  <si>
    <t>2.2.1.2.2</t>
  </si>
  <si>
    <t>INVERSIÓN CON RECURSOS PROPIOS (I.C.L.D)</t>
  </si>
  <si>
    <t>Educacion para la poblacion especial</t>
  </si>
  <si>
    <t>Seguros estudiantes</t>
  </si>
  <si>
    <t>MEDIO AMBIENTE, AGUA POTABLE Y SANEAMIENTO BÁSICO</t>
  </si>
  <si>
    <t>Mantenimiento Vías Rurales</t>
  </si>
  <si>
    <t>Zonas Verdes y Parques</t>
  </si>
  <si>
    <t>plataforma tecnologica</t>
  </si>
  <si>
    <t>apoyo a la educacion superior</t>
  </si>
  <si>
    <t>Archivo en general</t>
  </si>
  <si>
    <t>Nutricion y seguridad alimentaria</t>
  </si>
  <si>
    <t>Comisaria de familia</t>
  </si>
  <si>
    <t>Remodelación y ampliación palacio municipal</t>
  </si>
  <si>
    <t>Mantenimiento, ampliacion alumbrado publico</t>
  </si>
  <si>
    <t>CALIDAD - MATRÍCULA</t>
  </si>
  <si>
    <t>Construcción Ampliación Y Adecuación De Infraestructura Educativa</t>
  </si>
  <si>
    <t>Mantenimiento De Infraestructura Educativa</t>
  </si>
  <si>
    <t>Dotación Institucional De Material Y Medios Pedagógicos Para El Aprendizaje</t>
  </si>
  <si>
    <t>Pago De Servicios Públicos De Las Instituciones Educativas</t>
  </si>
  <si>
    <t>2.3.2.1.1.06.1</t>
  </si>
  <si>
    <t>Acueducto, Alcantarillado Y Aseo</t>
  </si>
  <si>
    <t>2.3.2.1.1.06.2</t>
  </si>
  <si>
    <t>Transporte Escolar</t>
  </si>
  <si>
    <t>Funcionamiento Básico De Los Establecimientos Educativos Estatales</t>
  </si>
  <si>
    <t>2.3.2.1.2</t>
  </si>
  <si>
    <t>CALIDAD - GRATUIDAD</t>
  </si>
  <si>
    <t>2.3.2.1.2.07</t>
  </si>
  <si>
    <t>Funcionamiento Básico De Los Establecimientos Educativos Estatales, Excepto Servicios Públicos</t>
  </si>
  <si>
    <t>2.3.2.1.7</t>
  </si>
  <si>
    <t>Otros Gastos En Educación No Incluidos En Los Conceptos Anteriores</t>
  </si>
  <si>
    <t>2.3.2.1.7.1</t>
  </si>
  <si>
    <t>Bachillerato En Bienestar Rural</t>
  </si>
  <si>
    <t>2.3.2.1.7.2</t>
  </si>
  <si>
    <t>Cofinanciación De Programas, Proyectos Y Convenios</t>
  </si>
  <si>
    <t>Prestación Directa Del Servicio</t>
  </si>
  <si>
    <t>Contratación Con Terceros Para La Provisión Integral Del Servicio De Alimentación Escolar</t>
  </si>
  <si>
    <t>Deporte Y Recreacion</t>
  </si>
  <si>
    <t>Fomento, Desarrollo Y Practica Del Deporte, La Recreacion Y El Aprovechamiento Del Tiempo Libre</t>
  </si>
  <si>
    <t>2.3.2.3.1.2</t>
  </si>
  <si>
    <t>Construccion, Mantenimiento Y/O Adecuacion De Los Escenarios Deportivos Y Recreativos</t>
  </si>
  <si>
    <t>2.3.2.3.1.3</t>
  </si>
  <si>
    <t>Dotacion De Escenarios Deportivos E Implementos Para La Practica Del Deporte</t>
  </si>
  <si>
    <t>2.3.2.3.1.4</t>
  </si>
  <si>
    <t>Preinversion En Infraestructura</t>
  </si>
  <si>
    <t>2.3.2.3.1.5</t>
  </si>
  <si>
    <t>Pago De Instructores Contratados Para La Practica Del Deporte Y La Recreacion</t>
  </si>
  <si>
    <t>2.3.2.3.2.1</t>
  </si>
  <si>
    <t>Fomento, Apoyo Y Difusion De Eventos Y Expresiones Artisticas Y Culturales</t>
  </si>
  <si>
    <t>2.3.2.3.2.2</t>
  </si>
  <si>
    <t>Formacion, Capacitacion E Investigacion Artistica Y Cultural</t>
  </si>
  <si>
    <t>2.3.2.3.2.3</t>
  </si>
  <si>
    <t>Proteccion Del Patrimonio Cultural</t>
  </si>
  <si>
    <t>2.3.2.3.2.4</t>
  </si>
  <si>
    <t>2.3.2.3.2.5</t>
  </si>
  <si>
    <t>Construccion, Mantenimiento Y Adecuacion De La Infraestructura Artistica Y Cultural</t>
  </si>
  <si>
    <t>2.3.2.3.2.6</t>
  </si>
  <si>
    <t>Mantenimiento Y Dotacion De Bibliotecas Publicas</t>
  </si>
  <si>
    <t>2.3.2.3.2.7</t>
  </si>
  <si>
    <t>Dotacion De La Infraestructura Artistica Y Cultural</t>
  </si>
  <si>
    <t>2.3.2.3.2.8</t>
  </si>
  <si>
    <t>Pago De Instructores Contratados Para Las Bandas Musicales</t>
  </si>
  <si>
    <t>2.3.2.3.3.01</t>
  </si>
  <si>
    <t>Promocion Del Desarrollo</t>
  </si>
  <si>
    <t>2.3.2.3.3.01.1</t>
  </si>
  <si>
    <t>Promocion De Asociaciones Y Alianzas Para El Desarrollo Empresarial E Industrial</t>
  </si>
  <si>
    <t>2.3.2.3.3.01.4</t>
  </si>
  <si>
    <t>Asistencia Tecnica En Procesos De Produccion, Distribucion Y Comercializacion Y Acceso A Fuentes De Financiacion</t>
  </si>
  <si>
    <t>2.3.2.3.3.01.5</t>
  </si>
  <si>
    <t>Promocion Del Desarrollo Turistico</t>
  </si>
  <si>
    <t>2.3.2.3.3.02</t>
  </si>
  <si>
    <t>Servicios Publicos Diferentes A Acueducto Alcantarillado Y Aseo</t>
  </si>
  <si>
    <t>2.3.2.3.3.02.2</t>
  </si>
  <si>
    <t>Mantenimiento Y Expansion Del Servicio De Alumbrado Publico</t>
  </si>
  <si>
    <t>2.3.2.3.3.02.5</t>
  </si>
  <si>
    <t>Construccion, Adecuacion Y Mantenimiento De Infraestructura De Servicios Publicos</t>
  </si>
  <si>
    <t>2.3.2.3.3.03</t>
  </si>
  <si>
    <t>Ambiental</t>
  </si>
  <si>
    <t>2.3.2.3.3.03.02</t>
  </si>
  <si>
    <t>Disposicion, Eliminacion Y Reciclaje De Residuos Liquidos Y Solidos</t>
  </si>
  <si>
    <t>2.3.2.3.3.03.04</t>
  </si>
  <si>
    <t>Manejo Y Aprovechamiento De Cuencas Y Microcuencas Hidrograficas</t>
  </si>
  <si>
    <t>2.3.2.3.3.03.05</t>
  </si>
  <si>
    <t>Conservacion De Microcuencas Que Abastecen El Acueducto, Proteccion De Fuentes Y Reforestacion De Dichas Cuencas</t>
  </si>
  <si>
    <t>2.3.2.3.3.03.06</t>
  </si>
  <si>
    <t>Educacion Ambiental No Formal</t>
  </si>
  <si>
    <t>2.3.2.3.3.03.08</t>
  </si>
  <si>
    <t>Conservacion, Proteccion, Restauracion Y Aprovechamiento De Recursos Naturales Y Del Medio Ambiente</t>
  </si>
  <si>
    <t>2.3.2.3.3.03.09</t>
  </si>
  <si>
    <t>Adquisicion De Predios De Reserva Hidrica Y Zonas De Reserva Naturales</t>
  </si>
  <si>
    <t>2.3.2.3.3.03.11</t>
  </si>
  <si>
    <t>Financiacion, Promocion Y Ejecucion De Proyectos Relacionados Con La Reforestacion</t>
  </si>
  <si>
    <t>2.3.2.3.3.04</t>
  </si>
  <si>
    <t>2.3.2.3.3.04.3</t>
  </si>
  <si>
    <t>Planes Y Proyectos De Mejoramiento De Vivienda Y Saneamiento Basico</t>
  </si>
  <si>
    <t>2.3.2.3.3.04.4</t>
  </si>
  <si>
    <t>Planes Y Proyectos De Construccion De Vivienda En Sitio Propio</t>
  </si>
  <si>
    <t>2.3.2.3.3.04.5</t>
  </si>
  <si>
    <t>Planes Y Proyectos Para La Adquisicion Y/O Construccion De Vivienda</t>
  </si>
  <si>
    <t>2.3.2.3.3.04.6</t>
  </si>
  <si>
    <t>Subsidios Para Reubicacion De Viviendas Asentadas En Zonas Alto Riesgo</t>
  </si>
  <si>
    <t>2.3.2.3.3.04.7</t>
  </si>
  <si>
    <t>Proyectos De Titulacion Y Legalizacion De Predios</t>
  </si>
  <si>
    <t>2.3.2.3.3.04.8</t>
  </si>
  <si>
    <t>2.3.2.3.3.05</t>
  </si>
  <si>
    <t>Población Vulnerable</t>
  </si>
  <si>
    <t>2.3.2.3.3.05.01</t>
  </si>
  <si>
    <t>Proteccion Integral De La Primera Infancia</t>
  </si>
  <si>
    <t>2.3.2.3.3.05.01.2</t>
  </si>
  <si>
    <t>Adecuacion De Infraestructura</t>
  </si>
  <si>
    <t>2.3.2.3.3.05.01.3</t>
  </si>
  <si>
    <t>Programa De Atencion Integral A La Primera Infancia -Paipi</t>
  </si>
  <si>
    <t>2.3.2.3.3.05.02</t>
  </si>
  <si>
    <t xml:space="preserve"> Proteccion Integral De La Niñez</t>
  </si>
  <si>
    <t>2.3.2.3.3.05.02.2</t>
  </si>
  <si>
    <t>2.3.2.3.3.05.02.3</t>
  </si>
  <si>
    <t>Contratacion Del Servicio</t>
  </si>
  <si>
    <t>2.3.2.3.3.05.02.4</t>
  </si>
  <si>
    <t>Prestacion Directa Del Servicio</t>
  </si>
  <si>
    <t>2.3.2.3.3.05.03</t>
  </si>
  <si>
    <t>Proteccion Integral A La Adolescencia</t>
  </si>
  <si>
    <t>2.3.2.3.3.05.03.3</t>
  </si>
  <si>
    <t>2.3.2.3.3.05.03.4</t>
  </si>
  <si>
    <t>2.3.2.3.3.05.04</t>
  </si>
  <si>
    <t>Atencion Y Apoyo Al Adulto Mayor</t>
  </si>
  <si>
    <t>2.3.2.3.3.05.04.1</t>
  </si>
  <si>
    <t>Construccion De Infraestructura</t>
  </si>
  <si>
    <t>2.3.2.3.3.05.04.2</t>
  </si>
  <si>
    <t>2.3.2.3.3.05.04.3</t>
  </si>
  <si>
    <t>2.3.2.3.3.05.04.4</t>
  </si>
  <si>
    <t>2.3.2.3.3.05.05</t>
  </si>
  <si>
    <t>Atencion Y Apoyo A Madres/Padres Cabeza De Hogar</t>
  </si>
  <si>
    <t>2.3.2.3.3.05.05.3</t>
  </si>
  <si>
    <t>2.3.2.3.3.05.05.4</t>
  </si>
  <si>
    <t>2.3.2.3.3.05.06</t>
  </si>
  <si>
    <t>Atencion Y Apoyo A La Poblacion Desplazada Por La Violencia</t>
  </si>
  <si>
    <t>2.3.2.3.3.05.06.1</t>
  </si>
  <si>
    <t>Prevencion Y Proteccion</t>
  </si>
  <si>
    <t>2.3.2.3.3.05.06.1.1</t>
  </si>
  <si>
    <t>Vida, Integridad, Libertad Y Seguridad</t>
  </si>
  <si>
    <t>2.3.2.3.3.05.06.1.2</t>
  </si>
  <si>
    <t>Proteccion A Bienes</t>
  </si>
  <si>
    <t>2.3.2.3.3.05.06.2</t>
  </si>
  <si>
    <t>Atencion Integral</t>
  </si>
  <si>
    <t>2.3.2.3.3.05.06.2.1</t>
  </si>
  <si>
    <t>Atencion Humanitaria</t>
  </si>
  <si>
    <t>2.3.2.3.3.05.06.2.1.1</t>
  </si>
  <si>
    <t>Alojamiento</t>
  </si>
  <si>
    <t>2.3.2.3.3.05.06.2.1.2</t>
  </si>
  <si>
    <t>Alimentacion</t>
  </si>
  <si>
    <t>2.3.2.3.3.05.06.2.1.3</t>
  </si>
  <si>
    <t>Vestuario</t>
  </si>
  <si>
    <t>2.3.2.3.3.05.06.2.1.4</t>
  </si>
  <si>
    <t>Atencion Medica Y Psicosocial Inmediata</t>
  </si>
  <si>
    <t>2.3.2.3.3.05.06.2.2</t>
  </si>
  <si>
    <t>Atencion Integral Basica</t>
  </si>
  <si>
    <t>2.3.2.3.3.05.06.2.2.1</t>
  </si>
  <si>
    <t>Registro</t>
  </si>
  <si>
    <t>2.3.2.3.3.05.06.2.2.2</t>
  </si>
  <si>
    <t>Identificacion</t>
  </si>
  <si>
    <t>2.3.2.3.3.05.06.2.2.3</t>
  </si>
  <si>
    <t>Reunificacion Familiar</t>
  </si>
  <si>
    <t>2.3.2.3.3.05.06.2.2.4</t>
  </si>
  <si>
    <t>2.3.2.3.3.05.06.2.2.5</t>
  </si>
  <si>
    <t>2.3.2.3.3.05.06.2.2.6</t>
  </si>
  <si>
    <t>Educacion</t>
  </si>
  <si>
    <t>2.3.2.3.3.05.06.2.3</t>
  </si>
  <si>
    <t>Generacion De Ingresos</t>
  </si>
  <si>
    <t>2.3.2.3.3.05.06.2.4</t>
  </si>
  <si>
    <t>2.3.2.3.3.05.06.2.5</t>
  </si>
  <si>
    <t>Tierras Y Territorios Colectivos</t>
  </si>
  <si>
    <t>2.3.2.3.3.05.06.3</t>
  </si>
  <si>
    <t>Verdad, Justicia Y Reparacion Integral</t>
  </si>
  <si>
    <t>2.3.2.3.3.05.06.3.1</t>
  </si>
  <si>
    <t>Verdad</t>
  </si>
  <si>
    <t>2.3.2.3.3.05.06.3.2</t>
  </si>
  <si>
    <t>Justicia</t>
  </si>
  <si>
    <t>2.3.2.3.3.05.06.3.3</t>
  </si>
  <si>
    <t>Reparacion</t>
  </si>
  <si>
    <t>2.3.2.3.3.05.06.3.4</t>
  </si>
  <si>
    <t>Garantia De No Repeticion</t>
  </si>
  <si>
    <t>2.3.2.3.3.05.06.4</t>
  </si>
  <si>
    <t>Participacion</t>
  </si>
  <si>
    <t>2.3.2.3.3.05.06.4.1</t>
  </si>
  <si>
    <t>Participacion De La Poblacion Desplazada</t>
  </si>
  <si>
    <t>2.3.2.3.3.05.07</t>
  </si>
  <si>
    <t>Programas De Discapacidad</t>
  </si>
  <si>
    <t>2.3.2.3.3.05.07.2</t>
  </si>
  <si>
    <t xml:space="preserve"> Adecuacion De Infraestructura</t>
  </si>
  <si>
    <t>2.3.2.3.3.05.07.3</t>
  </si>
  <si>
    <t>2.3.2.3.3.05.07.4</t>
  </si>
  <si>
    <t>2.3.2.3.3.05.08</t>
  </si>
  <si>
    <t>Atencion Y Apoyo A La Poblacion Reinsertada</t>
  </si>
  <si>
    <t>2.3.2.3.3.05.13</t>
  </si>
  <si>
    <t>Programas Diseñados Para La Superacion De La Pobreza Extrema En El Marco De La Red Juntos - Familias En Accion</t>
  </si>
  <si>
    <t>2.3.2.3.3.05.13.1</t>
  </si>
  <si>
    <t>Talento Humano Que Desarrolla Funciones De Caracter Operativo</t>
  </si>
  <si>
    <t>2.3.2.3.3.05.13.2</t>
  </si>
  <si>
    <t>Adquisicion De Insumos, Suministros Y Dotacion</t>
  </si>
  <si>
    <t>2.3.2.3.3.05.17</t>
  </si>
  <si>
    <t>Atencion Y Apoyo A La Poblacion L.G.T.B.</t>
  </si>
  <si>
    <t>2.3.2.3.3.05.18</t>
  </si>
  <si>
    <t>Proteccion Integral A La Juventud</t>
  </si>
  <si>
    <t>2.3.2.3.3.05.18.3</t>
  </si>
  <si>
    <t>2.3.2.3.3.05.18.4</t>
  </si>
  <si>
    <t>2.3.2.3.3.06</t>
  </si>
  <si>
    <t>2.3.2.3.3.06.01</t>
  </si>
  <si>
    <t>Procesos Integrales De Evaluacion Institucional Y Reorganizacion Administrativa</t>
  </si>
  <si>
    <t>2.3.2.3.3.06.02</t>
  </si>
  <si>
    <t>Programas De Capacitacion Y Asistencia Tecnica Orientados Al Desarrollo Eficiente De Las Competencias De Ley</t>
  </si>
  <si>
    <t>2.3.2.3.3.06.03</t>
  </si>
  <si>
    <t>Implementacion estrategias gobierno en linea</t>
  </si>
  <si>
    <t>2.3.2.3.3.06.06</t>
  </si>
  <si>
    <t>Saneamiento Contable</t>
  </si>
  <si>
    <t>2.3.2.3.3.06.07</t>
  </si>
  <si>
    <t>Estratificacion Socioeconomica</t>
  </si>
  <si>
    <t>2.3.2.3.3.06.08</t>
  </si>
  <si>
    <t>Actualizacion Catastral</t>
  </si>
  <si>
    <t>2.3.2.3.3.06.09</t>
  </si>
  <si>
    <t>Elaboracion, Actualizacion, Evaluacion Y Seguimiento Del Plan De Desarrollo</t>
  </si>
  <si>
    <t>2.3.2.3.3.06.10</t>
  </si>
  <si>
    <t>Elaboracion Y Actualizacion Del Plan De Ordenamiento Territorial</t>
  </si>
  <si>
    <t>2.3.2.3.3.06.11</t>
  </si>
  <si>
    <t>Depuracion - Avaluo - Propiedad Planta Y Equipo</t>
  </si>
  <si>
    <t>2.3.2.3.3.07</t>
  </si>
  <si>
    <t>Agropecuario</t>
  </si>
  <si>
    <t>2.3.2.3.3.07.1</t>
  </si>
  <si>
    <t>2.3.2.3.3.07.2</t>
  </si>
  <si>
    <t>Montaje, Dotacion Y Mantenimiento De Granjas Experimentales</t>
  </si>
  <si>
    <t>2.3.2.3.3.07.4</t>
  </si>
  <si>
    <t>Promocion De Alianzas, Asociaciones U Otras Formas Asociativas De Productores</t>
  </si>
  <si>
    <t>2.3.2.3.3.07.5</t>
  </si>
  <si>
    <t>Programas Y Proyectos De Asistencia Tecnica Directa Rural</t>
  </si>
  <si>
    <t>2.3.2.3.3.07.6</t>
  </si>
  <si>
    <t>Pago Del Personal Tecnico Vinculado A La Prestacion Del Servicio De Asistencia Tecnica Directa Rural</t>
  </si>
  <si>
    <t>2.3.2.3.3.07.7</t>
  </si>
  <si>
    <t>Contratos Celebrados Con Entidades Prestadoras Del Servicio De Asistencia Tecnica Directa Rural</t>
  </si>
  <si>
    <t>2.3.2.3.3.07.8</t>
  </si>
  <si>
    <t>Desarrollo De Programas Y Proyectos Productivos En El Marco Del Plan Agropecuario</t>
  </si>
  <si>
    <t>2.3.2.3.3.08</t>
  </si>
  <si>
    <t>2.3.2.3.3.08.02</t>
  </si>
  <si>
    <t>Mejoramiento De Vias</t>
  </si>
  <si>
    <t>2.3.2.3.3.08.03</t>
  </si>
  <si>
    <t>Rehabilitacion De Vias</t>
  </si>
  <si>
    <t>2.3.2.3.3.08.04</t>
  </si>
  <si>
    <t>Mantenimiento Rutinario De Vias</t>
  </si>
  <si>
    <t>2.3.2.3.3.08.05</t>
  </si>
  <si>
    <t>Mantenimiento Periodico De Vias</t>
  </si>
  <si>
    <t>2.3.2.3.3.08.10</t>
  </si>
  <si>
    <t>Estudios Y Preinversion En Infraestructura</t>
  </si>
  <si>
    <t>2.3.2.3.3.08.11</t>
  </si>
  <si>
    <t>Compra De Maquinaria Y Equipo</t>
  </si>
  <si>
    <t>2.3.2.3.3.08.16</t>
  </si>
  <si>
    <t>Planes De Transito, Educacion, Dotacion De Equipos Y Seguridad Vial</t>
  </si>
  <si>
    <t>2.3.2.3.3.08.17</t>
  </si>
  <si>
    <t>Infraestructura Para Transporte No Motorizado (Redes Peatonales Y Ciclorutas)</t>
  </si>
  <si>
    <t>2.3.2.3.3.09</t>
  </si>
  <si>
    <t>Prevencion Y Atencion De Desastres</t>
  </si>
  <si>
    <t>2.3.2.3.3.09.06</t>
  </si>
  <si>
    <t>Atencion De Desastres</t>
  </si>
  <si>
    <t>2.3.2.3.3.09.07</t>
  </si>
  <si>
    <t>Fortalecimiento De Los Comites De Prevencion Y Atencion De Desastres</t>
  </si>
  <si>
    <t>2.3.2.3.3.09.09</t>
  </si>
  <si>
    <t>Educacion Para La Prevencion Y Atencion De Desastres</t>
  </si>
  <si>
    <t>2.3.2.3.3.09.10</t>
  </si>
  <si>
    <t>Inversiones En Infraestructura Fisica Para Prevencion Y Reforzamiento Estructural.</t>
  </si>
  <si>
    <t>2.3.2.3.3.09.12</t>
  </si>
  <si>
    <t>Contratos Celebrados Con Cuerpos De Bomberos Voluntarios Para La Prevencion Y Control De Incendios</t>
  </si>
  <si>
    <t>2.3.2.3.3.10</t>
  </si>
  <si>
    <t>Equipamiento</t>
  </si>
  <si>
    <t>2.3.2.3.3.10.1</t>
  </si>
  <si>
    <t>Preinversion De Infraestructura</t>
  </si>
  <si>
    <t>2.3.2.3.3.10.2</t>
  </si>
  <si>
    <t>Construccion De Dependencias De La Administracion</t>
  </si>
  <si>
    <t>2.3.2.3.3.10.3</t>
  </si>
  <si>
    <t>Mejoramiento Y Mantenimiento De Dependencias De La Administracion</t>
  </si>
  <si>
    <t>2.3.2.3.3.10.4</t>
  </si>
  <si>
    <t>Construccion De Plazas De Mercado, Mataderos, Cementerios, Parques, Andenes Y Mobiliarios Del Espacio Publico</t>
  </si>
  <si>
    <t>2.3.2.3.3.10.5</t>
  </si>
  <si>
    <t>Mejoramiento Y Mantenimiento De Plazas De Mercado, Mataderos, Cementerios, Parques, Andenes Y Mobiliarios Del Espacio Publico</t>
  </si>
  <si>
    <t>2.3.2.3.3.11</t>
  </si>
  <si>
    <t>2.3.2.3.3.11.1</t>
  </si>
  <si>
    <t>Pago De Inspectores De Policia</t>
  </si>
  <si>
    <t>2.3.2.3.3.11.3</t>
  </si>
  <si>
    <t>Pago De Comisarios De Familia, Medicos, Psicologos Y Trabajadores Sociales De Las Comisarias De Familia</t>
  </si>
  <si>
    <t>2.3.2.3.3.11.4</t>
  </si>
  <si>
    <t>Sistema De Responsabilidad Penal Para El Adolescente (Srpa)</t>
  </si>
  <si>
    <t>2.3.2.3.3.12</t>
  </si>
  <si>
    <t>2.3.2.3.3.12.1</t>
  </si>
  <si>
    <t>2.3.2.3.3.13</t>
  </si>
  <si>
    <t>2.3.2.3.3.13.1</t>
  </si>
  <si>
    <t>2.3.2.3.3.14</t>
  </si>
  <si>
    <t>Desarrollo Comunitario</t>
  </si>
  <si>
    <t>2.3.2.3.3.14.1</t>
  </si>
  <si>
    <t>Programas De Capacitacion, Asesoria Y Asistencia Tecnica Para Consolidar Procesos De Participacion Ciudadana Y Control Social</t>
  </si>
  <si>
    <t>2.3.2.3.3.14.2</t>
  </si>
  <si>
    <t>Procesos De Eleccion De Ciudadanos A Los Espacios De Participacion Ciudadana</t>
  </si>
  <si>
    <t>2.3.2.3.3.14.3</t>
  </si>
  <si>
    <t>Consejo territorial de planeacion</t>
  </si>
  <si>
    <t>2.3.2.3.3.14.4</t>
  </si>
  <si>
    <t>Capacitacion A La Comunidad Sobre Participacion En La Gestion Publica</t>
  </si>
  <si>
    <t>AGUA POTABLE Y SANEAMIENTO BASICO</t>
  </si>
  <si>
    <t>2.3.2.4.1</t>
  </si>
  <si>
    <t>Servicio De Acueducto</t>
  </si>
  <si>
    <t>2.3.2.4.1.01</t>
  </si>
  <si>
    <t>Subsidios - Fondo De Solidaridad Y Predistribucion Del Ingreso</t>
  </si>
  <si>
    <t>2.3.2.4.1.02</t>
  </si>
  <si>
    <t>Preinversion En Diseño</t>
  </si>
  <si>
    <t>2.3.2.4.1.04</t>
  </si>
  <si>
    <t>Diseño E Implantacion De Esquemas Organizacionales Para La Administracion Y Operacion De Sistemas De Acueducto</t>
  </si>
  <si>
    <t>2.3.2.4.1.05</t>
  </si>
  <si>
    <t>Construccion De Sistemas De Acueducto (Excepto Obras Para El Tratamiento De Agua Potable)</t>
  </si>
  <si>
    <t>2.3.2.4.1.06</t>
  </si>
  <si>
    <t>2.3.2.4.1.07</t>
  </si>
  <si>
    <t>Ampliacion De Sistemas De Acueducto</t>
  </si>
  <si>
    <t>2.3.2.4.1.09</t>
  </si>
  <si>
    <t>Rehabilitacion De Sistemas De Acueducto</t>
  </si>
  <si>
    <t>2.3.2.4.1.11</t>
  </si>
  <si>
    <t>Programas De Macro Y Micro Medicion</t>
  </si>
  <si>
    <t>2.3.2.4.1.12</t>
  </si>
  <si>
    <t>Programas De Reduccion De Agua No Contabilizada</t>
  </si>
  <si>
    <t>2.3.2.4.1.13</t>
  </si>
  <si>
    <t>Equipos Requeridos Para La Operacion De Los Sistemas De Acueducto</t>
  </si>
  <si>
    <t>2.3.2.4.1.14</t>
  </si>
  <si>
    <t>Soluciones Alternas De Acueducto</t>
  </si>
  <si>
    <t>2.3.2.4.2</t>
  </si>
  <si>
    <t>Servicio De Alcantarillado</t>
  </si>
  <si>
    <t>2.3.2.4.2.01</t>
  </si>
  <si>
    <t>Subsidios - Fondo De Solidaridad Y Redistribucion Del Ingreso - Alcantarillado</t>
  </si>
  <si>
    <t>2.3.2.4.2.02</t>
  </si>
  <si>
    <t>2.3.2.4.2.04</t>
  </si>
  <si>
    <t>Diseño E Implantacion De Esquemas Organizacionales Para La Administracion Y Operacion De Sistemas De Alcantarillado</t>
  </si>
  <si>
    <t>2.3.2.4.2.08</t>
  </si>
  <si>
    <t>Ampliacion De Sistemas de alcantarillado sanitario</t>
  </si>
  <si>
    <t>2.3.2.4.2.11</t>
  </si>
  <si>
    <t>Rehabilitacion De Sistemas De Alcantarillado Sanitario</t>
  </si>
  <si>
    <t>2.3.2.4.2.12</t>
  </si>
  <si>
    <t>Rehabilitacion De Sistemas De Tratamiento De Aguas Residuales</t>
  </si>
  <si>
    <t>2.3.2.4.2.13</t>
  </si>
  <si>
    <t>2.3.2.4.2.16</t>
  </si>
  <si>
    <t>Soluciones Alternas De Alcantarillado</t>
  </si>
  <si>
    <t>2.3.2.4.2.17</t>
  </si>
  <si>
    <t>Unidades Sanitarias</t>
  </si>
  <si>
    <t>2.3.2.4.2.18</t>
  </si>
  <si>
    <t>Plan De Saneamiento Y Manejo De Vertimientos (Psmv)</t>
  </si>
  <si>
    <t>2.3.2.4.3</t>
  </si>
  <si>
    <t>Servicio De Aseo</t>
  </si>
  <si>
    <t>2.3.2.4.3.1</t>
  </si>
  <si>
    <t>Subsidios - Fondo De Solidaridad Y Redistribucion Del Ingreso - Aseo</t>
  </si>
  <si>
    <t>2.3.2.4.3.2</t>
  </si>
  <si>
    <t>2.3.2.4.3.4</t>
  </si>
  <si>
    <t>Diseño E Implantacion De Esquemas Organizacionales Para La Administracion Y Operacion Del Servicio De Aseo</t>
  </si>
  <si>
    <t>2.3.2.4.3.5</t>
  </si>
  <si>
    <t>Recoleccion, Tratamiento Y Disposicion Final De Residuos Solidos</t>
  </si>
  <si>
    <t>2.3.2.4.3.6</t>
  </si>
  <si>
    <t>Construccion De Nuevos Sistemas De Disposicion Final</t>
  </si>
  <si>
    <t>2.3.2.4.3.7</t>
  </si>
  <si>
    <t>Proyectos De Gestion Integral De Residuos Solidos</t>
  </si>
  <si>
    <t>2.3.2.4.3.8</t>
  </si>
  <si>
    <t>Plan De Gestion Integral De Residuos Solidos (Pgirs)</t>
  </si>
  <si>
    <t>2.3.2.4.4</t>
  </si>
  <si>
    <t>Construccion, Recuperacion Y Mantenimiento De Obras De Saneamiento Basico Rural</t>
  </si>
  <si>
    <t>2.3.2.4.5</t>
  </si>
  <si>
    <t>Transferencias Para El Plan Departamental De Agua Potable Y Saneamiento Basico</t>
  </si>
  <si>
    <t>2.3.2.4.6</t>
  </si>
  <si>
    <t>2.3.2.5</t>
  </si>
  <si>
    <t>ATENCIÓN INTEGRAL A LA PRIMERA INFANCIA</t>
  </si>
  <si>
    <t>2.3.2.5.1</t>
  </si>
  <si>
    <t>Programa de Atención Integral a la Primera Infancia (PAIPI)</t>
  </si>
  <si>
    <t>GASTOS DE INVERSION</t>
  </si>
  <si>
    <t>Regimen Subsidiado En Salud</t>
  </si>
  <si>
    <t>Régimen subsidiado ETESA</t>
  </si>
  <si>
    <t>2.3.3.01.2.1.06.1</t>
  </si>
  <si>
    <t>2.3.3.01.2.1.06.1.01</t>
  </si>
  <si>
    <t>2.3.3.01.2.1.06.1.02</t>
  </si>
  <si>
    <t>2.3.3.01.2.1.06.1.03</t>
  </si>
  <si>
    <t>2.3.3.01.2.1.06.1.04</t>
  </si>
  <si>
    <t>2.3.3.01.2.1.06.1.05</t>
  </si>
  <si>
    <t>2.3.3.01.2.1.06.1.06</t>
  </si>
  <si>
    <t>2.3.3.01.2.1.06.1.07</t>
  </si>
  <si>
    <t>2.3.3.01.2.1.06.1.08</t>
  </si>
  <si>
    <t>2.3.3.01.2.1.06.2</t>
  </si>
  <si>
    <t>2.3.3.01.2.1.06.3</t>
  </si>
  <si>
    <t>RECURSOS QUE FINANCIAN RESERVAS PRESUPUESTALES EXCEPCIONALES</t>
  </si>
  <si>
    <t>2.3.3.01.2.1.06.3.1</t>
  </si>
  <si>
    <t>2.3.3.01.2.1.06.3.2</t>
  </si>
  <si>
    <t>2.3.3.01.2.1.06.3.3</t>
  </si>
  <si>
    <t>2.3.3.01.2.1.06.3.4</t>
  </si>
  <si>
    <t>Régimen Subsidiado Continuidad SGP - anterior</t>
  </si>
  <si>
    <t>2.3.3.01.2.1.06.3.5</t>
  </si>
  <si>
    <t>Empres Territorial para la salud (ETESA) - anterior</t>
  </si>
  <si>
    <t>Cuota del 0.2% de inspección, vigilancia y control de las entidades territoriales</t>
  </si>
  <si>
    <t>Intervetoria Regimen Subsidiado 0.4%</t>
  </si>
  <si>
    <t>ACCIONES EN SALUD PÚBLICA COLECTIVA</t>
  </si>
  <si>
    <t>Acciones y Programas en Salud Pública</t>
  </si>
  <si>
    <t>2.3.3.01.2.2.3.1</t>
  </si>
  <si>
    <t>Gastos por recursos de capital OTROS GASTOS</t>
  </si>
  <si>
    <t>2.3.3.01.2.3.4</t>
  </si>
  <si>
    <t>Recursos destinados a financiar programas de prevención de eventos en salud de las personas afectadas por la emergencia invernal-salud pública decreto ley 017 de 2011</t>
  </si>
  <si>
    <t>Fondo Territorial de Pensiones FOMPET   (I.C.L.D)</t>
  </si>
  <si>
    <t>Fondo Municipal de Vivienda</t>
  </si>
  <si>
    <t>Fondo de Prevención y Atención de Desastres   (I.C.L.D)</t>
  </si>
  <si>
    <t>Fondo de Solidaridad Rural</t>
  </si>
  <si>
    <t>Gastos por Ingresos Volqueta</t>
  </si>
  <si>
    <t>Fondo De Solidaridad Y Redistribucion De Ingresos</t>
  </si>
  <si>
    <t>INVERSION CON OTROS FONDOS</t>
  </si>
  <si>
    <t>2.3.4.1.4</t>
  </si>
  <si>
    <t>2.3.4.1.5</t>
  </si>
  <si>
    <t>2.3.4.1.6</t>
  </si>
  <si>
    <t>FONDO CUENTA 418/87</t>
  </si>
  <si>
    <t>Seguridad y Convivencia Pacífica Ciudadada</t>
  </si>
  <si>
    <t>TRANSFERENCIA DEL 30% IMPUESTO AL CIGARRILLO Y TABACO</t>
  </si>
  <si>
    <t>Promoción y Desarrollo del Deporte</t>
  </si>
  <si>
    <t>2.3.4.3.2</t>
  </si>
  <si>
    <t>Adecuación, mantenimiento de escenarios deportivos</t>
  </si>
  <si>
    <t>2.3.4.4</t>
  </si>
  <si>
    <t>Dotación y funcionamiento de centros bienestar del anciano</t>
  </si>
  <si>
    <t>INVERSION POR COFINANCIACION</t>
  </si>
  <si>
    <t>Cofinanciación nacional - nivel central</t>
  </si>
  <si>
    <t>2.3.5.1.1.1.1</t>
  </si>
  <si>
    <t>2.3.5.1.1.2</t>
  </si>
  <si>
    <t>Cofinanciación departamental - nivel central</t>
  </si>
  <si>
    <t>2.3.5.1.1.2.1</t>
  </si>
  <si>
    <t>2.3.5.1.1.3</t>
  </si>
  <si>
    <t>Otras cofinanciaciones</t>
  </si>
  <si>
    <t>2.3.5.1.1.3.1</t>
  </si>
  <si>
    <t>Sector descentralizado</t>
  </si>
  <si>
    <t>2.3.5.1.1.3.1.1</t>
  </si>
  <si>
    <t>Nacional</t>
  </si>
  <si>
    <t>2.3.5.1.1.3.1.2</t>
  </si>
  <si>
    <t>Departamental</t>
  </si>
  <si>
    <t>2.3.5.1.1.4</t>
  </si>
  <si>
    <t>Regalías indirectas</t>
  </si>
  <si>
    <t>2.3.5.1.1.4.1</t>
  </si>
  <si>
    <t>Fondo Nacional de Regalías -FNR-</t>
  </si>
  <si>
    <t>Recursos Del Credito</t>
  </si>
  <si>
    <t>Inversion Recursos Del Credito</t>
  </si>
  <si>
    <t>2.3.5.2.1.2</t>
  </si>
  <si>
    <t>Inversion Recursos Del Credito vigencias anteriores</t>
  </si>
  <si>
    <t>RECURSOS DEL BALANCE</t>
  </si>
  <si>
    <t>SUPERAVIT FISCAL</t>
  </si>
  <si>
    <t>Recursos de libre destinación</t>
  </si>
  <si>
    <t>Recursos de forzosa inversión</t>
  </si>
  <si>
    <t>Recursos de forzosa inversión SGP</t>
  </si>
  <si>
    <t>2.3.5.3.1.2.1.1</t>
  </si>
  <si>
    <t>Recursos de forzosa inversión - Educación</t>
  </si>
  <si>
    <t>2.3.5.3.1.2.1.2</t>
  </si>
  <si>
    <t>Recursos de forzosa inversión - Alimentación Escolar</t>
  </si>
  <si>
    <t>2.3.5.3.1.2.1.3</t>
  </si>
  <si>
    <t>Recursos de agua potable y saneamiento básico</t>
  </si>
  <si>
    <t>2.3.5.3.1.2.1.4</t>
  </si>
  <si>
    <t>Recursos de forzosa inversión propósito general</t>
  </si>
  <si>
    <t>2.3.5.3.1.2.1.4.1</t>
  </si>
  <si>
    <t>2.3.5.3.1.2.1.4.2</t>
  </si>
  <si>
    <t>2.3.5.3.1.2.1.4.3</t>
  </si>
  <si>
    <t>Libre inversión menores de 25,000 habitantes</t>
  </si>
  <si>
    <t>2.3.5.3.1.2.1.4.4</t>
  </si>
  <si>
    <t>Resto libre inversión</t>
  </si>
  <si>
    <t>2.3.5.3.1.2.1.5</t>
  </si>
  <si>
    <t>Programa de Atención Integral a la Primera Infancia</t>
  </si>
  <si>
    <t>2.3.5.3.1.2.2</t>
  </si>
  <si>
    <t>Otros recursos de forzosa inversión diferentes al SGP</t>
  </si>
  <si>
    <t>2.3.5.3.1.2.2.1</t>
  </si>
  <si>
    <t>Cofinanciación</t>
  </si>
  <si>
    <t>2.3.5.3.1.2.2.1.1</t>
  </si>
  <si>
    <t>Presupuesto Participativo</t>
  </si>
  <si>
    <t>2.3.5.3.1.2.2.1.2</t>
  </si>
  <si>
    <t>mejoramiento vias FNR</t>
  </si>
  <si>
    <t>2.3.5.3.1.2.2.1.3</t>
  </si>
  <si>
    <t>convenios carder</t>
  </si>
  <si>
    <t>2.3.5.3.1.2.2.1.4</t>
  </si>
  <si>
    <t>otros convenios</t>
  </si>
  <si>
    <t>2.3.5.3.1.2.2.2</t>
  </si>
  <si>
    <t>2.3.5.3.1.2.2.2.1</t>
  </si>
  <si>
    <t>2.3.5.3.1.2.2.2.2</t>
  </si>
  <si>
    <t>Fondo de Vivienda Municipal</t>
  </si>
  <si>
    <t>2.3.5.3.1.2.2.2.3</t>
  </si>
  <si>
    <t>ingresos volqueta</t>
  </si>
  <si>
    <t>2.3.5.3.1.2.2.3</t>
  </si>
  <si>
    <t>Otros Fondos</t>
  </si>
  <si>
    <t>2.3.5.3.1.2.2.3.1</t>
  </si>
  <si>
    <t>Estampilla Procultura</t>
  </si>
  <si>
    <t>2.3.5.3.1.2.2.3.1.1</t>
  </si>
  <si>
    <t>2.3.5.3.1.2.2.3.1.2</t>
  </si>
  <si>
    <t>2.3.5.3.1.2.2.3.1.3</t>
  </si>
  <si>
    <t>2.3.5.3.1.2.2.3.1.4</t>
  </si>
  <si>
    <t>2.3.5.3.1.2.2.3.1.5</t>
  </si>
  <si>
    <t>2.3.5.3.1.2.2.3.1.6</t>
  </si>
  <si>
    <t>2.3.5.3.1.2.2.3.3</t>
  </si>
  <si>
    <t>Transferencia Del 30% Impuesto Al Cigarrillo Y Tabaco</t>
  </si>
  <si>
    <t>2.3.5.3.1.2.2.3.4</t>
  </si>
  <si>
    <t>Recursos - Sobretasa Bomberil</t>
  </si>
  <si>
    <t>2.3.5.3.1.2.2.3.5</t>
  </si>
  <si>
    <t>Recursos -  sobretasa deportiva</t>
  </si>
  <si>
    <t>2.3.5.3.1.2.2.3.6</t>
  </si>
  <si>
    <t>Recursos - Alumbrado Publico</t>
  </si>
  <si>
    <t>2.3.5.3.1.2.2.3.7</t>
  </si>
  <si>
    <t>2.3.5.3.2.2</t>
  </si>
  <si>
    <t>2.3.5.3.2.2.1</t>
  </si>
  <si>
    <t>2.3.5.3.2.2.1.1</t>
  </si>
  <si>
    <t>2.3.5.3.2.2.1.2</t>
  </si>
  <si>
    <t>2.3.5.3.2.2.1.3</t>
  </si>
  <si>
    <t>2.3.5.3.2.2.1.4</t>
  </si>
  <si>
    <t>2.3.5.3.2.2.1.4.1</t>
  </si>
  <si>
    <t>2.3.5.3.2.2.1.4.2</t>
  </si>
  <si>
    <t>2.3.5.3.2.2.1.4.3</t>
  </si>
  <si>
    <t>2.3.5.3.2.2.1.4.4</t>
  </si>
  <si>
    <t>2.3.5.3.2.2.2</t>
  </si>
  <si>
    <t>2.3.5.3.2.2.2.1</t>
  </si>
  <si>
    <t>2.3.5.3.2.2.2.2</t>
  </si>
  <si>
    <t>2.3.5.3.3</t>
  </si>
  <si>
    <t>INVERSION CON RECURSOS DE RENDIMIENTOS FINACIEROS</t>
  </si>
  <si>
    <t>2.3.5.3.3.1</t>
  </si>
  <si>
    <t>2.3.5.3.3.2</t>
  </si>
  <si>
    <t>2.3.5.3.3.2.1</t>
  </si>
  <si>
    <t>2.3.5.3.3.2.1.1</t>
  </si>
  <si>
    <t>2.3.5.3.3.2.1.2</t>
  </si>
  <si>
    <t>2.3.5.3.3.2.1.3</t>
  </si>
  <si>
    <t>2.3.5.3.3.2.1.4</t>
  </si>
  <si>
    <t>2.3.5.3.3.2.1.4.1</t>
  </si>
  <si>
    <t>2.3.5.3.3.2.1.4.2</t>
  </si>
  <si>
    <t>2.3.5.3.3.2.1.4.3</t>
  </si>
  <si>
    <t>2.3.5.3.3.2.1.4.4</t>
  </si>
  <si>
    <t>2.3.5.3.3.2.2</t>
  </si>
  <si>
    <t>2.3.5.3.3.2.2.1</t>
  </si>
  <si>
    <t>2.3.5.3.3.2.2.2</t>
  </si>
  <si>
    <t>CARLOS ARTURO RINCON CORRALES</t>
  </si>
  <si>
    <t>JOHN JAIRO SOTO HURTADO</t>
  </si>
  <si>
    <t>Secretario de Hacienda Municipal</t>
  </si>
  <si>
    <t xml:space="preserve">Alcalde Municipal </t>
  </si>
  <si>
    <t>pto definitivo</t>
  </si>
  <si>
    <t>detalle</t>
  </si>
  <si>
    <t>RENDIMIENTOS</t>
  </si>
  <si>
    <t>PROPOSITO GENERAL</t>
  </si>
  <si>
    <t>BALANCE</t>
  </si>
  <si>
    <t>RENDIMEINTOS</t>
  </si>
  <si>
    <t>PROPOSITO</t>
  </si>
  <si>
    <t>PRIMERA INF</t>
  </si>
  <si>
    <t>JUVENTUD</t>
  </si>
  <si>
    <t>DISCAPACITADOS</t>
  </si>
  <si>
    <t>REINSERTADOS</t>
  </si>
  <si>
    <t>LGTB</t>
  </si>
  <si>
    <t>RED JUNTOS</t>
  </si>
  <si>
    <t>SUBSIDIADO</t>
  </si>
  <si>
    <t>SALUD PUBLICA</t>
  </si>
  <si>
    <t>OTROS GASTOS  SALUD</t>
  </si>
  <si>
    <t>CONVENIOS</t>
  </si>
  <si>
    <t xml:space="preserve">VIAS </t>
  </si>
  <si>
    <t>INFRAESTRUCTURA</t>
  </si>
  <si>
    <t>SGP - proposito</t>
  </si>
  <si>
    <t>SGP APSB</t>
  </si>
  <si>
    <t>dESARROLLO</t>
  </si>
  <si>
    <t>no clasificados</t>
  </si>
  <si>
    <t>sgp proposito</t>
  </si>
  <si>
    <t>del credito</t>
  </si>
  <si>
    <t>balance</t>
  </si>
  <si>
    <t xml:space="preserve">reservas </t>
  </si>
  <si>
    <t>balance convenios</t>
  </si>
  <si>
    <t>65 y 35</t>
  </si>
  <si>
    <t>FOSYGA Y ETESA</t>
  </si>
  <si>
    <t>40 + 20+ 15 + 15</t>
  </si>
  <si>
    <t>70+30</t>
  </si>
  <si>
    <t>64+33</t>
  </si>
  <si>
    <t>40+1+25+25+14</t>
  </si>
  <si>
    <t>2.1.1.1.11</t>
  </si>
  <si>
    <t>Auxilio de Transporte-Concejales</t>
  </si>
  <si>
    <t>Construccion, Mantenimiento y Reparación De Sistemas De Potabilizacion Del Agua</t>
  </si>
  <si>
    <t>Construcción y Rehabilitacion De Sistemas De Alcantarillado Pluvial</t>
  </si>
  <si>
    <t>Fortalecimiento Agua Potable y Saneamiento Básico</t>
  </si>
  <si>
    <t>2.3.2.4.7</t>
  </si>
  <si>
    <t>Reforestación, mantenimiento y protección bocatomas, microcuencas y cuencas</t>
  </si>
  <si>
    <t>Fondo Municipal de Regalías   (Directas)</t>
  </si>
  <si>
    <t>2.3.5.3.1.2.2.4</t>
  </si>
  <si>
    <t>Inversión por regalías</t>
  </si>
  <si>
    <t>2.3.5.3.3.2.2.3</t>
  </si>
  <si>
    <t>Recursos del Crédito</t>
  </si>
  <si>
    <t>REGALIAS</t>
  </si>
  <si>
    <t>PLAN OPERATIVO ANUAL DE INVERSIONES 2011 LA CELIA RISARALDA.</t>
  </si>
  <si>
    <t xml:space="preserve">Alcalde </t>
  </si>
  <si>
    <t>Secretario de Hacienda</t>
  </si>
  <si>
    <t>Tec. Finazas y Plataforma Tecnologica</t>
  </si>
  <si>
    <t>JORGE ENRIQUE CAÑAS MONTOYA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</si>
</sst>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P_t_s_-;\-* #,##0.00\ _P_t_s_-;_-* &quot;-&quot;??\ _P_t_s_-;_-@_-"/>
    <numFmt numFmtId="165" formatCode="_-* #,##0\ _P_t_s_-;\-* #,##0\ _P_t_s_-;_-* &quot;-&quot;??\ _P_t_s_-;_-@_-"/>
    <numFmt numFmtId="166" formatCode="#,##0.00;[Red]#,##0.00"/>
    <numFmt numFmtId="167" formatCode="#,##0;[Red]#,##0"/>
  </numFmts>
  <fonts count="57">
    <font>
      <sz val="10"/>
      <name val="Arial"/>
    </font>
    <font>
      <sz val="10"/>
      <name val="Arial"/>
    </font>
    <font>
      <sz val="10"/>
      <name val="Arial"/>
      <family val="2"/>
    </font>
    <font>
      <sz val="4"/>
      <color indexed="8"/>
      <name val="Calibri"/>
      <family val="2"/>
    </font>
    <font>
      <b/>
      <sz val="4"/>
      <color indexed="8"/>
      <name val="Calibri"/>
      <family val="2"/>
    </font>
    <font>
      <u/>
      <sz val="4"/>
      <color indexed="10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6"/>
      <name val="Calibri"/>
      <family val="2"/>
    </font>
    <font>
      <b/>
      <sz val="6"/>
      <color indexed="8"/>
      <name val="Calibri"/>
      <family val="2"/>
    </font>
    <font>
      <b/>
      <sz val="6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u/>
      <sz val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b/>
      <sz val="6"/>
      <color indexed="22"/>
      <name val="Times New Roman"/>
      <family val="1"/>
    </font>
    <font>
      <sz val="10"/>
      <color indexed="12"/>
      <name val="Arial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391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3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" xfId="3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5" fontId="0" fillId="0" borderId="0" xfId="1" applyNumberFormat="1" applyFont="1"/>
    <xf numFmtId="165" fontId="14" fillId="0" borderId="0" xfId="1" applyNumberFormat="1" applyFont="1"/>
    <xf numFmtId="165" fontId="11" fillId="2" borderId="1" xfId="1" applyNumberFormat="1" applyFont="1" applyFill="1" applyBorder="1"/>
    <xf numFmtId="165" fontId="12" fillId="2" borderId="1" xfId="1" applyNumberFormat="1" applyFont="1" applyFill="1" applyBorder="1" applyAlignment="1">
      <alignment horizontal="center"/>
    </xf>
    <xf numFmtId="165" fontId="13" fillId="0" borderId="0" xfId="1" applyNumberFormat="1" applyFont="1"/>
    <xf numFmtId="165" fontId="7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Alignment="1">
      <alignment horizontal="left" vertical="top" wrapText="1"/>
    </xf>
    <xf numFmtId="165" fontId="0" fillId="0" borderId="0" xfId="0" applyNumberFormat="1"/>
    <xf numFmtId="0" fontId="15" fillId="0" borderId="0" xfId="0" applyFont="1"/>
    <xf numFmtId="165" fontId="15" fillId="0" borderId="0" xfId="1" applyNumberFormat="1" applyFont="1"/>
    <xf numFmtId="0" fontId="0" fillId="0" borderId="0" xfId="0" applyFill="1"/>
    <xf numFmtId="0" fontId="1" fillId="0" borderId="0" xfId="0" applyFont="1" applyFill="1"/>
    <xf numFmtId="0" fontId="15" fillId="3" borderId="0" xfId="0" applyFont="1" applyFill="1"/>
    <xf numFmtId="165" fontId="15" fillId="4" borderId="0" xfId="0" applyNumberFormat="1" applyFont="1" applyFill="1"/>
    <xf numFmtId="165" fontId="15" fillId="5" borderId="0" xfId="0" applyNumberFormat="1" applyFont="1" applyFill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/>
    <xf numFmtId="0" fontId="17" fillId="2" borderId="1" xfId="0" applyFont="1" applyFill="1" applyBorder="1"/>
    <xf numFmtId="0" fontId="18" fillId="2" borderId="1" xfId="0" applyFont="1" applyFill="1" applyBorder="1"/>
    <xf numFmtId="0" fontId="21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3" fontId="19" fillId="0" borderId="1" xfId="1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justify" wrapText="1"/>
    </xf>
    <xf numFmtId="0" fontId="20" fillId="2" borderId="1" xfId="0" applyFont="1" applyFill="1" applyBorder="1" applyAlignment="1">
      <alignment wrapText="1"/>
    </xf>
    <xf numFmtId="0" fontId="2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justify" vertical="top" wrapText="1"/>
    </xf>
    <xf numFmtId="0" fontId="19" fillId="0" borderId="0" xfId="0" applyFont="1"/>
    <xf numFmtId="0" fontId="24" fillId="2" borderId="1" xfId="0" applyFont="1" applyFill="1" applyBorder="1" applyAlignment="1">
      <alignment horizontal="center" vertical="justify"/>
    </xf>
    <xf numFmtId="0" fontId="25" fillId="2" borderId="3" xfId="2" applyFont="1" applyFill="1" applyBorder="1" applyAlignment="1">
      <alignment horizontal="center" vertical="justify"/>
    </xf>
    <xf numFmtId="0" fontId="24" fillId="0" borderId="0" xfId="0" applyFont="1" applyAlignment="1">
      <alignment horizontal="center" vertical="justify"/>
    </xf>
    <xf numFmtId="0" fontId="25" fillId="2" borderId="1" xfId="2" applyFont="1" applyFill="1" applyBorder="1" applyAlignment="1">
      <alignment horizontal="center" vertical="justify"/>
    </xf>
    <xf numFmtId="0" fontId="25" fillId="2" borderId="4" xfId="2" applyFont="1" applyFill="1" applyBorder="1" applyAlignment="1">
      <alignment horizontal="center" vertical="justify"/>
    </xf>
    <xf numFmtId="165" fontId="26" fillId="2" borderId="4" xfId="1" applyNumberFormat="1" applyFont="1" applyFill="1" applyBorder="1" applyAlignment="1">
      <alignment horizontal="center" vertical="justify"/>
    </xf>
    <xf numFmtId="165" fontId="25" fillId="2" borderId="4" xfId="1" applyNumberFormat="1" applyFont="1" applyFill="1" applyBorder="1" applyAlignment="1">
      <alignment horizontal="center" vertical="justify"/>
    </xf>
    <xf numFmtId="0" fontId="25" fillId="2" borderId="5" xfId="2" applyFont="1" applyFill="1" applyBorder="1" applyAlignment="1">
      <alignment horizontal="center" vertical="justify"/>
    </xf>
    <xf numFmtId="3" fontId="18" fillId="0" borderId="1" xfId="1" applyNumberFormat="1" applyFont="1" applyBorder="1" applyAlignment="1">
      <alignment horizontal="center" vertical="center" wrapText="1"/>
    </xf>
    <xf numFmtId="3" fontId="19" fillId="0" borderId="1" xfId="1" applyNumberFormat="1" applyFont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center" vertical="center"/>
    </xf>
    <xf numFmtId="3" fontId="22" fillId="2" borderId="1" xfId="1" applyNumberFormat="1" applyFont="1" applyFill="1" applyBorder="1" applyAlignment="1">
      <alignment horizontal="center" vertical="center"/>
    </xf>
    <xf numFmtId="3" fontId="18" fillId="0" borderId="1" xfId="1" applyNumberFormat="1" applyFont="1" applyBorder="1" applyAlignment="1">
      <alignment horizontal="center" vertical="center"/>
    </xf>
    <xf numFmtId="0" fontId="17" fillId="2" borderId="0" xfId="0" applyFont="1" applyFill="1"/>
    <xf numFmtId="0" fontId="18" fillId="2" borderId="0" xfId="0" applyFont="1" applyFill="1"/>
    <xf numFmtId="3" fontId="18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Border="1"/>
    <xf numFmtId="165" fontId="25" fillId="2" borderId="4" xfId="1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/>
    </xf>
    <xf numFmtId="0" fontId="0" fillId="6" borderId="0" xfId="0" applyFill="1"/>
    <xf numFmtId="0" fontId="0" fillId="3" borderId="0" xfId="0" applyFill="1"/>
    <xf numFmtId="0" fontId="0" fillId="7" borderId="0" xfId="0" applyFill="1"/>
    <xf numFmtId="0" fontId="0" fillId="8" borderId="0" xfId="0" applyFill="1"/>
    <xf numFmtId="0" fontId="27" fillId="0" borderId="0" xfId="0" applyFont="1" applyFill="1"/>
    <xf numFmtId="0" fontId="0" fillId="9" borderId="0" xfId="0" applyFill="1"/>
    <xf numFmtId="3" fontId="18" fillId="0" borderId="1" xfId="1" applyNumberFormat="1" applyFont="1" applyBorder="1" applyAlignment="1">
      <alignment vertical="center" wrapText="1"/>
    </xf>
    <xf numFmtId="3" fontId="18" fillId="0" borderId="1" xfId="1" applyNumberFormat="1" applyFont="1" applyBorder="1" applyAlignment="1">
      <alignment vertical="center"/>
    </xf>
    <xf numFmtId="4" fontId="18" fillId="2" borderId="1" xfId="1" applyNumberFormat="1" applyFont="1" applyFill="1" applyBorder="1" applyAlignment="1">
      <alignment vertical="center"/>
    </xf>
    <xf numFmtId="3" fontId="17" fillId="2" borderId="1" xfId="1" applyNumberFormat="1" applyFont="1" applyFill="1" applyBorder="1" applyAlignment="1">
      <alignment vertical="center" wrapText="1"/>
    </xf>
    <xf numFmtId="3" fontId="17" fillId="2" borderId="1" xfId="1" applyNumberFormat="1" applyFont="1" applyFill="1" applyBorder="1" applyAlignment="1">
      <alignment vertical="center"/>
    </xf>
    <xf numFmtId="3" fontId="20" fillId="2" borderId="1" xfId="1" applyNumberFormat="1" applyFont="1" applyFill="1" applyBorder="1" applyAlignment="1">
      <alignment vertical="center"/>
    </xf>
    <xf numFmtId="4" fontId="20" fillId="2" borderId="1" xfId="1" applyNumberFormat="1" applyFont="1" applyFill="1" applyBorder="1" applyAlignment="1">
      <alignment vertical="center"/>
    </xf>
    <xf numFmtId="4" fontId="18" fillId="2" borderId="1" xfId="1" applyNumberFormat="1" applyFont="1" applyFill="1" applyBorder="1" applyAlignment="1">
      <alignment vertical="center" wrapText="1"/>
    </xf>
    <xf numFmtId="3" fontId="22" fillId="2" borderId="1" xfId="1" applyNumberFormat="1" applyFont="1" applyFill="1" applyBorder="1" applyAlignment="1">
      <alignment vertical="center" wrapText="1"/>
    </xf>
    <xf numFmtId="4" fontId="22" fillId="2" borderId="1" xfId="1" applyNumberFormat="1" applyFont="1" applyFill="1" applyBorder="1" applyAlignment="1">
      <alignment vertical="center" wrapText="1"/>
    </xf>
    <xf numFmtId="3" fontId="3" fillId="0" borderId="0" xfId="0" applyNumberFormat="1" applyFont="1"/>
    <xf numFmtId="3" fontId="3" fillId="0" borderId="0" xfId="1" applyNumberFormat="1" applyFont="1"/>
    <xf numFmtId="4" fontId="3" fillId="0" borderId="0" xfId="1" applyNumberFormat="1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center" wrapText="1"/>
    </xf>
    <xf numFmtId="0" fontId="22" fillId="0" borderId="0" xfId="0" applyFont="1"/>
    <xf numFmtId="0" fontId="23" fillId="0" borderId="1" xfId="0" applyFont="1" applyBorder="1" applyAlignment="1">
      <alignment horizontal="right" vertical="top" wrapText="1"/>
    </xf>
    <xf numFmtId="3" fontId="19" fillId="0" borderId="1" xfId="1" applyNumberFormat="1" applyFont="1" applyBorder="1" applyAlignment="1">
      <alignment vertical="center" wrapText="1"/>
    </xf>
    <xf numFmtId="4" fontId="19" fillId="2" borderId="1" xfId="1" applyNumberFormat="1" applyFont="1" applyFill="1" applyBorder="1" applyAlignment="1">
      <alignment vertical="center" wrapText="1"/>
    </xf>
    <xf numFmtId="0" fontId="18" fillId="0" borderId="1" xfId="0" applyFont="1" applyBorder="1"/>
    <xf numFmtId="3" fontId="20" fillId="2" borderId="1" xfId="1" applyNumberFormat="1" applyFont="1" applyFill="1" applyBorder="1" applyAlignment="1">
      <alignment vertical="center" wrapText="1"/>
    </xf>
    <xf numFmtId="4" fontId="20" fillId="2" borderId="1" xfId="1" applyNumberFormat="1" applyFont="1" applyFill="1" applyBorder="1" applyAlignment="1">
      <alignment vertical="center" wrapText="1"/>
    </xf>
    <xf numFmtId="4" fontId="17" fillId="2" borderId="1" xfId="1" applyNumberFormat="1" applyFont="1" applyFill="1" applyBorder="1" applyAlignment="1">
      <alignment vertical="center" wrapText="1"/>
    </xf>
    <xf numFmtId="3" fontId="22" fillId="2" borderId="1" xfId="1" applyNumberFormat="1" applyFont="1" applyFill="1" applyBorder="1" applyAlignment="1">
      <alignment vertical="center"/>
    </xf>
    <xf numFmtId="0" fontId="17" fillId="10" borderId="1" xfId="0" applyFont="1" applyFill="1" applyBorder="1" applyAlignment="1">
      <alignment horizontal="left" vertical="top" wrapText="1"/>
    </xf>
    <xf numFmtId="3" fontId="17" fillId="10" borderId="1" xfId="1" applyNumberFormat="1" applyFont="1" applyFill="1" applyBorder="1" applyAlignment="1">
      <alignment vertical="center"/>
    </xf>
    <xf numFmtId="4" fontId="17" fillId="2" borderId="1" xfId="1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165" fontId="18" fillId="0" borderId="0" xfId="1" applyNumberFormat="1" applyFont="1"/>
    <xf numFmtId="4" fontId="18" fillId="2" borderId="1" xfId="0" applyNumberFormat="1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vertical="center"/>
    </xf>
    <xf numFmtId="0" fontId="22" fillId="2" borderId="0" xfId="0" applyFont="1" applyFill="1"/>
    <xf numFmtId="4" fontId="22" fillId="2" borderId="1" xfId="0" applyNumberFormat="1" applyFont="1" applyFill="1" applyBorder="1" applyAlignment="1">
      <alignment vertical="center"/>
    </xf>
    <xf numFmtId="0" fontId="22" fillId="2" borderId="1" xfId="0" applyFont="1" applyFill="1" applyBorder="1"/>
    <xf numFmtId="0" fontId="17" fillId="10" borderId="1" xfId="0" applyFont="1" applyFill="1" applyBorder="1"/>
    <xf numFmtId="0" fontId="28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3" fontId="29" fillId="0" borderId="1" xfId="1" applyNumberFormat="1" applyFont="1" applyBorder="1" applyAlignment="1">
      <alignment vertical="center" wrapText="1"/>
    </xf>
    <xf numFmtId="0" fontId="20" fillId="2" borderId="5" xfId="0" applyFont="1" applyFill="1" applyBorder="1" applyAlignment="1">
      <alignment horizontal="left" vertical="top" wrapText="1"/>
    </xf>
    <xf numFmtId="0" fontId="22" fillId="10" borderId="1" xfId="0" applyFont="1" applyFill="1" applyBorder="1" applyAlignment="1">
      <alignment horizontal="left" vertical="top" wrapText="1"/>
    </xf>
    <xf numFmtId="3" fontId="22" fillId="10" borderId="1" xfId="1" applyNumberFormat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29" fillId="0" borderId="0" xfId="0" applyFont="1" applyAlignment="1">
      <alignment wrapText="1"/>
    </xf>
    <xf numFmtId="0" fontId="17" fillId="2" borderId="1" xfId="0" applyFont="1" applyFill="1" applyBorder="1" applyAlignment="1">
      <alignment wrapText="1"/>
    </xf>
    <xf numFmtId="0" fontId="22" fillId="0" borderId="0" xfId="0" applyFont="1" applyAlignment="1">
      <alignment wrapText="1"/>
    </xf>
    <xf numFmtId="3" fontId="19" fillId="0" borderId="1" xfId="1" applyNumberFormat="1" applyFont="1" applyFill="1" applyBorder="1" applyAlignment="1">
      <alignment vertical="center" wrapText="1"/>
    </xf>
    <xf numFmtId="3" fontId="18" fillId="0" borderId="1" xfId="0" applyNumberFormat="1" applyFont="1" applyBorder="1" applyAlignment="1">
      <alignment vertical="center"/>
    </xf>
    <xf numFmtId="3" fontId="19" fillId="0" borderId="1" xfId="1" applyNumberFormat="1" applyFont="1" applyBorder="1" applyAlignment="1">
      <alignment vertical="center"/>
    </xf>
    <xf numFmtId="3" fontId="19" fillId="2" borderId="1" xfId="1" applyNumberFormat="1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/>
    </xf>
    <xf numFmtId="4" fontId="19" fillId="2" borderId="1" xfId="1" applyNumberFormat="1" applyFont="1" applyFill="1" applyBorder="1" applyAlignment="1">
      <alignment vertical="center"/>
    </xf>
    <xf numFmtId="3" fontId="19" fillId="0" borderId="1" xfId="1" applyNumberFormat="1" applyFont="1" applyFill="1" applyBorder="1" applyAlignment="1">
      <alignment vertical="center"/>
    </xf>
    <xf numFmtId="4" fontId="22" fillId="2" borderId="1" xfId="1" applyNumberFormat="1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vertical="center"/>
    </xf>
    <xf numFmtId="3" fontId="18" fillId="0" borderId="1" xfId="1" applyNumberFormat="1" applyFont="1" applyFill="1" applyBorder="1" applyAlignment="1">
      <alignment vertical="center"/>
    </xf>
    <xf numFmtId="3" fontId="18" fillId="2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Alignment="1">
      <alignment vertical="center"/>
    </xf>
    <xf numFmtId="3" fontId="15" fillId="11" borderId="0" xfId="0" applyNumberFormat="1" applyFont="1" applyFill="1"/>
    <xf numFmtId="0" fontId="30" fillId="0" borderId="0" xfId="0" applyFont="1"/>
    <xf numFmtId="3" fontId="30" fillId="0" borderId="0" xfId="0" applyNumberFormat="1" applyFont="1"/>
    <xf numFmtId="3" fontId="15" fillId="6" borderId="0" xfId="0" applyNumberFormat="1" applyFont="1" applyFill="1"/>
    <xf numFmtId="3" fontId="15" fillId="12" borderId="0" xfId="0" applyNumberFormat="1" applyFont="1" applyFill="1"/>
    <xf numFmtId="165" fontId="31" fillId="2" borderId="0" xfId="1" applyNumberFormat="1" applyFont="1" applyFill="1"/>
    <xf numFmtId="165" fontId="31" fillId="12" borderId="0" xfId="1" applyNumberFormat="1" applyFont="1" applyFill="1"/>
    <xf numFmtId="165" fontId="15" fillId="6" borderId="0" xfId="0" applyNumberFormat="1" applyFont="1" applyFill="1"/>
    <xf numFmtId="165" fontId="31" fillId="11" borderId="0" xfId="1" applyNumberFormat="1" applyFont="1" applyFill="1"/>
    <xf numFmtId="165" fontId="15" fillId="13" borderId="0" xfId="0" applyNumberFormat="1" applyFont="1" applyFill="1"/>
    <xf numFmtId="165" fontId="31" fillId="13" borderId="0" xfId="1" applyNumberFormat="1" applyFont="1" applyFill="1"/>
    <xf numFmtId="165" fontId="31" fillId="6" borderId="0" xfId="1" applyNumberFormat="1" applyFont="1" applyFill="1"/>
    <xf numFmtId="0" fontId="32" fillId="0" borderId="0" xfId="0" applyFont="1"/>
    <xf numFmtId="3" fontId="32" fillId="0" borderId="0" xfId="0" applyNumberFormat="1" applyFont="1"/>
    <xf numFmtId="0" fontId="33" fillId="0" borderId="0" xfId="0" applyFont="1"/>
    <xf numFmtId="3" fontId="33" fillId="0" borderId="0" xfId="0" applyNumberFormat="1" applyFont="1"/>
    <xf numFmtId="165" fontId="15" fillId="4" borderId="0" xfId="1" applyNumberFormat="1" applyFont="1" applyFill="1"/>
    <xf numFmtId="3" fontId="22" fillId="2" borderId="1" xfId="0" applyNumberFormat="1" applyFont="1" applyFill="1" applyBorder="1" applyAlignment="1">
      <alignment vertical="center"/>
    </xf>
    <xf numFmtId="0" fontId="35" fillId="2" borderId="1" xfId="0" applyFont="1" applyFill="1" applyBorder="1"/>
    <xf numFmtId="0" fontId="36" fillId="2" borderId="1" xfId="0" applyFont="1" applyFill="1" applyBorder="1"/>
    <xf numFmtId="0" fontId="37" fillId="2" borderId="1" xfId="2" applyFont="1" applyFill="1" applyBorder="1" applyAlignment="1">
      <alignment horizontal="center"/>
    </xf>
    <xf numFmtId="0" fontId="38" fillId="2" borderId="6" xfId="2" applyFont="1" applyFill="1" applyBorder="1" applyAlignment="1"/>
    <xf numFmtId="0" fontId="38" fillId="2" borderId="1" xfId="2" applyFont="1" applyFill="1" applyBorder="1" applyAlignment="1">
      <alignment horizontal="center"/>
    </xf>
    <xf numFmtId="0" fontId="38" fillId="2" borderId="6" xfId="2" applyFont="1" applyFill="1" applyBorder="1" applyAlignment="1">
      <alignment horizontal="center" vertical="justify" wrapText="1"/>
    </xf>
    <xf numFmtId="0" fontId="38" fillId="2" borderId="6" xfId="2" applyFont="1" applyFill="1" applyBorder="1" applyAlignment="1">
      <alignment horizontal="center" vertical="center"/>
    </xf>
    <xf numFmtId="0" fontId="38" fillId="2" borderId="6" xfId="2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8" fillId="2" borderId="1" xfId="2" applyFont="1" applyFill="1" applyBorder="1" applyAlignment="1">
      <alignment horizontal="center" vertical="center"/>
    </xf>
    <xf numFmtId="0" fontId="38" fillId="10" borderId="1" xfId="2" applyFont="1" applyFill="1" applyBorder="1" applyAlignment="1">
      <alignment horizontal="center"/>
    </xf>
    <xf numFmtId="0" fontId="24" fillId="0" borderId="0" xfId="0" applyFont="1"/>
    <xf numFmtId="0" fontId="39" fillId="0" borderId="0" xfId="0" applyFont="1"/>
    <xf numFmtId="0" fontId="35" fillId="10" borderId="1" xfId="0" applyFont="1" applyFill="1" applyBorder="1"/>
    <xf numFmtId="0" fontId="36" fillId="10" borderId="1" xfId="0" applyFont="1" applyFill="1" applyBorder="1"/>
    <xf numFmtId="0" fontId="37" fillId="10" borderId="1" xfId="2" applyFont="1" applyFill="1" applyBorder="1" applyAlignment="1">
      <alignment horizontal="center"/>
    </xf>
    <xf numFmtId="165" fontId="30" fillId="0" borderId="0" xfId="1" applyNumberFormat="1" applyFont="1"/>
    <xf numFmtId="165" fontId="33" fillId="0" borderId="0" xfId="1" applyNumberFormat="1" applyFont="1"/>
    <xf numFmtId="165" fontId="30" fillId="0" borderId="0" xfId="0" applyNumberFormat="1" applyFont="1"/>
    <xf numFmtId="165" fontId="40" fillId="0" borderId="0" xfId="1" applyNumberFormat="1" applyFont="1"/>
    <xf numFmtId="165" fontId="15" fillId="2" borderId="0" xfId="1" applyNumberFormat="1" applyFont="1" applyFill="1"/>
    <xf numFmtId="0" fontId="40" fillId="0" borderId="0" xfId="0" applyFont="1" applyAlignment="1">
      <alignment horizontal="right"/>
    </xf>
    <xf numFmtId="3" fontId="27" fillId="0" borderId="0" xfId="0" applyNumberFormat="1" applyFont="1" applyFill="1"/>
    <xf numFmtId="0" fontId="0" fillId="0" borderId="0" xfId="0" applyAlignment="1">
      <alignment horizontal="right"/>
    </xf>
    <xf numFmtId="9" fontId="1" fillId="0" borderId="0" xfId="0" applyNumberFormat="1" applyFont="1" applyFill="1"/>
    <xf numFmtId="3" fontId="1" fillId="0" borderId="0" xfId="0" applyNumberFormat="1" applyFont="1" applyFill="1"/>
    <xf numFmtId="165" fontId="1" fillId="0" borderId="0" xfId="1" applyNumberFormat="1" applyFont="1" applyFill="1"/>
    <xf numFmtId="165" fontId="1" fillId="0" borderId="0" xfId="0" applyNumberFormat="1" applyFont="1" applyFill="1"/>
    <xf numFmtId="0" fontId="33" fillId="0" borderId="0" xfId="0" applyFont="1" applyFill="1"/>
    <xf numFmtId="0" fontId="41" fillId="0" borderId="0" xfId="0" applyFont="1"/>
    <xf numFmtId="0" fontId="42" fillId="0" borderId="0" xfId="0" applyFont="1"/>
    <xf numFmtId="0" fontId="24" fillId="10" borderId="1" xfId="0" applyFont="1" applyFill="1" applyBorder="1"/>
    <xf numFmtId="0" fontId="25" fillId="10" borderId="1" xfId="2" applyFont="1" applyFill="1" applyBorder="1" applyAlignment="1">
      <alignment horizontal="center"/>
    </xf>
    <xf numFmtId="0" fontId="25" fillId="2" borderId="6" xfId="2" applyFont="1" applyFill="1" applyBorder="1" applyAlignment="1"/>
    <xf numFmtId="0" fontId="25" fillId="2" borderId="6" xfId="2" applyFont="1" applyFill="1" applyBorder="1" applyAlignment="1">
      <alignment horizontal="center" vertical="center"/>
    </xf>
    <xf numFmtId="0" fontId="25" fillId="2" borderId="6" xfId="2" applyFont="1" applyFill="1" applyBorder="1" applyAlignment="1">
      <alignment horizontal="center" vertical="justify" wrapText="1"/>
    </xf>
    <xf numFmtId="0" fontId="25" fillId="2" borderId="6" xfId="2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15" fillId="0" borderId="9" xfId="3" applyFont="1" applyBorder="1" applyAlignment="1">
      <alignment horizontal="center"/>
    </xf>
    <xf numFmtId="0" fontId="15" fillId="0" borderId="10" xfId="3" applyFont="1" applyFill="1" applyBorder="1" applyAlignment="1">
      <alignment horizontal="center" wrapText="1"/>
    </xf>
    <xf numFmtId="166" fontId="15" fillId="0" borderId="10" xfId="3" applyNumberFormat="1" applyFont="1" applyFill="1" applyBorder="1" applyAlignment="1">
      <alignment horizontal="center"/>
    </xf>
    <xf numFmtId="166" fontId="15" fillId="0" borderId="11" xfId="3" applyNumberFormat="1" applyFont="1" applyFill="1" applyBorder="1" applyAlignment="1">
      <alignment horizontal="center"/>
    </xf>
    <xf numFmtId="0" fontId="43" fillId="0" borderId="0" xfId="3" applyFont="1" applyFill="1"/>
    <xf numFmtId="166" fontId="43" fillId="0" borderId="11" xfId="3" applyNumberFormat="1" applyFont="1" applyFill="1" applyBorder="1" applyAlignment="1">
      <alignment horizontal="center"/>
    </xf>
    <xf numFmtId="38" fontId="44" fillId="0" borderId="12" xfId="3" applyNumberFormat="1" applyFont="1" applyFill="1" applyBorder="1" applyAlignment="1">
      <alignment vertical="top"/>
    </xf>
    <xf numFmtId="38" fontId="15" fillId="0" borderId="13" xfId="3" applyNumberFormat="1" applyFont="1" applyFill="1" applyBorder="1" applyAlignment="1">
      <alignment vertical="top" wrapText="1"/>
    </xf>
    <xf numFmtId="167" fontId="45" fillId="0" borderId="13" xfId="3" applyNumberFormat="1" applyFont="1" applyFill="1" applyBorder="1" applyAlignment="1">
      <alignment vertical="top"/>
    </xf>
    <xf numFmtId="167" fontId="45" fillId="0" borderId="14" xfId="3" applyNumberFormat="1" applyFont="1" applyFill="1" applyBorder="1" applyAlignment="1">
      <alignment vertical="top"/>
    </xf>
    <xf numFmtId="38" fontId="15" fillId="0" borderId="0" xfId="3" applyNumberFormat="1" applyFont="1" applyFill="1"/>
    <xf numFmtId="166" fontId="45" fillId="0" borderId="14" xfId="3" applyNumberFormat="1" applyFont="1" applyFill="1" applyBorder="1" applyAlignment="1">
      <alignment vertical="top"/>
    </xf>
    <xf numFmtId="0" fontId="46" fillId="0" borderId="0" xfId="3" applyFont="1" applyFill="1"/>
    <xf numFmtId="38" fontId="44" fillId="0" borderId="15" xfId="3" applyNumberFormat="1" applyFont="1" applyFill="1" applyBorder="1" applyAlignment="1">
      <alignment vertical="top"/>
    </xf>
    <xf numFmtId="38" fontId="15" fillId="0" borderId="16" xfId="3" applyNumberFormat="1" applyFont="1" applyFill="1" applyBorder="1" applyAlignment="1">
      <alignment vertical="top" wrapText="1"/>
    </xf>
    <xf numFmtId="167" fontId="45" fillId="0" borderId="16" xfId="3" applyNumberFormat="1" applyFont="1" applyFill="1" applyBorder="1" applyAlignment="1">
      <alignment vertical="top"/>
    </xf>
    <xf numFmtId="167" fontId="45" fillId="0" borderId="17" xfId="3" applyNumberFormat="1" applyFont="1" applyFill="1" applyBorder="1" applyAlignment="1">
      <alignment vertical="top"/>
    </xf>
    <xf numFmtId="166" fontId="45" fillId="0" borderId="17" xfId="3" applyNumberFormat="1" applyFont="1" applyFill="1" applyBorder="1" applyAlignment="1">
      <alignment vertical="top"/>
    </xf>
    <xf numFmtId="38" fontId="47" fillId="0" borderId="15" xfId="3" applyNumberFormat="1" applyFont="1" applyFill="1" applyBorder="1" applyAlignment="1">
      <alignment vertical="top"/>
    </xf>
    <xf numFmtId="38" fontId="2" fillId="0" borderId="16" xfId="3" applyNumberFormat="1" applyFont="1" applyFill="1" applyBorder="1" applyAlignment="1">
      <alignment vertical="top" wrapText="1"/>
    </xf>
    <xf numFmtId="167" fontId="48" fillId="0" borderId="16" xfId="3" applyNumberFormat="1" applyFont="1" applyFill="1" applyBorder="1" applyAlignment="1">
      <alignment vertical="top"/>
    </xf>
    <xf numFmtId="167" fontId="48" fillId="0" borderId="17" xfId="3" applyNumberFormat="1" applyFont="1" applyFill="1" applyBorder="1" applyAlignment="1">
      <alignment vertical="top"/>
    </xf>
    <xf numFmtId="38" fontId="2" fillId="0" borderId="0" xfId="3" applyNumberFormat="1" applyFont="1" applyFill="1"/>
    <xf numFmtId="166" fontId="48" fillId="0" borderId="17" xfId="3" applyNumberFormat="1" applyFont="1" applyFill="1" applyBorder="1" applyAlignment="1">
      <alignment vertical="top"/>
    </xf>
    <xf numFmtId="166" fontId="49" fillId="0" borderId="0" xfId="3" applyNumberFormat="1" applyFont="1" applyFill="1" applyAlignment="1">
      <alignment horizontal="right"/>
    </xf>
    <xf numFmtId="38" fontId="47" fillId="14" borderId="15" xfId="3" applyNumberFormat="1" applyFont="1" applyFill="1" applyBorder="1" applyAlignment="1">
      <alignment vertical="top"/>
    </xf>
    <xf numFmtId="38" fontId="2" fillId="14" borderId="16" xfId="3" applyNumberFormat="1" applyFont="1" applyFill="1" applyBorder="1" applyAlignment="1">
      <alignment vertical="top" wrapText="1"/>
    </xf>
    <xf numFmtId="166" fontId="48" fillId="0" borderId="18" xfId="3" applyNumberFormat="1" applyFont="1" applyFill="1" applyBorder="1"/>
    <xf numFmtId="0" fontId="43" fillId="0" borderId="0" xfId="3" applyFont="1"/>
    <xf numFmtId="0" fontId="47" fillId="0" borderId="0" xfId="3" applyFont="1"/>
    <xf numFmtId="0" fontId="43" fillId="0" borderId="0" xfId="3" applyFont="1" applyFill="1" applyAlignment="1">
      <alignment wrapText="1"/>
    </xf>
    <xf numFmtId="166" fontId="43" fillId="0" borderId="0" xfId="3" applyNumberFormat="1" applyFont="1" applyFill="1"/>
    <xf numFmtId="0" fontId="47" fillId="0" borderId="19" xfId="3" applyFont="1" applyFill="1" applyBorder="1" applyAlignment="1">
      <alignment horizontal="center" wrapText="1"/>
    </xf>
    <xf numFmtId="0" fontId="47" fillId="0" borderId="0" xfId="3" applyFont="1" applyFill="1" applyAlignment="1">
      <alignment horizontal="center" wrapText="1"/>
    </xf>
    <xf numFmtId="38" fontId="44" fillId="14" borderId="15" xfId="3" applyNumberFormat="1" applyFont="1" applyFill="1" applyBorder="1" applyAlignment="1">
      <alignment vertical="top"/>
    </xf>
    <xf numFmtId="38" fontId="15" fillId="14" borderId="16" xfId="3" applyNumberFormat="1" applyFont="1" applyFill="1" applyBorder="1" applyAlignment="1">
      <alignment vertical="top" wrapText="1"/>
    </xf>
    <xf numFmtId="38" fontId="15" fillId="0" borderId="0" xfId="0" applyNumberFormat="1" applyFont="1"/>
    <xf numFmtId="0" fontId="47" fillId="0" borderId="0" xfId="3" applyFont="1" applyFill="1" applyBorder="1" applyAlignment="1">
      <alignment horizontal="center" wrapText="1"/>
    </xf>
    <xf numFmtId="38" fontId="2" fillId="0" borderId="0" xfId="0" applyNumberFormat="1" applyFont="1"/>
    <xf numFmtId="38" fontId="47" fillId="15" borderId="15" xfId="3" applyNumberFormat="1" applyFont="1" applyFill="1" applyBorder="1" applyAlignment="1">
      <alignment vertical="top"/>
    </xf>
    <xf numFmtId="38" fontId="47" fillId="16" borderId="15" xfId="3" applyNumberFormat="1" applyFont="1" applyFill="1" applyBorder="1" applyAlignment="1">
      <alignment vertical="top"/>
    </xf>
    <xf numFmtId="38" fontId="2" fillId="16" borderId="16" xfId="3" applyNumberFormat="1" applyFont="1" applyFill="1" applyBorder="1" applyAlignment="1">
      <alignment vertical="top" wrapText="1"/>
    </xf>
    <xf numFmtId="38" fontId="47" fillId="17" borderId="15" xfId="3" applyNumberFormat="1" applyFont="1" applyFill="1" applyBorder="1" applyAlignment="1">
      <alignment vertical="top"/>
    </xf>
    <xf numFmtId="38" fontId="2" fillId="17" borderId="16" xfId="3" applyNumberFormat="1" applyFont="1" applyFill="1" applyBorder="1" applyAlignment="1">
      <alignment vertical="top" wrapText="1"/>
    </xf>
    <xf numFmtId="38" fontId="2" fillId="15" borderId="16" xfId="3" applyNumberFormat="1" applyFont="1" applyFill="1" applyBorder="1" applyAlignment="1">
      <alignment vertical="top" wrapText="1"/>
    </xf>
    <xf numFmtId="38" fontId="27" fillId="0" borderId="0" xfId="0" applyNumberFormat="1" applyFont="1"/>
    <xf numFmtId="38" fontId="47" fillId="18" borderId="15" xfId="3" applyNumberFormat="1" applyFont="1" applyFill="1" applyBorder="1" applyAlignment="1">
      <alignment vertical="top"/>
    </xf>
    <xf numFmtId="38" fontId="2" fillId="18" borderId="16" xfId="3" applyNumberFormat="1" applyFont="1" applyFill="1" applyBorder="1" applyAlignment="1">
      <alignment vertical="top" wrapText="1"/>
    </xf>
    <xf numFmtId="0" fontId="2" fillId="19" borderId="0" xfId="0" applyFont="1" applyFill="1"/>
    <xf numFmtId="38" fontId="47" fillId="19" borderId="15" xfId="3" applyNumberFormat="1" applyFont="1" applyFill="1" applyBorder="1" applyAlignment="1">
      <alignment vertical="top"/>
    </xf>
    <xf numFmtId="38" fontId="2" fillId="19" borderId="16" xfId="3" applyNumberFormat="1" applyFont="1" applyFill="1" applyBorder="1" applyAlignment="1">
      <alignment vertical="top" wrapText="1"/>
    </xf>
    <xf numFmtId="38" fontId="0" fillId="0" borderId="0" xfId="0" applyNumberFormat="1"/>
    <xf numFmtId="0" fontId="2" fillId="3" borderId="0" xfId="0" applyFont="1" applyFill="1"/>
    <xf numFmtId="0" fontId="2" fillId="7" borderId="0" xfId="0" applyFont="1" applyFill="1"/>
    <xf numFmtId="0" fontId="2" fillId="8" borderId="0" xfId="0" applyFont="1" applyFill="1"/>
    <xf numFmtId="38" fontId="34" fillId="0" borderId="0" xfId="0" applyNumberFormat="1" applyFont="1"/>
    <xf numFmtId="38" fontId="44" fillId="15" borderId="15" xfId="3" applyNumberFormat="1" applyFont="1" applyFill="1" applyBorder="1" applyAlignment="1">
      <alignment vertical="top"/>
    </xf>
    <xf numFmtId="38" fontId="15" fillId="15" borderId="16" xfId="3" applyNumberFormat="1" applyFont="1" applyFill="1" applyBorder="1" applyAlignment="1">
      <alignment vertical="top" wrapText="1"/>
    </xf>
    <xf numFmtId="0" fontId="0" fillId="15" borderId="0" xfId="0" applyFill="1"/>
    <xf numFmtId="0" fontId="15" fillId="0" borderId="0" xfId="0" applyFont="1" applyFill="1" applyAlignment="1">
      <alignment horizontal="center"/>
    </xf>
    <xf numFmtId="165" fontId="15" fillId="0" borderId="0" xfId="0" applyNumberFormat="1" applyFont="1" applyFill="1"/>
    <xf numFmtId="38" fontId="33" fillId="0" borderId="0" xfId="0" applyNumberFormat="1" applyFont="1" applyFill="1"/>
    <xf numFmtId="0" fontId="15" fillId="20" borderId="0" xfId="0" applyFont="1" applyFill="1"/>
    <xf numFmtId="0" fontId="0" fillId="16" borderId="0" xfId="0" applyFill="1"/>
    <xf numFmtId="38" fontId="47" fillId="22" borderId="15" xfId="3" applyNumberFormat="1" applyFont="1" applyFill="1" applyBorder="1" applyAlignment="1">
      <alignment vertical="top"/>
    </xf>
    <xf numFmtId="38" fontId="2" fillId="22" borderId="16" xfId="3" applyNumberFormat="1" applyFont="1" applyFill="1" applyBorder="1" applyAlignment="1">
      <alignment vertical="top" wrapText="1"/>
    </xf>
    <xf numFmtId="0" fontId="2" fillId="23" borderId="0" xfId="0" applyFont="1" applyFill="1"/>
    <xf numFmtId="0" fontId="47" fillId="9" borderId="16" xfId="0" applyFont="1" applyFill="1" applyBorder="1"/>
    <xf numFmtId="0" fontId="0" fillId="9" borderId="16" xfId="0" applyFill="1" applyBorder="1"/>
    <xf numFmtId="0" fontId="47" fillId="6" borderId="16" xfId="0" applyFont="1" applyFill="1" applyBorder="1"/>
    <xf numFmtId="0" fontId="0" fillId="6" borderId="16" xfId="0" applyFill="1" applyBorder="1"/>
    <xf numFmtId="0" fontId="47" fillId="7" borderId="16" xfId="0" applyFont="1" applyFill="1" applyBorder="1"/>
    <xf numFmtId="0" fontId="2" fillId="7" borderId="16" xfId="0" applyFont="1" applyFill="1" applyBorder="1"/>
    <xf numFmtId="38" fontId="33" fillId="0" borderId="0" xfId="0" applyNumberFormat="1" applyFont="1"/>
    <xf numFmtId="0" fontId="2" fillId="21" borderId="0" xfId="0" applyFont="1" applyFill="1"/>
    <xf numFmtId="38" fontId="30" fillId="0" borderId="0" xfId="0" applyNumberFormat="1" applyFont="1"/>
    <xf numFmtId="0" fontId="2" fillId="0" borderId="0" xfId="0" applyFont="1"/>
    <xf numFmtId="38" fontId="2" fillId="14" borderId="0" xfId="0" applyNumberFormat="1" applyFont="1" applyFill="1"/>
    <xf numFmtId="38" fontId="2" fillId="15" borderId="0" xfId="0" applyNumberFormat="1" applyFont="1" applyFill="1"/>
    <xf numFmtId="0" fontId="2" fillId="24" borderId="0" xfId="0" applyFont="1" applyFill="1"/>
    <xf numFmtId="38" fontId="47" fillId="24" borderId="15" xfId="3" applyNumberFormat="1" applyFont="1" applyFill="1" applyBorder="1" applyAlignment="1">
      <alignment vertical="top"/>
    </xf>
    <xf numFmtId="38" fontId="2" fillId="24" borderId="16" xfId="3" applyNumberFormat="1" applyFont="1" applyFill="1" applyBorder="1" applyAlignment="1">
      <alignment vertical="top" wrapText="1"/>
    </xf>
    <xf numFmtId="0" fontId="30" fillId="24" borderId="0" xfId="0" applyFont="1" applyFill="1"/>
    <xf numFmtId="3" fontId="0" fillId="6" borderId="0" xfId="0" applyNumberFormat="1" applyFill="1"/>
    <xf numFmtId="3" fontId="33" fillId="0" borderId="0" xfId="0" applyNumberFormat="1" applyFont="1" applyFill="1"/>
    <xf numFmtId="3" fontId="0" fillId="0" borderId="0" xfId="0" applyNumberFormat="1"/>
    <xf numFmtId="3" fontId="2" fillId="14" borderId="0" xfId="0" applyNumberFormat="1" applyFont="1" applyFill="1"/>
    <xf numFmtId="3" fontId="2" fillId="0" borderId="0" xfId="0" applyNumberFormat="1" applyFont="1"/>
    <xf numFmtId="3" fontId="0" fillId="3" borderId="0" xfId="0" applyNumberFormat="1" applyFill="1"/>
    <xf numFmtId="3" fontId="2" fillId="15" borderId="0" xfId="0" applyNumberFormat="1" applyFont="1" applyFill="1"/>
    <xf numFmtId="3" fontId="2" fillId="7" borderId="0" xfId="0" applyNumberFormat="1" applyFont="1" applyFill="1"/>
    <xf numFmtId="3" fontId="0" fillId="7" borderId="0" xfId="0" applyNumberFormat="1" applyFill="1"/>
    <xf numFmtId="3" fontId="0" fillId="8" borderId="0" xfId="0" applyNumberFormat="1" applyFill="1"/>
    <xf numFmtId="3" fontId="27" fillId="0" borderId="0" xfId="0" applyNumberFormat="1" applyFont="1"/>
    <xf numFmtId="3" fontId="2" fillId="19" borderId="0" xfId="0" applyNumberFormat="1" applyFont="1" applyFill="1"/>
    <xf numFmtId="3" fontId="0" fillId="9" borderId="0" xfId="0" applyNumberFormat="1" applyFill="1"/>
    <xf numFmtId="0" fontId="2" fillId="15" borderId="0" xfId="0" applyFont="1" applyFill="1"/>
    <xf numFmtId="3" fontId="18" fillId="0" borderId="1" xfId="0" applyNumberFormat="1" applyFont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 wrapText="1"/>
    </xf>
    <xf numFmtId="3" fontId="22" fillId="2" borderId="1" xfId="0" applyNumberFormat="1" applyFont="1" applyFill="1" applyBorder="1" applyAlignment="1">
      <alignment vertical="center" wrapText="1"/>
    </xf>
    <xf numFmtId="3" fontId="17" fillId="2" borderId="1" xfId="1" applyNumberFormat="1" applyFont="1" applyFill="1" applyBorder="1" applyAlignment="1">
      <alignment horizontal="center" vertical="center" wrapText="1"/>
    </xf>
    <xf numFmtId="3" fontId="22" fillId="2" borderId="1" xfId="1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vertical="center" wrapText="1"/>
    </xf>
    <xf numFmtId="3" fontId="18" fillId="2" borderId="1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vertical="center" wrapText="1"/>
    </xf>
    <xf numFmtId="3" fontId="17" fillId="10" borderId="1" xfId="1" applyNumberFormat="1" applyFont="1" applyFill="1" applyBorder="1" applyAlignment="1">
      <alignment vertical="center" wrapText="1"/>
    </xf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65" fontId="0" fillId="0" borderId="0" xfId="0" applyNumberFormat="1" applyFill="1"/>
    <xf numFmtId="38" fontId="47" fillId="25" borderId="15" xfId="3" applyNumberFormat="1" applyFont="1" applyFill="1" applyBorder="1" applyAlignment="1">
      <alignment vertical="top"/>
    </xf>
    <xf numFmtId="38" fontId="2" fillId="25" borderId="16" xfId="3" applyNumberFormat="1" applyFont="1" applyFill="1" applyBorder="1" applyAlignment="1">
      <alignment vertical="top" wrapText="1"/>
    </xf>
    <xf numFmtId="167" fontId="48" fillId="25" borderId="16" xfId="3" applyNumberFormat="1" applyFont="1" applyFill="1" applyBorder="1" applyAlignment="1">
      <alignment vertical="top"/>
    </xf>
    <xf numFmtId="167" fontId="48" fillId="25" borderId="17" xfId="3" applyNumberFormat="1" applyFont="1" applyFill="1" applyBorder="1" applyAlignment="1">
      <alignment vertical="top"/>
    </xf>
    <xf numFmtId="38" fontId="2" fillId="25" borderId="0" xfId="3" applyNumberFormat="1" applyFont="1" applyFill="1"/>
    <xf numFmtId="166" fontId="48" fillId="25" borderId="17" xfId="3" applyNumberFormat="1" applyFont="1" applyFill="1" applyBorder="1" applyAlignment="1">
      <alignment vertical="top"/>
    </xf>
    <xf numFmtId="0" fontId="43" fillId="25" borderId="0" xfId="3" applyFont="1" applyFill="1"/>
    <xf numFmtId="0" fontId="46" fillId="25" borderId="0" xfId="3" applyFont="1" applyFill="1"/>
    <xf numFmtId="0" fontId="18" fillId="14" borderId="1" xfId="0" applyFont="1" applyFill="1" applyBorder="1" applyAlignment="1">
      <alignment horizontal="left" vertical="top" wrapText="1"/>
    </xf>
    <xf numFmtId="38" fontId="30" fillId="14" borderId="0" xfId="0" applyNumberFormat="1" applyFont="1" applyFill="1"/>
    <xf numFmtId="164" fontId="0" fillId="0" borderId="0" xfId="1" applyFont="1"/>
    <xf numFmtId="164" fontId="0" fillId="0" borderId="0" xfId="0" applyNumberFormat="1"/>
    <xf numFmtId="43" fontId="0" fillId="0" borderId="0" xfId="0" applyNumberFormat="1"/>
    <xf numFmtId="0" fontId="0" fillId="14" borderId="0" xfId="0" applyFill="1"/>
    <xf numFmtId="0" fontId="19" fillId="14" borderId="1" xfId="0" applyFont="1" applyFill="1" applyBorder="1" applyAlignment="1">
      <alignment horizontal="left" vertical="top" wrapText="1"/>
    </xf>
    <xf numFmtId="3" fontId="18" fillId="14" borderId="1" xfId="1" applyNumberFormat="1" applyFont="1" applyFill="1" applyBorder="1" applyAlignment="1">
      <alignment vertical="center"/>
    </xf>
    <xf numFmtId="0" fontId="25" fillId="2" borderId="1" xfId="2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justify" wrapText="1"/>
    </xf>
    <xf numFmtId="0" fontId="25" fillId="2" borderId="1" xfId="2" applyFont="1" applyFill="1" applyBorder="1" applyAlignment="1">
      <alignment horizontal="center" vertical="justify"/>
    </xf>
    <xf numFmtId="0" fontId="25" fillId="2" borderId="6" xfId="2" applyFont="1" applyFill="1" applyBorder="1" applyAlignment="1">
      <alignment horizontal="center" vertical="justify"/>
    </xf>
    <xf numFmtId="0" fontId="25" fillId="2" borderId="7" xfId="2" applyFont="1" applyFill="1" applyBorder="1" applyAlignment="1">
      <alignment horizontal="center" vertical="justify"/>
    </xf>
    <xf numFmtId="0" fontId="25" fillId="2" borderId="8" xfId="2" applyFont="1" applyFill="1" applyBorder="1" applyAlignment="1">
      <alignment horizontal="center" vertical="justify"/>
    </xf>
    <xf numFmtId="0" fontId="25" fillId="2" borderId="1" xfId="2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8" fillId="2" borderId="1" xfId="2" applyFont="1" applyFill="1" applyBorder="1" applyAlignment="1">
      <alignment horizontal="center" vertical="center" wrapText="1"/>
    </xf>
    <xf numFmtId="0" fontId="37" fillId="2" borderId="1" xfId="2" applyFont="1" applyFill="1" applyBorder="1" applyAlignment="1">
      <alignment horizontal="center"/>
    </xf>
    <xf numFmtId="0" fontId="38" fillId="2" borderId="1" xfId="2" applyFont="1" applyFill="1" applyBorder="1" applyAlignment="1">
      <alignment horizontal="center"/>
    </xf>
    <xf numFmtId="0" fontId="38" fillId="2" borderId="1" xfId="2" applyFont="1" applyFill="1" applyBorder="1" applyAlignment="1">
      <alignment horizontal="center" vertical="center"/>
    </xf>
    <xf numFmtId="0" fontId="38" fillId="2" borderId="3" xfId="2" applyFont="1" applyFill="1" applyBorder="1" applyAlignment="1">
      <alignment horizontal="center" vertical="center"/>
    </xf>
    <xf numFmtId="0" fontId="38" fillId="2" borderId="4" xfId="2" applyFont="1" applyFill="1" applyBorder="1" applyAlignment="1">
      <alignment horizontal="center" vertical="center"/>
    </xf>
    <xf numFmtId="0" fontId="38" fillId="2" borderId="5" xfId="2" applyFont="1" applyFill="1" applyBorder="1" applyAlignment="1">
      <alignment horizontal="center" vertical="center"/>
    </xf>
    <xf numFmtId="0" fontId="37" fillId="10" borderId="1" xfId="2" applyFont="1" applyFill="1" applyBorder="1" applyAlignment="1">
      <alignment horizontal="center"/>
    </xf>
    <xf numFmtId="0" fontId="38" fillId="10" borderId="1" xfId="2" applyFont="1" applyFill="1" applyBorder="1" applyAlignment="1">
      <alignment horizontal="center" vertical="center" wrapText="1"/>
    </xf>
    <xf numFmtId="0" fontId="38" fillId="10" borderId="1" xfId="2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10" borderId="1" xfId="2" applyFont="1" applyFill="1" applyBorder="1" applyAlignment="1">
      <alignment horizontal="center"/>
    </xf>
    <xf numFmtId="0" fontId="25" fillId="10" borderId="1" xfId="2" applyFont="1" applyFill="1" applyBorder="1" applyAlignment="1">
      <alignment horizontal="center" vertical="center" wrapText="1"/>
    </xf>
    <xf numFmtId="0" fontId="25" fillId="2" borderId="3" xfId="2" applyFont="1" applyFill="1" applyBorder="1" applyAlignment="1">
      <alignment horizontal="center" vertical="justify" wrapText="1"/>
    </xf>
    <xf numFmtId="0" fontId="25" fillId="2" borderId="4" xfId="2" applyFont="1" applyFill="1" applyBorder="1" applyAlignment="1">
      <alignment horizontal="center" vertical="justify" wrapText="1"/>
    </xf>
    <xf numFmtId="0" fontId="25" fillId="2" borderId="5" xfId="2" applyFont="1" applyFill="1" applyBorder="1" applyAlignment="1">
      <alignment horizontal="center" vertical="justify" wrapText="1"/>
    </xf>
    <xf numFmtId="0" fontId="10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/>
    </xf>
    <xf numFmtId="0" fontId="10" fillId="2" borderId="7" xfId="3" applyFont="1" applyFill="1" applyBorder="1" applyAlignment="1">
      <alignment horizontal="center"/>
    </xf>
    <xf numFmtId="0" fontId="10" fillId="2" borderId="8" xfId="3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165" fontId="0" fillId="0" borderId="0" xfId="1" applyNumberFormat="1" applyFont="1" applyFill="1" applyAlignment="1">
      <alignment horizontal="center" textRotation="90"/>
    </xf>
    <xf numFmtId="0" fontId="15" fillId="4" borderId="0" xfId="0" applyFont="1" applyFill="1" applyAlignment="1">
      <alignment horizontal="center"/>
    </xf>
    <xf numFmtId="0" fontId="15" fillId="11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5" fontId="15" fillId="12" borderId="0" xfId="0" applyNumberFormat="1" applyFont="1" applyFill="1" applyAlignment="1">
      <alignment horizontal="center"/>
    </xf>
    <xf numFmtId="165" fontId="15" fillId="6" borderId="0" xfId="0" applyNumberFormat="1" applyFont="1" applyFill="1" applyAlignment="1">
      <alignment horizontal="center"/>
    </xf>
    <xf numFmtId="166" fontId="47" fillId="0" borderId="19" xfId="3" applyNumberFormat="1" applyFont="1" applyFill="1" applyBorder="1" applyAlignment="1">
      <alignment horizontal="center"/>
    </xf>
    <xf numFmtId="166" fontId="47" fillId="0" borderId="0" xfId="3" applyNumberFormat="1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2"/>
    <cellStyle name="Normal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6"/>
  <sheetViews>
    <sheetView tabSelected="1" topLeftCell="A85" workbookViewId="0">
      <selection activeCell="D8" sqref="D8:D11"/>
    </sheetView>
  </sheetViews>
  <sheetFormatPr baseColWidth="10" defaultRowHeight="11.25"/>
  <cols>
    <col min="1" max="1" width="12.140625" style="32" customWidth="1"/>
    <col min="2" max="2" width="19.5703125" style="33" customWidth="1"/>
    <col min="3" max="3" width="14.5703125" style="33" customWidth="1"/>
    <col min="4" max="4" width="26" style="33" customWidth="1"/>
    <col min="5" max="10" width="6.42578125" style="34" hidden="1" customWidth="1"/>
    <col min="11" max="11" width="9.7109375" style="34" customWidth="1"/>
    <col min="12" max="12" width="9.7109375" style="35" hidden="1" customWidth="1"/>
    <col min="13" max="13" width="10.5703125" style="35" hidden="1" customWidth="1"/>
    <col min="14" max="14" width="14.42578125" style="35" customWidth="1"/>
    <col min="15" max="21" width="11.5703125" style="33" customWidth="1"/>
    <col min="22" max="16384" width="11.42578125" style="33"/>
  </cols>
  <sheetData>
    <row r="2" spans="1:21">
      <c r="A2" s="32" t="s">
        <v>1275</v>
      </c>
      <c r="D2" s="32"/>
      <c r="E2" s="36"/>
    </row>
    <row r="3" spans="1:21" ht="15">
      <c r="A3" s="37" t="s">
        <v>251</v>
      </c>
      <c r="N3" s="314" t="s">
        <v>274</v>
      </c>
      <c r="O3" s="315">
        <v>2011</v>
      </c>
    </row>
    <row r="4" spans="1:21">
      <c r="A4" s="37"/>
    </row>
    <row r="5" spans="1:21" s="57" customFormat="1" ht="16.5">
      <c r="A5" s="55"/>
      <c r="B5" s="55"/>
      <c r="C5" s="55"/>
      <c r="D5" s="55"/>
      <c r="E5" s="341" t="s">
        <v>178</v>
      </c>
      <c r="F5" s="342"/>
      <c r="G5" s="342"/>
      <c r="H5" s="342"/>
      <c r="I5" s="342"/>
      <c r="J5" s="343"/>
      <c r="K5" s="56"/>
      <c r="L5" s="56" t="s">
        <v>68</v>
      </c>
      <c r="M5" s="56"/>
      <c r="N5" s="56"/>
      <c r="O5" s="345" t="s">
        <v>179</v>
      </c>
      <c r="P5" s="346"/>
      <c r="Q5" s="346"/>
      <c r="R5" s="346"/>
      <c r="S5" s="346"/>
      <c r="T5" s="346"/>
      <c r="U5" s="346"/>
    </row>
    <row r="6" spans="1:21" s="57" customFormat="1" ht="24.75">
      <c r="A6" s="200" t="s">
        <v>138</v>
      </c>
      <c r="B6" s="200" t="s">
        <v>139</v>
      </c>
      <c r="C6" s="200" t="s">
        <v>140</v>
      </c>
      <c r="D6" s="200" t="s">
        <v>141</v>
      </c>
      <c r="E6" s="55" t="s">
        <v>142</v>
      </c>
      <c r="F6" s="58" t="s">
        <v>143</v>
      </c>
      <c r="G6" s="58" t="s">
        <v>144</v>
      </c>
      <c r="H6" s="339" t="s">
        <v>145</v>
      </c>
      <c r="I6" s="340" t="s">
        <v>146</v>
      </c>
      <c r="J6" s="340"/>
      <c r="K6" s="59" t="s">
        <v>66</v>
      </c>
      <c r="L6" s="60">
        <f>VARIOS!E131</f>
        <v>463976105.48000002</v>
      </c>
      <c r="M6" s="61" t="s">
        <v>512</v>
      </c>
      <c r="N6" s="72" t="s">
        <v>98</v>
      </c>
      <c r="O6" s="200" t="s">
        <v>69</v>
      </c>
      <c r="P6" s="333" t="s">
        <v>143</v>
      </c>
      <c r="Q6" s="333" t="s">
        <v>144</v>
      </c>
      <c r="R6" s="344" t="s">
        <v>145</v>
      </c>
      <c r="S6" s="338" t="s">
        <v>146</v>
      </c>
      <c r="T6" s="338"/>
      <c r="U6" s="338" t="s">
        <v>1274</v>
      </c>
    </row>
    <row r="7" spans="1:21" s="57" customFormat="1" ht="16.5">
      <c r="A7" s="55" t="s">
        <v>453</v>
      </c>
      <c r="B7" s="55"/>
      <c r="C7" s="55"/>
      <c r="D7" s="55"/>
      <c r="E7" s="55"/>
      <c r="F7" s="58"/>
      <c r="G7" s="58"/>
      <c r="H7" s="339"/>
      <c r="I7" s="58" t="s">
        <v>147</v>
      </c>
      <c r="J7" s="58" t="s">
        <v>148</v>
      </c>
      <c r="K7" s="62"/>
      <c r="L7" s="62" t="s">
        <v>99</v>
      </c>
      <c r="M7" s="62"/>
      <c r="N7" s="62"/>
      <c r="O7" s="200"/>
      <c r="P7" s="333"/>
      <c r="Q7" s="333"/>
      <c r="R7" s="344"/>
      <c r="S7" s="333" t="s">
        <v>147</v>
      </c>
      <c r="T7" s="333" t="s">
        <v>148</v>
      </c>
      <c r="U7" s="338"/>
    </row>
    <row r="8" spans="1:21" ht="90">
      <c r="A8" s="40" t="s">
        <v>152</v>
      </c>
      <c r="B8" s="41" t="s">
        <v>153</v>
      </c>
      <c r="C8" s="42"/>
      <c r="D8" s="331" t="s">
        <v>154</v>
      </c>
      <c r="E8" s="63">
        <f>SUM(F8:J8)</f>
        <v>30000</v>
      </c>
      <c r="F8" s="43">
        <v>0</v>
      </c>
      <c r="G8" s="43">
        <v>30000</v>
      </c>
      <c r="H8" s="43">
        <v>0</v>
      </c>
      <c r="I8" s="43">
        <v>0</v>
      </c>
      <c r="J8" s="100">
        <v>0</v>
      </c>
      <c r="K8" s="101">
        <f>O8/$O$12*100</f>
        <v>33.193180799036455</v>
      </c>
      <c r="L8" s="131">
        <f>$L$12*K8%</f>
        <v>41315285.986976542</v>
      </c>
      <c r="M8" s="131">
        <f>SUM(E8*1000)-L8</f>
        <v>-11315285.986976542</v>
      </c>
      <c r="N8" s="300" t="str">
        <f>VARIOS!C20&amp;"  -  "&amp;VARIOS!C25&amp;"  -  "&amp;VARIOS!C30&amp;"  -  "&amp;VARIOS!C31&amp;"  -  "&amp;VARIOS!C33&amp;"  -  "&amp;VARIOS!C35&amp;"  -  "&amp;VARIOS!C37&amp;"  -  "&amp;VARIOS!C314</f>
        <v>2.3.1.2.1  -  2.3.2.1.1.08  -  2.3.2.2.1  -  2.3.2.2.2  -  2.3.5.3.1.2.1.2  -  2.3.5.3.2.2.1.2  -  2.3.5.3.3.2.1.2  -  2.3.1.4.4.13</v>
      </c>
      <c r="O8" s="132">
        <f>SUM(P8:U8)</f>
        <v>39531783.939999998</v>
      </c>
      <c r="P8" s="132">
        <f>VARIOS!E20</f>
        <v>2000000</v>
      </c>
      <c r="Q8" s="132">
        <f>VARIOS!E25+VARIOS!E30+VARIOS!E31</f>
        <v>35071372.399999999</v>
      </c>
      <c r="R8" s="132">
        <f>VARIOS!E33+VARIOS!E35+VARIOS!E37+VARIOS!E314</f>
        <v>1855411.54</v>
      </c>
      <c r="S8" s="81">
        <v>0</v>
      </c>
      <c r="T8" s="81">
        <v>0</v>
      </c>
      <c r="U8" s="332">
        <f>VARIOS!I336</f>
        <v>605000</v>
      </c>
    </row>
    <row r="9" spans="1:21" ht="22.5">
      <c r="A9" s="37"/>
      <c r="B9" s="42"/>
      <c r="C9" s="42"/>
      <c r="D9" s="41" t="s">
        <v>506</v>
      </c>
      <c r="E9" s="63">
        <f>SUM(F9:J9)</f>
        <v>70000</v>
      </c>
      <c r="F9" s="64">
        <v>5000</v>
      </c>
      <c r="G9" s="64">
        <v>65000</v>
      </c>
      <c r="H9" s="43">
        <v>0</v>
      </c>
      <c r="I9" s="64">
        <v>0</v>
      </c>
      <c r="J9" s="133">
        <v>0</v>
      </c>
      <c r="K9" s="101">
        <f t="shared" ref="K9:K11" si="0">O9/$O$12*100</f>
        <v>5.1983566025243908</v>
      </c>
      <c r="L9" s="131">
        <f>$L$12*K9%</f>
        <v>6470352.7810693402</v>
      </c>
      <c r="M9" s="131">
        <f t="shared" ref="M9:M72" si="1">SUM(E9*1000)-L9</f>
        <v>63529647.218930662</v>
      </c>
      <c r="N9" s="300" t="str">
        <f>VARIOS!C18&amp;"  -  "&amp;VARIOS!C24</f>
        <v>2.3.1.1.5  -  2.3.2.1.1.07</v>
      </c>
      <c r="O9" s="132">
        <f t="shared" ref="O9:O11" si="2">SUM(P9:T9)</f>
        <v>6191040</v>
      </c>
      <c r="P9" s="132">
        <f>VARIOS!E18</f>
        <v>2000000</v>
      </c>
      <c r="Q9" s="132">
        <f>VARIOS!E24</f>
        <v>4191040</v>
      </c>
      <c r="R9" s="132">
        <v>0</v>
      </c>
      <c r="S9" s="81">
        <v>0</v>
      </c>
      <c r="T9" s="81">
        <v>0</v>
      </c>
      <c r="U9" s="81">
        <v>0</v>
      </c>
    </row>
    <row r="10" spans="1:21" ht="47.25" customHeight="1">
      <c r="A10" s="37"/>
      <c r="B10" s="42"/>
      <c r="C10" s="42"/>
      <c r="D10" s="41" t="s">
        <v>507</v>
      </c>
      <c r="E10" s="63">
        <f>SUM(F10:J10)</f>
        <v>35000</v>
      </c>
      <c r="F10" s="64">
        <v>5000</v>
      </c>
      <c r="G10" s="64">
        <v>30000</v>
      </c>
      <c r="H10" s="43">
        <v>0</v>
      </c>
      <c r="I10" s="64">
        <v>0</v>
      </c>
      <c r="J10" s="133">
        <v>0</v>
      </c>
      <c r="K10" s="101">
        <f t="shared" si="0"/>
        <v>43.361621257101326</v>
      </c>
      <c r="L10" s="131">
        <f>$L$12*K10%</f>
        <v>53971862.291308552</v>
      </c>
      <c r="M10" s="131">
        <f t="shared" si="1"/>
        <v>-18971862.291308552</v>
      </c>
      <c r="N10" s="300" t="str">
        <f>VARIOS!C27&amp;"  -  "&amp;VARIOS!C26</f>
        <v>2.3.2.1.2.07  -  2.3.2.1.1.09</v>
      </c>
      <c r="O10" s="132">
        <f t="shared" si="2"/>
        <v>51642000</v>
      </c>
      <c r="P10" s="132">
        <f>VARIOS!E14</f>
        <v>0</v>
      </c>
      <c r="Q10" s="132">
        <f>VARIOS!E27+VARIOS!E26</f>
        <v>51642000</v>
      </c>
      <c r="R10" s="132">
        <v>0</v>
      </c>
      <c r="S10" s="81">
        <v>0</v>
      </c>
      <c r="T10" s="81">
        <v>0</v>
      </c>
      <c r="U10" s="81">
        <v>0</v>
      </c>
    </row>
    <row r="11" spans="1:21" ht="60.75" customHeight="1">
      <c r="A11" s="37"/>
      <c r="B11" s="42"/>
      <c r="C11" s="42"/>
      <c r="D11" s="42" t="s">
        <v>252</v>
      </c>
      <c r="E11" s="43">
        <f>SUM(F11:J11)</f>
        <v>19000</v>
      </c>
      <c r="F11" s="64">
        <v>4000</v>
      </c>
      <c r="G11" s="64">
        <v>7000</v>
      </c>
      <c r="H11" s="43">
        <v>0</v>
      </c>
      <c r="I11" s="64">
        <v>8000</v>
      </c>
      <c r="J11" s="133">
        <v>0</v>
      </c>
      <c r="K11" s="101">
        <f t="shared" si="0"/>
        <v>18.246841341337838</v>
      </c>
      <c r="L11" s="131">
        <f>$L$12*K11%</f>
        <v>22711697.108529087</v>
      </c>
      <c r="M11" s="131">
        <f t="shared" si="1"/>
        <v>-3711697.1085290872</v>
      </c>
      <c r="N11" s="300" t="str">
        <f>VARIOS!C19&amp;"  -  "&amp;VARIOS!C32</f>
        <v>2.3.1.1.6  -  2.3.5.3.1.2.1.1</v>
      </c>
      <c r="O11" s="132">
        <f t="shared" si="2"/>
        <v>21731276.489</v>
      </c>
      <c r="P11" s="132">
        <f>VARIOS!E19</f>
        <v>6500000</v>
      </c>
      <c r="Q11" s="132">
        <v>0</v>
      </c>
      <c r="R11" s="132">
        <f>VARIOS!E32*65%</f>
        <v>15231276.489</v>
      </c>
      <c r="S11" s="81">
        <v>0</v>
      </c>
      <c r="T11" s="81">
        <v>0</v>
      </c>
      <c r="U11" s="81">
        <v>0</v>
      </c>
    </row>
    <row r="12" spans="1:21" s="68" customFormat="1">
      <c r="A12" s="38"/>
      <c r="B12" s="44" t="s">
        <v>150</v>
      </c>
      <c r="C12" s="44"/>
      <c r="D12" s="44"/>
      <c r="E12" s="65">
        <f>SUM(E8:E11)</f>
        <v>154000</v>
      </c>
      <c r="F12" s="65">
        <v>14000</v>
      </c>
      <c r="G12" s="65">
        <v>132000</v>
      </c>
      <c r="H12" s="65">
        <v>0</v>
      </c>
      <c r="I12" s="65">
        <v>8000</v>
      </c>
      <c r="J12" s="84">
        <v>0</v>
      </c>
      <c r="K12" s="104">
        <f>O12/$O$27*100</f>
        <v>51.826419778418057</v>
      </c>
      <c r="L12" s="103">
        <f>$L$27*K12%</f>
        <v>124469198.16788352</v>
      </c>
      <c r="M12" s="134">
        <f t="shared" si="1"/>
        <v>29530801.832116485</v>
      </c>
      <c r="N12" s="301"/>
      <c r="O12" s="135">
        <f t="shared" ref="O12:U12" si="3">SUM(O8:O11)</f>
        <v>119096100.42899999</v>
      </c>
      <c r="P12" s="135">
        <f t="shared" si="3"/>
        <v>10500000</v>
      </c>
      <c r="Q12" s="135">
        <f t="shared" si="3"/>
        <v>90904412.400000006</v>
      </c>
      <c r="R12" s="135">
        <f>SUM(R8:R11)</f>
        <v>17086688.028999999</v>
      </c>
      <c r="S12" s="135">
        <f t="shared" si="3"/>
        <v>0</v>
      </c>
      <c r="T12" s="135">
        <f t="shared" si="3"/>
        <v>0</v>
      </c>
      <c r="U12" s="135">
        <f t="shared" si="3"/>
        <v>605000</v>
      </c>
    </row>
    <row r="13" spans="1:21" ht="45">
      <c r="A13" s="37"/>
      <c r="B13" s="42" t="s">
        <v>155</v>
      </c>
      <c r="C13" s="41" t="s">
        <v>156</v>
      </c>
      <c r="D13" s="42" t="s">
        <v>157</v>
      </c>
      <c r="E13" s="63">
        <f>SUM(F13:J13)</f>
        <v>10000</v>
      </c>
      <c r="F13" s="64">
        <v>0</v>
      </c>
      <c r="G13" s="64">
        <v>10000</v>
      </c>
      <c r="H13" s="43">
        <v>0</v>
      </c>
      <c r="I13" s="64">
        <v>0</v>
      </c>
      <c r="J13" s="133">
        <v>0</v>
      </c>
      <c r="K13" s="136">
        <f>O13/$O$18*100</f>
        <v>29.535384235603001</v>
      </c>
      <c r="L13" s="137">
        <f>$L$18*K13%</f>
        <v>27009556.925480209</v>
      </c>
      <c r="M13" s="131">
        <f t="shared" si="1"/>
        <v>-17009556.925480209</v>
      </c>
      <c r="N13" s="300" t="str">
        <f>VARIOS!C16&amp;"  -  "&amp;VARIOS!C23</f>
        <v>2.3.1.1.3  -  2.3.2.1.1.05</v>
      </c>
      <c r="O13" s="132">
        <f>P13+Q13+R13</f>
        <v>25843605.899999999</v>
      </c>
      <c r="P13" s="132">
        <f>VARIOS!E16</f>
        <v>11843605.9</v>
      </c>
      <c r="Q13" s="132">
        <f>VARIOS!E23</f>
        <v>14000000</v>
      </c>
      <c r="R13" s="132">
        <v>0</v>
      </c>
      <c r="S13" s="81">
        <v>0</v>
      </c>
      <c r="T13" s="81">
        <v>0</v>
      </c>
      <c r="U13" s="81">
        <v>0</v>
      </c>
    </row>
    <row r="14" spans="1:21" ht="33.75">
      <c r="A14" s="37"/>
      <c r="B14" s="42"/>
      <c r="C14" s="42"/>
      <c r="D14" s="42" t="s">
        <v>158</v>
      </c>
      <c r="E14" s="63">
        <f>SUM(F14:J14)</f>
        <v>10000</v>
      </c>
      <c r="F14" s="64">
        <v>0</v>
      </c>
      <c r="G14" s="64">
        <v>10000</v>
      </c>
      <c r="H14" s="43">
        <v>0</v>
      </c>
      <c r="I14" s="64">
        <v>0</v>
      </c>
      <c r="J14" s="133">
        <v>0</v>
      </c>
      <c r="K14" s="136">
        <f t="shared" ref="K14:K17" si="4">O14/$O$18*100</f>
        <v>70.464615764396981</v>
      </c>
      <c r="L14" s="137">
        <f>$L$18*K14%</f>
        <v>64438574.272088304</v>
      </c>
      <c r="M14" s="131">
        <f t="shared" si="1"/>
        <v>-54438574.272088304</v>
      </c>
      <c r="N14" s="300" t="str">
        <f>VARIOS!C22&amp;"  -  "&amp;VARIOS!C21</f>
        <v>2.3.2.1.1.03  -  2.3.2.1.1.02</v>
      </c>
      <c r="O14" s="132">
        <f t="shared" ref="O14:O17" si="5">P14+Q14+R14</f>
        <v>61656884</v>
      </c>
      <c r="P14" s="132">
        <v>0</v>
      </c>
      <c r="Q14" s="132">
        <f>VARIOS!E22+VARIOS!E21</f>
        <v>61656884</v>
      </c>
      <c r="R14" s="132">
        <v>0</v>
      </c>
      <c r="S14" s="81">
        <v>0</v>
      </c>
      <c r="T14" s="81">
        <v>0</v>
      </c>
      <c r="U14" s="81">
        <v>0</v>
      </c>
    </row>
    <row r="15" spans="1:21" ht="22.5">
      <c r="A15" s="37"/>
      <c r="B15" s="42"/>
      <c r="C15" s="42"/>
      <c r="D15" s="41" t="s">
        <v>159</v>
      </c>
      <c r="E15" s="63">
        <f>SUM(F15:J15)</f>
        <v>0</v>
      </c>
      <c r="F15" s="64">
        <v>0</v>
      </c>
      <c r="G15" s="64">
        <v>0</v>
      </c>
      <c r="H15" s="43">
        <v>0</v>
      </c>
      <c r="I15" s="64">
        <v>0</v>
      </c>
      <c r="J15" s="133">
        <v>0</v>
      </c>
      <c r="K15" s="136">
        <f t="shared" si="4"/>
        <v>0</v>
      </c>
      <c r="L15" s="137">
        <f>$L$18*K15%</f>
        <v>0</v>
      </c>
      <c r="M15" s="131">
        <f t="shared" si="1"/>
        <v>0</v>
      </c>
      <c r="N15" s="300"/>
      <c r="O15" s="132">
        <f t="shared" si="5"/>
        <v>0</v>
      </c>
      <c r="P15" s="132">
        <v>0</v>
      </c>
      <c r="Q15" s="132">
        <v>0</v>
      </c>
      <c r="R15" s="132">
        <v>0</v>
      </c>
      <c r="S15" s="81">
        <v>0</v>
      </c>
      <c r="T15" s="81">
        <v>0</v>
      </c>
      <c r="U15" s="81">
        <v>0</v>
      </c>
    </row>
    <row r="16" spans="1:21" ht="45">
      <c r="A16" s="37"/>
      <c r="B16" s="42"/>
      <c r="C16" s="42"/>
      <c r="D16" s="42" t="s">
        <v>160</v>
      </c>
      <c r="E16" s="63">
        <f>SUM(F16:J16)</f>
        <v>3000</v>
      </c>
      <c r="F16" s="64">
        <v>0</v>
      </c>
      <c r="G16" s="64">
        <v>3000</v>
      </c>
      <c r="H16" s="43">
        <v>0</v>
      </c>
      <c r="I16" s="64">
        <v>0</v>
      </c>
      <c r="J16" s="133">
        <v>0</v>
      </c>
      <c r="K16" s="136">
        <f t="shared" si="4"/>
        <v>0</v>
      </c>
      <c r="L16" s="137">
        <f>$L$18*K16%</f>
        <v>0</v>
      </c>
      <c r="M16" s="131">
        <f t="shared" si="1"/>
        <v>3000000</v>
      </c>
      <c r="N16" s="300"/>
      <c r="O16" s="132">
        <f t="shared" si="5"/>
        <v>0</v>
      </c>
      <c r="P16" s="132">
        <v>0</v>
      </c>
      <c r="Q16" s="132">
        <v>0</v>
      </c>
      <c r="R16" s="132">
        <v>0</v>
      </c>
      <c r="S16" s="81">
        <v>0</v>
      </c>
      <c r="T16" s="81">
        <v>0</v>
      </c>
      <c r="U16" s="81">
        <v>0</v>
      </c>
    </row>
    <row r="17" spans="1:21" ht="33.75">
      <c r="A17" s="37"/>
      <c r="B17" s="42"/>
      <c r="C17" s="42"/>
      <c r="D17" s="42" t="s">
        <v>161</v>
      </c>
      <c r="E17" s="63">
        <f>SUM(F17:J17)</f>
        <v>1000</v>
      </c>
      <c r="F17" s="64">
        <v>0</v>
      </c>
      <c r="G17" s="64">
        <v>1000</v>
      </c>
      <c r="H17" s="43">
        <v>0</v>
      </c>
      <c r="I17" s="64">
        <v>0</v>
      </c>
      <c r="J17" s="133">
        <v>0</v>
      </c>
      <c r="K17" s="136">
        <f t="shared" si="4"/>
        <v>0</v>
      </c>
      <c r="L17" s="137">
        <f>$L$18*K17%</f>
        <v>0</v>
      </c>
      <c r="M17" s="131">
        <f t="shared" si="1"/>
        <v>1000000</v>
      </c>
      <c r="N17" s="300"/>
      <c r="O17" s="132">
        <f t="shared" si="5"/>
        <v>0</v>
      </c>
      <c r="P17" s="132">
        <v>0</v>
      </c>
      <c r="Q17" s="132">
        <v>0</v>
      </c>
      <c r="R17" s="132">
        <v>0</v>
      </c>
      <c r="S17" s="81">
        <v>0</v>
      </c>
      <c r="T17" s="81">
        <v>0</v>
      </c>
      <c r="U17" s="81">
        <v>0</v>
      </c>
    </row>
    <row r="18" spans="1:21" s="68" customFormat="1">
      <c r="A18" s="38"/>
      <c r="B18" s="44" t="s">
        <v>150</v>
      </c>
      <c r="C18" s="44"/>
      <c r="D18" s="44"/>
      <c r="E18" s="65">
        <f>SUM(E13:E17)</f>
        <v>24000</v>
      </c>
      <c r="F18" s="65">
        <v>0</v>
      </c>
      <c r="G18" s="65">
        <v>24000</v>
      </c>
      <c r="H18" s="65">
        <v>0</v>
      </c>
      <c r="I18" s="65">
        <v>0</v>
      </c>
      <c r="J18" s="84">
        <v>0</v>
      </c>
      <c r="K18" s="104">
        <f>O18/$O$27*100</f>
        <v>38.077125145487912</v>
      </c>
      <c r="L18" s="103">
        <f>$L$27*K18%</f>
        <v>91448131.197568536</v>
      </c>
      <c r="M18" s="134">
        <f t="shared" si="1"/>
        <v>-67448131.197568536</v>
      </c>
      <c r="N18" s="301"/>
      <c r="O18" s="135">
        <f t="shared" ref="O18:U18" si="6">SUM(O13:O17)</f>
        <v>87500489.900000006</v>
      </c>
      <c r="P18" s="135">
        <f t="shared" si="6"/>
        <v>11843605.9</v>
      </c>
      <c r="Q18" s="135">
        <f t="shared" si="6"/>
        <v>75656884</v>
      </c>
      <c r="R18" s="135">
        <f t="shared" si="6"/>
        <v>0</v>
      </c>
      <c r="S18" s="135">
        <f t="shared" si="6"/>
        <v>0</v>
      </c>
      <c r="T18" s="135">
        <f t="shared" si="6"/>
        <v>0</v>
      </c>
      <c r="U18" s="135">
        <f t="shared" si="6"/>
        <v>0</v>
      </c>
    </row>
    <row r="19" spans="1:21" ht="22.5">
      <c r="A19" s="37"/>
      <c r="B19" s="42" t="s">
        <v>162</v>
      </c>
      <c r="C19" s="41" t="s">
        <v>163</v>
      </c>
      <c r="D19" s="42" t="s">
        <v>164</v>
      </c>
      <c r="E19" s="63">
        <f t="shared" ref="E19:E25" si="7">SUM(F19:J19)</f>
        <v>1000</v>
      </c>
      <c r="F19" s="64">
        <v>0</v>
      </c>
      <c r="G19" s="64">
        <v>1000</v>
      </c>
      <c r="H19" s="43">
        <v>0</v>
      </c>
      <c r="I19" s="64">
        <v>0</v>
      </c>
      <c r="J19" s="133">
        <v>0</v>
      </c>
      <c r="K19" s="136">
        <f>O19/$O$26*100</f>
        <v>0</v>
      </c>
      <c r="L19" s="137">
        <f>$L$26*K19%</f>
        <v>0</v>
      </c>
      <c r="M19" s="131">
        <f t="shared" si="1"/>
        <v>1000000</v>
      </c>
      <c r="N19" s="300"/>
      <c r="O19" s="132">
        <f>P19+Q19+R19</f>
        <v>0</v>
      </c>
      <c r="P19" s="132">
        <v>0</v>
      </c>
      <c r="Q19" s="33">
        <v>0</v>
      </c>
      <c r="R19" s="132">
        <v>0</v>
      </c>
      <c r="S19" s="81">
        <v>0</v>
      </c>
      <c r="T19" s="81">
        <v>0</v>
      </c>
      <c r="U19" s="81">
        <v>0</v>
      </c>
    </row>
    <row r="20" spans="1:21" ht="22.5">
      <c r="A20" s="37"/>
      <c r="B20" s="42"/>
      <c r="C20" s="42"/>
      <c r="D20" s="42" t="s">
        <v>343</v>
      </c>
      <c r="E20" s="63">
        <f t="shared" si="7"/>
        <v>17000</v>
      </c>
      <c r="F20" s="64">
        <v>2000</v>
      </c>
      <c r="G20" s="64">
        <v>15000</v>
      </c>
      <c r="H20" s="43">
        <v>0</v>
      </c>
      <c r="I20" s="64">
        <v>0</v>
      </c>
      <c r="J20" s="133">
        <v>0</v>
      </c>
      <c r="K20" s="136">
        <f t="shared" ref="K20:K25" si="8">O20/$O$26*100</f>
        <v>25.860445363156764</v>
      </c>
      <c r="L20" s="137">
        <f t="shared" ref="L20:L25" si="9">$L$26*K20%</f>
        <v>6270693.887685434</v>
      </c>
      <c r="M20" s="131">
        <f t="shared" si="1"/>
        <v>10729306.112314567</v>
      </c>
      <c r="N20" s="300"/>
      <c r="O20" s="132">
        <f t="shared" ref="O20:O25" si="10">P20+Q20+R20</f>
        <v>6000000</v>
      </c>
      <c r="P20" s="132">
        <v>0</v>
      </c>
      <c r="Q20" s="132">
        <v>0</v>
      </c>
      <c r="R20" s="132">
        <f>VARIOS!E317</f>
        <v>6000000</v>
      </c>
      <c r="S20" s="81">
        <v>0</v>
      </c>
      <c r="T20" s="81">
        <v>0</v>
      </c>
      <c r="U20" s="81">
        <v>0</v>
      </c>
    </row>
    <row r="21" spans="1:21" ht="22.5">
      <c r="A21" s="37"/>
      <c r="B21" s="42"/>
      <c r="C21" s="42"/>
      <c r="D21" s="42" t="s">
        <v>367</v>
      </c>
      <c r="E21" s="63">
        <f t="shared" si="7"/>
        <v>6000</v>
      </c>
      <c r="F21" s="64">
        <v>1000</v>
      </c>
      <c r="G21" s="64">
        <v>5000</v>
      </c>
      <c r="H21" s="43">
        <v>0</v>
      </c>
      <c r="I21" s="64">
        <v>0</v>
      </c>
      <c r="J21" s="133">
        <v>0</v>
      </c>
      <c r="K21" s="136">
        <f t="shared" si="8"/>
        <v>35.348886592108087</v>
      </c>
      <c r="L21" s="137">
        <f t="shared" si="9"/>
        <v>8571470.5983145386</v>
      </c>
      <c r="M21" s="131">
        <f t="shared" si="1"/>
        <v>-2571470.5983145386</v>
      </c>
      <c r="N21" s="300" t="str">
        <f>VARIOS!C32&amp;"  -  "&amp;VARIOS!C32</f>
        <v>2.3.5.3.1.2.1.1  -  2.3.5.3.1.2.1.1</v>
      </c>
      <c r="O21" s="132">
        <f t="shared" si="10"/>
        <v>8201456.5709999986</v>
      </c>
      <c r="P21" s="132">
        <v>0</v>
      </c>
      <c r="Q21" s="132">
        <v>0</v>
      </c>
      <c r="R21" s="132">
        <f>VARIOS!E32*35%</f>
        <v>8201456.5709999986</v>
      </c>
      <c r="S21" s="81">
        <v>0</v>
      </c>
      <c r="T21" s="81">
        <v>0</v>
      </c>
      <c r="U21" s="81">
        <v>0</v>
      </c>
    </row>
    <row r="22" spans="1:21" ht="22.5">
      <c r="A22" s="37"/>
      <c r="B22" s="42"/>
      <c r="C22" s="42"/>
      <c r="D22" s="42" t="s">
        <v>165</v>
      </c>
      <c r="E22" s="63">
        <f t="shared" si="7"/>
        <v>10000</v>
      </c>
      <c r="F22" s="64">
        <v>1000</v>
      </c>
      <c r="G22" s="64">
        <v>9000</v>
      </c>
      <c r="H22" s="43">
        <v>0</v>
      </c>
      <c r="I22" s="64">
        <v>0</v>
      </c>
      <c r="J22" s="133">
        <v>0</v>
      </c>
      <c r="K22" s="136">
        <f t="shared" si="8"/>
        <v>34.480593817542356</v>
      </c>
      <c r="L22" s="137">
        <f t="shared" si="9"/>
        <v>8360925.1835805792</v>
      </c>
      <c r="M22" s="131">
        <f t="shared" si="1"/>
        <v>1639074.8164194208</v>
      </c>
      <c r="N22" s="300" t="str">
        <f>VARIOS!C28</f>
        <v>2.3.2.1.7.1</v>
      </c>
      <c r="O22" s="132">
        <f t="shared" si="10"/>
        <v>8000000</v>
      </c>
      <c r="P22" s="132">
        <v>0</v>
      </c>
      <c r="Q22" s="132">
        <f>VARIOS!E28</f>
        <v>8000000</v>
      </c>
      <c r="R22" s="132">
        <v>0</v>
      </c>
      <c r="S22" s="81">
        <v>0</v>
      </c>
      <c r="T22" s="81">
        <v>0</v>
      </c>
      <c r="U22" s="81">
        <v>0</v>
      </c>
    </row>
    <row r="23" spans="1:21">
      <c r="A23" s="37"/>
      <c r="B23" s="42"/>
      <c r="C23" s="42"/>
      <c r="D23" s="42" t="s">
        <v>425</v>
      </c>
      <c r="E23" s="63">
        <f t="shared" si="7"/>
        <v>0</v>
      </c>
      <c r="F23" s="64">
        <v>0</v>
      </c>
      <c r="G23" s="64">
        <v>0</v>
      </c>
      <c r="H23" s="43">
        <v>0</v>
      </c>
      <c r="I23" s="64">
        <v>0</v>
      </c>
      <c r="J23" s="133">
        <v>0</v>
      </c>
      <c r="K23" s="136">
        <f t="shared" si="8"/>
        <v>0</v>
      </c>
      <c r="L23" s="137">
        <f t="shared" si="9"/>
        <v>0</v>
      </c>
      <c r="M23" s="131">
        <f t="shared" si="1"/>
        <v>0</v>
      </c>
      <c r="N23" s="300"/>
      <c r="O23" s="132">
        <f t="shared" si="10"/>
        <v>0</v>
      </c>
      <c r="P23" s="132">
        <v>0</v>
      </c>
      <c r="Q23" s="132">
        <v>0</v>
      </c>
      <c r="R23" s="132">
        <v>0</v>
      </c>
      <c r="S23" s="81">
        <v>0</v>
      </c>
      <c r="T23" s="81">
        <v>0</v>
      </c>
      <c r="U23" s="81">
        <v>0</v>
      </c>
    </row>
    <row r="24" spans="1:21" ht="33.75">
      <c r="A24" s="37"/>
      <c r="B24" s="42"/>
      <c r="C24" s="42"/>
      <c r="D24" s="42" t="s">
        <v>344</v>
      </c>
      <c r="E24" s="63">
        <f t="shared" si="7"/>
        <v>9000</v>
      </c>
      <c r="F24" s="64">
        <v>2000</v>
      </c>
      <c r="G24" s="64">
        <v>7000</v>
      </c>
      <c r="H24" s="43">
        <v>0</v>
      </c>
      <c r="I24" s="64">
        <v>0</v>
      </c>
      <c r="J24" s="133">
        <v>0</v>
      </c>
      <c r="K24" s="136">
        <f t="shared" si="8"/>
        <v>0</v>
      </c>
      <c r="L24" s="137">
        <f t="shared" si="9"/>
        <v>0</v>
      </c>
      <c r="M24" s="131">
        <f t="shared" si="1"/>
        <v>9000000</v>
      </c>
      <c r="N24" s="300"/>
      <c r="O24" s="132">
        <f t="shared" si="10"/>
        <v>0</v>
      </c>
      <c r="P24" s="132">
        <v>0</v>
      </c>
      <c r="Q24" s="132">
        <v>0</v>
      </c>
      <c r="R24" s="132">
        <v>0</v>
      </c>
      <c r="S24" s="81">
        <v>0</v>
      </c>
      <c r="T24" s="81">
        <v>0</v>
      </c>
      <c r="U24" s="81">
        <v>0</v>
      </c>
    </row>
    <row r="25" spans="1:21" ht="22.5">
      <c r="A25" s="37"/>
      <c r="B25" s="42"/>
      <c r="C25" s="42"/>
      <c r="D25" s="45" t="s">
        <v>508</v>
      </c>
      <c r="E25" s="63">
        <f t="shared" si="7"/>
        <v>5000</v>
      </c>
      <c r="F25" s="64">
        <v>2000</v>
      </c>
      <c r="G25" s="64">
        <v>3000</v>
      </c>
      <c r="H25" s="43">
        <v>0</v>
      </c>
      <c r="I25" s="64">
        <v>0</v>
      </c>
      <c r="J25" s="133">
        <v>0</v>
      </c>
      <c r="K25" s="136">
        <f t="shared" si="8"/>
        <v>4.3100742271927945</v>
      </c>
      <c r="L25" s="137">
        <f t="shared" si="9"/>
        <v>1045115.6479475724</v>
      </c>
      <c r="M25" s="131">
        <f t="shared" si="1"/>
        <v>3954884.3520524278</v>
      </c>
      <c r="N25" s="300" t="str">
        <f>VARIOS!C17</f>
        <v>2.3.1.1.4</v>
      </c>
      <c r="O25" s="132">
        <f t="shared" si="10"/>
        <v>1000000</v>
      </c>
      <c r="P25" s="132">
        <f>VARIOS!E17</f>
        <v>1000000</v>
      </c>
      <c r="Q25" s="132">
        <v>0</v>
      </c>
      <c r="R25" s="132">
        <v>0</v>
      </c>
      <c r="S25" s="81">
        <v>0</v>
      </c>
      <c r="T25" s="81">
        <v>0</v>
      </c>
      <c r="U25" s="81">
        <v>0</v>
      </c>
    </row>
    <row r="26" spans="1:21" s="68" customFormat="1">
      <c r="A26" s="38"/>
      <c r="B26" s="46" t="s">
        <v>150</v>
      </c>
      <c r="C26" s="47"/>
      <c r="D26" s="47"/>
      <c r="E26" s="65">
        <f>SUM(E19:E25)</f>
        <v>48000</v>
      </c>
      <c r="F26" s="65">
        <v>8000</v>
      </c>
      <c r="G26" s="65">
        <v>40000</v>
      </c>
      <c r="H26" s="65">
        <v>0</v>
      </c>
      <c r="I26" s="65">
        <v>0</v>
      </c>
      <c r="J26" s="84">
        <v>0</v>
      </c>
      <c r="K26" s="104">
        <f>O26/$O$27*100</f>
        <v>10.096455076094033</v>
      </c>
      <c r="L26" s="103">
        <f>$L$27*K26%</f>
        <v>24248205.317528125</v>
      </c>
      <c r="M26" s="134">
        <f t="shared" si="1"/>
        <v>23751794.682471875</v>
      </c>
      <c r="N26" s="301"/>
      <c r="O26" s="135">
        <f t="shared" ref="O26:T26" si="11">SUM(O19:O25)</f>
        <v>23201456.570999999</v>
      </c>
      <c r="P26" s="135">
        <f t="shared" si="11"/>
        <v>1000000</v>
      </c>
      <c r="Q26" s="135">
        <f>SUM(Q20:Q25)</f>
        <v>8000000</v>
      </c>
      <c r="R26" s="135">
        <f t="shared" si="11"/>
        <v>14201456.570999999</v>
      </c>
      <c r="S26" s="135">
        <f t="shared" si="11"/>
        <v>0</v>
      </c>
      <c r="T26" s="135">
        <f t="shared" si="11"/>
        <v>0</v>
      </c>
      <c r="U26" s="135">
        <f t="shared" ref="U26" si="12">SUM(U19:U25)</f>
        <v>0</v>
      </c>
    </row>
    <row r="27" spans="1:21" s="69" customFormat="1">
      <c r="A27" s="38"/>
      <c r="B27" s="38" t="s">
        <v>219</v>
      </c>
      <c r="C27" s="39"/>
      <c r="D27" s="38"/>
      <c r="E27" s="66">
        <f>E18+E12+E26</f>
        <v>226000</v>
      </c>
      <c r="F27" s="66">
        <v>22000</v>
      </c>
      <c r="G27" s="66">
        <v>196000</v>
      </c>
      <c r="H27" s="66">
        <v>0</v>
      </c>
      <c r="I27" s="66">
        <v>8000</v>
      </c>
      <c r="J27" s="106">
        <v>0</v>
      </c>
      <c r="K27" s="138">
        <f>O27/$O$99*100</f>
        <v>51.762479111832768</v>
      </c>
      <c r="L27" s="106">
        <f>$L$6*K27%</f>
        <v>240165534.68298018</v>
      </c>
      <c r="M27" s="134">
        <f t="shared" si="1"/>
        <v>-14165534.68298018</v>
      </c>
      <c r="N27" s="301"/>
      <c r="O27" s="135">
        <f t="shared" ref="O27:T27" si="13">O18+O12+O26</f>
        <v>229798046.90000001</v>
      </c>
      <c r="P27" s="135">
        <f t="shared" si="13"/>
        <v>23343605.899999999</v>
      </c>
      <c r="Q27" s="135">
        <f t="shared" si="13"/>
        <v>174561296.40000001</v>
      </c>
      <c r="R27" s="135">
        <f t="shared" si="13"/>
        <v>31288144.599999998</v>
      </c>
      <c r="S27" s="135">
        <f t="shared" si="13"/>
        <v>0</v>
      </c>
      <c r="T27" s="135">
        <f t="shared" si="13"/>
        <v>0</v>
      </c>
      <c r="U27" s="135">
        <f t="shared" ref="U27" si="14">U18+U12+U26</f>
        <v>605000</v>
      </c>
    </row>
    <row r="28" spans="1:21" ht="45">
      <c r="A28" s="48" t="s">
        <v>171</v>
      </c>
      <c r="B28" s="42" t="s">
        <v>509</v>
      </c>
      <c r="C28" s="42"/>
      <c r="D28" s="42" t="s">
        <v>166</v>
      </c>
      <c r="E28" s="63">
        <f t="shared" ref="E28:E36" si="15">SUM(F28:J28)</f>
        <v>0</v>
      </c>
      <c r="F28" s="67">
        <v>0</v>
      </c>
      <c r="G28" s="67">
        <v>0</v>
      </c>
      <c r="H28" s="67">
        <v>0</v>
      </c>
      <c r="I28" s="67">
        <v>0</v>
      </c>
      <c r="J28" s="81">
        <v>0</v>
      </c>
      <c r="K28" s="82">
        <f>O28/$O$37*100</f>
        <v>0</v>
      </c>
      <c r="L28" s="140">
        <f>$L$37*K28%</f>
        <v>0</v>
      </c>
      <c r="M28" s="131">
        <f t="shared" si="1"/>
        <v>0</v>
      </c>
      <c r="N28" s="300"/>
      <c r="O28" s="132">
        <f>P28+Q28+R28</f>
        <v>0</v>
      </c>
      <c r="P28" s="132">
        <v>0</v>
      </c>
      <c r="Q28" s="132">
        <v>0</v>
      </c>
      <c r="R28" s="132">
        <v>0</v>
      </c>
      <c r="S28" s="81">
        <v>0</v>
      </c>
      <c r="T28" s="81">
        <v>0</v>
      </c>
      <c r="U28" s="81">
        <v>0</v>
      </c>
    </row>
    <row r="29" spans="1:21" ht="22.5">
      <c r="A29" s="49"/>
      <c r="B29" s="42"/>
      <c r="C29" s="42"/>
      <c r="D29" s="42" t="s">
        <v>253</v>
      </c>
      <c r="E29" s="63">
        <f t="shared" si="15"/>
        <v>0</v>
      </c>
      <c r="F29" s="67">
        <v>0</v>
      </c>
      <c r="G29" s="67">
        <v>0</v>
      </c>
      <c r="H29" s="67">
        <v>0</v>
      </c>
      <c r="I29" s="67">
        <v>0</v>
      </c>
      <c r="J29" s="81">
        <v>0</v>
      </c>
      <c r="K29" s="82">
        <f t="shared" ref="K29:K36" si="16">O29/$O$37*100</f>
        <v>0</v>
      </c>
      <c r="L29" s="140">
        <f t="shared" ref="L29:L36" si="17">$L$37*K29%</f>
        <v>0</v>
      </c>
      <c r="M29" s="131">
        <f t="shared" si="1"/>
        <v>0</v>
      </c>
      <c r="N29" s="300"/>
      <c r="O29" s="132">
        <f t="shared" ref="O29:O36" si="18">P29+Q29+R29</f>
        <v>0</v>
      </c>
      <c r="P29" s="132">
        <v>0</v>
      </c>
      <c r="Q29" s="132">
        <v>0</v>
      </c>
      <c r="R29" s="132">
        <v>0</v>
      </c>
      <c r="S29" s="81">
        <v>0</v>
      </c>
      <c r="T29" s="81">
        <v>0</v>
      </c>
      <c r="U29" s="81">
        <v>0</v>
      </c>
    </row>
    <row r="30" spans="1:21" ht="33.75">
      <c r="A30" s="49"/>
      <c r="B30" s="41" t="s">
        <v>255</v>
      </c>
      <c r="C30" s="42"/>
      <c r="D30" s="42" t="s">
        <v>167</v>
      </c>
      <c r="E30" s="63">
        <f t="shared" si="15"/>
        <v>5000</v>
      </c>
      <c r="F30" s="67">
        <v>0</v>
      </c>
      <c r="G30" s="67">
        <v>5000</v>
      </c>
      <c r="H30" s="67">
        <v>0</v>
      </c>
      <c r="I30" s="67">
        <v>0</v>
      </c>
      <c r="J30" s="81">
        <v>0</v>
      </c>
      <c r="K30" s="82">
        <f t="shared" si="16"/>
        <v>43.310555917641878</v>
      </c>
      <c r="L30" s="140">
        <f t="shared" si="17"/>
        <v>8940793.215872515</v>
      </c>
      <c r="M30" s="131">
        <f t="shared" si="1"/>
        <v>-3940793.215872515</v>
      </c>
      <c r="N30" s="300" t="str">
        <f>VARIOS!C53&amp;"  -  "&amp;VARIOS!C58&amp;"  -  "&amp;VARIOS!C324</f>
        <v>2.3.4.1.3  -  2.3.5.3.1.2.2.3.1.3  -  2.3.5.3.1.2.1.4.4</v>
      </c>
      <c r="O30" s="132">
        <f t="shared" si="18"/>
        <v>8554836.2359999996</v>
      </c>
      <c r="P30" s="132">
        <v>0</v>
      </c>
      <c r="Q30" s="132">
        <v>0</v>
      </c>
      <c r="R30" s="132">
        <f>VARIOS!E53+VARIOS!E58+VARIOS!E324*10%</f>
        <v>8554836.2359999996</v>
      </c>
      <c r="S30" s="81">
        <v>0</v>
      </c>
      <c r="T30" s="81">
        <v>0</v>
      </c>
      <c r="U30" s="81">
        <v>0</v>
      </c>
    </row>
    <row r="31" spans="1:21" ht="22.5">
      <c r="A31" s="49"/>
      <c r="B31" s="41"/>
      <c r="C31" s="42"/>
      <c r="D31" s="42" t="s">
        <v>345</v>
      </c>
      <c r="E31" s="63">
        <f t="shared" si="15"/>
        <v>4000</v>
      </c>
      <c r="F31" s="67">
        <v>4000</v>
      </c>
      <c r="G31" s="67">
        <v>0</v>
      </c>
      <c r="H31" s="67">
        <v>0</v>
      </c>
      <c r="I31" s="67">
        <v>0</v>
      </c>
      <c r="J31" s="81">
        <v>0</v>
      </c>
      <c r="K31" s="82">
        <f t="shared" si="16"/>
        <v>0</v>
      </c>
      <c r="L31" s="140">
        <f t="shared" si="17"/>
        <v>0</v>
      </c>
      <c r="M31" s="131">
        <f t="shared" si="1"/>
        <v>4000000</v>
      </c>
      <c r="N31" s="300"/>
      <c r="O31" s="132">
        <f t="shared" si="18"/>
        <v>0</v>
      </c>
      <c r="P31" s="132">
        <v>0</v>
      </c>
      <c r="Q31" s="132">
        <v>0</v>
      </c>
      <c r="R31" s="132">
        <v>0</v>
      </c>
      <c r="S31" s="81">
        <v>0</v>
      </c>
      <c r="T31" s="81">
        <v>0</v>
      </c>
      <c r="U31" s="81">
        <v>0</v>
      </c>
    </row>
    <row r="32" spans="1:21" ht="45">
      <c r="A32" s="49"/>
      <c r="B32" s="41"/>
      <c r="C32" s="42"/>
      <c r="D32" s="50" t="s">
        <v>373</v>
      </c>
      <c r="E32" s="63">
        <f t="shared" si="15"/>
        <v>18000</v>
      </c>
      <c r="F32" s="67">
        <v>0</v>
      </c>
      <c r="G32" s="67">
        <v>9000</v>
      </c>
      <c r="H32" s="67">
        <v>9000</v>
      </c>
      <c r="I32" s="67">
        <v>0</v>
      </c>
      <c r="J32" s="81">
        <v>0</v>
      </c>
      <c r="K32" s="82">
        <f t="shared" si="16"/>
        <v>56.689444082358108</v>
      </c>
      <c r="L32" s="140">
        <f t="shared" si="17"/>
        <v>11702657.385117395</v>
      </c>
      <c r="M32" s="131">
        <f t="shared" si="1"/>
        <v>6297342.6148826052</v>
      </c>
      <c r="N32" s="300" t="str">
        <f>VARIOS!C49</f>
        <v>2.3.2.3.2.8</v>
      </c>
      <c r="O32" s="132">
        <f t="shared" si="18"/>
        <v>11197476</v>
      </c>
      <c r="P32" s="132">
        <v>0</v>
      </c>
      <c r="Q32" s="132">
        <f>VARIOS!E49</f>
        <v>11197476</v>
      </c>
      <c r="R32" s="132">
        <v>0</v>
      </c>
      <c r="S32" s="81">
        <v>0</v>
      </c>
      <c r="T32" s="81">
        <v>0</v>
      </c>
      <c r="U32" s="81">
        <v>0</v>
      </c>
    </row>
    <row r="33" spans="1:21" ht="33.75">
      <c r="A33" s="49"/>
      <c r="B33" s="42"/>
      <c r="C33" s="42"/>
      <c r="D33" s="42" t="s">
        <v>168</v>
      </c>
      <c r="E33" s="63">
        <f t="shared" si="15"/>
        <v>3000</v>
      </c>
      <c r="F33" s="67">
        <v>0</v>
      </c>
      <c r="G33" s="67">
        <v>3000</v>
      </c>
      <c r="H33" s="67">
        <v>0</v>
      </c>
      <c r="I33" s="67">
        <v>0</v>
      </c>
      <c r="J33" s="81">
        <v>0</v>
      </c>
      <c r="K33" s="82">
        <f t="shared" si="16"/>
        <v>0</v>
      </c>
      <c r="L33" s="140">
        <f t="shared" si="17"/>
        <v>0</v>
      </c>
      <c r="M33" s="131">
        <f t="shared" si="1"/>
        <v>3000000</v>
      </c>
      <c r="N33" s="300"/>
      <c r="O33" s="132">
        <f t="shared" si="18"/>
        <v>0</v>
      </c>
      <c r="P33" s="132">
        <v>0</v>
      </c>
      <c r="Q33" s="132">
        <v>0</v>
      </c>
      <c r="R33" s="132">
        <v>0</v>
      </c>
      <c r="S33" s="81">
        <v>0</v>
      </c>
      <c r="T33" s="81">
        <v>0</v>
      </c>
      <c r="U33" s="81">
        <v>0</v>
      </c>
    </row>
    <row r="34" spans="1:21" ht="33.75">
      <c r="A34" s="49"/>
      <c r="B34" s="42"/>
      <c r="C34" s="42"/>
      <c r="D34" s="42" t="s">
        <v>256</v>
      </c>
      <c r="E34" s="63">
        <f t="shared" si="15"/>
        <v>0</v>
      </c>
      <c r="F34" s="67">
        <v>0</v>
      </c>
      <c r="G34" s="67">
        <v>0</v>
      </c>
      <c r="H34" s="67">
        <v>0</v>
      </c>
      <c r="I34" s="67">
        <v>0</v>
      </c>
      <c r="J34" s="81">
        <v>0</v>
      </c>
      <c r="K34" s="82">
        <f t="shared" si="16"/>
        <v>0</v>
      </c>
      <c r="L34" s="140">
        <f t="shared" si="17"/>
        <v>0</v>
      </c>
      <c r="M34" s="131">
        <f t="shared" si="1"/>
        <v>0</v>
      </c>
      <c r="N34" s="300"/>
      <c r="O34" s="132">
        <f t="shared" si="18"/>
        <v>0</v>
      </c>
      <c r="P34" s="132">
        <v>0</v>
      </c>
      <c r="Q34" s="132">
        <v>0</v>
      </c>
      <c r="R34" s="132">
        <v>0</v>
      </c>
      <c r="S34" s="81">
        <v>0</v>
      </c>
      <c r="T34" s="81">
        <v>0</v>
      </c>
      <c r="U34" s="81">
        <v>0</v>
      </c>
    </row>
    <row r="35" spans="1:21" ht="33.75">
      <c r="A35" s="49"/>
      <c r="B35" s="42"/>
      <c r="C35" s="42"/>
      <c r="D35" s="42" t="s">
        <v>257</v>
      </c>
      <c r="E35" s="63">
        <f t="shared" si="15"/>
        <v>0</v>
      </c>
      <c r="F35" s="67">
        <v>0</v>
      </c>
      <c r="G35" s="67">
        <v>0</v>
      </c>
      <c r="H35" s="67">
        <v>0</v>
      </c>
      <c r="I35" s="67">
        <v>0</v>
      </c>
      <c r="J35" s="81">
        <v>0</v>
      </c>
      <c r="K35" s="82">
        <f t="shared" si="16"/>
        <v>0</v>
      </c>
      <c r="L35" s="140">
        <f t="shared" si="17"/>
        <v>0</v>
      </c>
      <c r="M35" s="131">
        <f t="shared" si="1"/>
        <v>0</v>
      </c>
      <c r="N35" s="300"/>
      <c r="O35" s="132">
        <f t="shared" si="18"/>
        <v>0</v>
      </c>
      <c r="P35" s="132">
        <v>0</v>
      </c>
      <c r="Q35" s="132">
        <v>0</v>
      </c>
      <c r="R35" s="132">
        <v>0</v>
      </c>
      <c r="S35" s="81">
        <v>0</v>
      </c>
      <c r="T35" s="81">
        <v>0</v>
      </c>
      <c r="U35" s="81">
        <v>0</v>
      </c>
    </row>
    <row r="36" spans="1:21">
      <c r="A36" s="49"/>
      <c r="B36" s="42"/>
      <c r="C36" s="42"/>
      <c r="D36" s="42" t="s">
        <v>258</v>
      </c>
      <c r="E36" s="63">
        <f t="shared" si="15"/>
        <v>0</v>
      </c>
      <c r="F36" s="67">
        <v>0</v>
      </c>
      <c r="G36" s="67">
        <v>0</v>
      </c>
      <c r="H36" s="67">
        <v>0</v>
      </c>
      <c r="I36" s="67">
        <v>0</v>
      </c>
      <c r="J36" s="81">
        <v>0</v>
      </c>
      <c r="K36" s="82">
        <f t="shared" si="16"/>
        <v>0</v>
      </c>
      <c r="L36" s="140">
        <f t="shared" si="17"/>
        <v>0</v>
      </c>
      <c r="M36" s="131">
        <f t="shared" si="1"/>
        <v>0</v>
      </c>
      <c r="N36" s="300"/>
      <c r="O36" s="132">
        <f t="shared" si="18"/>
        <v>0</v>
      </c>
      <c r="P36" s="132">
        <v>0</v>
      </c>
      <c r="Q36" s="132">
        <v>0</v>
      </c>
      <c r="R36" s="132">
        <v>0</v>
      </c>
      <c r="S36" s="81">
        <v>0</v>
      </c>
      <c r="T36" s="81">
        <v>0</v>
      </c>
      <c r="U36" s="81">
        <v>0</v>
      </c>
    </row>
    <row r="37" spans="1:21" s="69" customFormat="1">
      <c r="A37" s="51"/>
      <c r="B37" s="44" t="s">
        <v>150</v>
      </c>
      <c r="C37" s="44"/>
      <c r="D37" s="44"/>
      <c r="E37" s="65">
        <f>SUM(E28:E36)</f>
        <v>30000</v>
      </c>
      <c r="F37" s="65">
        <v>4000</v>
      </c>
      <c r="G37" s="65">
        <v>17000</v>
      </c>
      <c r="H37" s="65">
        <v>9000</v>
      </c>
      <c r="I37" s="65">
        <v>0</v>
      </c>
      <c r="J37" s="84">
        <v>0</v>
      </c>
      <c r="K37" s="104">
        <f>O37/$O$45*100</f>
        <v>32.110167199912588</v>
      </c>
      <c r="L37" s="103">
        <f>$L$45*K37%</f>
        <v>20643450.600989912</v>
      </c>
      <c r="M37" s="134">
        <f t="shared" si="1"/>
        <v>9356549.3990100883</v>
      </c>
      <c r="N37" s="301"/>
      <c r="O37" s="135">
        <f t="shared" ref="O37:U37" si="19">SUM(O28:O36)</f>
        <v>19752312.236000001</v>
      </c>
      <c r="P37" s="135">
        <f t="shared" si="19"/>
        <v>0</v>
      </c>
      <c r="Q37" s="135">
        <f t="shared" si="19"/>
        <v>11197476</v>
      </c>
      <c r="R37" s="135">
        <f t="shared" si="19"/>
        <v>8554836.2359999996</v>
      </c>
      <c r="S37" s="135">
        <f t="shared" si="19"/>
        <v>0</v>
      </c>
      <c r="T37" s="135">
        <f t="shared" si="19"/>
        <v>0</v>
      </c>
      <c r="U37" s="135">
        <f t="shared" si="19"/>
        <v>0</v>
      </c>
    </row>
    <row r="38" spans="1:21" ht="45">
      <c r="A38" s="49"/>
      <c r="B38" s="41" t="s">
        <v>169</v>
      </c>
      <c r="C38" s="42" t="s">
        <v>400</v>
      </c>
      <c r="D38" s="42" t="s">
        <v>170</v>
      </c>
      <c r="E38" s="63">
        <f t="shared" ref="E38:E43" si="20">SUM(F38:J38)</f>
        <v>3000</v>
      </c>
      <c r="F38" s="67">
        <v>0</v>
      </c>
      <c r="G38" s="67">
        <v>3000</v>
      </c>
      <c r="H38" s="67">
        <v>0</v>
      </c>
      <c r="I38" s="67">
        <v>0</v>
      </c>
      <c r="J38" s="81">
        <v>0</v>
      </c>
      <c r="K38" s="82">
        <f t="shared" ref="K38:K43" si="21">O38/$O$44*100</f>
        <v>49.153719000422285</v>
      </c>
      <c r="L38" s="140">
        <f t="shared" ref="L38:L43" si="22">$L$44*K38%</f>
        <v>21453632.992626153</v>
      </c>
      <c r="M38" s="131">
        <f t="shared" si="1"/>
        <v>-18453632.992626153</v>
      </c>
      <c r="N38" s="300" t="str">
        <f>VARIOS!C41&amp;"  -  "&amp;VARIOS!C51&amp;"  -  "&amp;VARIOS!C56</f>
        <v>2.3.1.4.3.1  -  2.3.4.1.1  -  2.3.5.3.1.2.2.3.1.1</v>
      </c>
      <c r="O38" s="132">
        <f>P38+Q38+R38</f>
        <v>20527520.600000001</v>
      </c>
      <c r="P38" s="132">
        <f>VARIOS!E41</f>
        <v>6000000</v>
      </c>
      <c r="Q38" s="132">
        <v>0</v>
      </c>
      <c r="R38" s="132">
        <f>VARIOS!E51+VARIOS!E56</f>
        <v>14527520.6</v>
      </c>
      <c r="S38" s="81">
        <v>0</v>
      </c>
      <c r="T38" s="81">
        <v>0</v>
      </c>
      <c r="U38" s="81">
        <v>0</v>
      </c>
    </row>
    <row r="39" spans="1:21" ht="33.75">
      <c r="A39" s="49"/>
      <c r="B39" s="41"/>
      <c r="C39" s="42"/>
      <c r="D39" s="42" t="s">
        <v>259</v>
      </c>
      <c r="E39" s="63">
        <f t="shared" si="20"/>
        <v>2000</v>
      </c>
      <c r="F39" s="67">
        <v>0</v>
      </c>
      <c r="G39" s="67">
        <v>2000</v>
      </c>
      <c r="H39" s="67">
        <v>0</v>
      </c>
      <c r="I39" s="67">
        <v>0</v>
      </c>
      <c r="J39" s="81">
        <v>0</v>
      </c>
      <c r="K39" s="82">
        <f t="shared" si="21"/>
        <v>0</v>
      </c>
      <c r="L39" s="140">
        <f t="shared" si="22"/>
        <v>0</v>
      </c>
      <c r="M39" s="131">
        <f t="shared" si="1"/>
        <v>2000000</v>
      </c>
      <c r="N39" s="300"/>
      <c r="O39" s="132">
        <f t="shared" ref="O39:O43" si="23">P39+Q39+R39</f>
        <v>0</v>
      </c>
      <c r="P39" s="132">
        <v>0</v>
      </c>
      <c r="Q39" s="132">
        <v>0</v>
      </c>
      <c r="R39" s="132">
        <v>0</v>
      </c>
      <c r="S39" s="81">
        <v>0</v>
      </c>
      <c r="T39" s="81">
        <v>0</v>
      </c>
      <c r="U39" s="81">
        <v>0</v>
      </c>
    </row>
    <row r="40" spans="1:21" ht="33.75">
      <c r="A40" s="49"/>
      <c r="B40" s="41"/>
      <c r="C40" s="42"/>
      <c r="D40" s="42" t="s">
        <v>260</v>
      </c>
      <c r="E40" s="63">
        <f t="shared" si="20"/>
        <v>3000</v>
      </c>
      <c r="F40" s="67">
        <v>1000</v>
      </c>
      <c r="G40" s="67">
        <v>2000</v>
      </c>
      <c r="H40" s="67">
        <v>0</v>
      </c>
      <c r="I40" s="67">
        <v>0</v>
      </c>
      <c r="J40" s="81">
        <v>0</v>
      </c>
      <c r="K40" s="82">
        <f t="shared" si="21"/>
        <v>41.183487440701498</v>
      </c>
      <c r="L40" s="140">
        <f t="shared" si="22"/>
        <v>17974945.596723776</v>
      </c>
      <c r="M40" s="131">
        <f t="shared" si="1"/>
        <v>-14974945.596723776</v>
      </c>
      <c r="N40" s="300" t="str">
        <f>VARIOS!C55&amp;"  -  "&amp;VARIOS!C54&amp;"  -  "&amp;VARIOS!C59</f>
        <v>2.3.5.3.1.2.1.4.2  -  2.3.4.1.6  -  2.3.5.3.1.2.2.3.1.6</v>
      </c>
      <c r="O40" s="132">
        <f t="shared" si="23"/>
        <v>17199001.5</v>
      </c>
      <c r="P40" s="132">
        <v>0</v>
      </c>
      <c r="Q40" s="132">
        <v>0</v>
      </c>
      <c r="R40" s="132">
        <f>VARIOS!E55+VARIOS!E54+VARIOS!E59</f>
        <v>17199001.5</v>
      </c>
      <c r="S40" s="81">
        <v>0</v>
      </c>
      <c r="T40" s="81">
        <v>0</v>
      </c>
      <c r="U40" s="81">
        <v>0</v>
      </c>
    </row>
    <row r="41" spans="1:21" ht="45">
      <c r="A41" s="49"/>
      <c r="B41" s="41"/>
      <c r="C41" s="42"/>
      <c r="D41" s="42" t="s">
        <v>346</v>
      </c>
      <c r="E41" s="63">
        <f t="shared" si="20"/>
        <v>5000</v>
      </c>
      <c r="F41" s="67">
        <v>1500</v>
      </c>
      <c r="G41" s="67">
        <v>3500</v>
      </c>
      <c r="H41" s="67">
        <v>0</v>
      </c>
      <c r="I41" s="67">
        <v>0</v>
      </c>
      <c r="J41" s="81">
        <v>0</v>
      </c>
      <c r="K41" s="82">
        <f t="shared" si="21"/>
        <v>0</v>
      </c>
      <c r="L41" s="140">
        <f t="shared" si="22"/>
        <v>0</v>
      </c>
      <c r="M41" s="131">
        <f t="shared" si="1"/>
        <v>5000000</v>
      </c>
      <c r="N41" s="300"/>
      <c r="O41" s="132">
        <f t="shared" si="23"/>
        <v>0</v>
      </c>
      <c r="P41" s="132">
        <v>0</v>
      </c>
      <c r="Q41" s="132">
        <v>0</v>
      </c>
      <c r="R41" s="132">
        <v>0</v>
      </c>
      <c r="S41" s="81">
        <v>0</v>
      </c>
      <c r="T41" s="81">
        <v>0</v>
      </c>
      <c r="U41" s="81">
        <v>0</v>
      </c>
    </row>
    <row r="42" spans="1:21" ht="45">
      <c r="A42" s="49"/>
      <c r="B42" s="42"/>
      <c r="C42" s="42" t="s">
        <v>401</v>
      </c>
      <c r="D42" s="42" t="s">
        <v>254</v>
      </c>
      <c r="E42" s="63">
        <f t="shared" si="20"/>
        <v>0</v>
      </c>
      <c r="F42" s="67">
        <v>0</v>
      </c>
      <c r="G42" s="67">
        <v>0</v>
      </c>
      <c r="H42" s="67">
        <v>0</v>
      </c>
      <c r="I42" s="67">
        <v>0</v>
      </c>
      <c r="J42" s="81">
        <v>0</v>
      </c>
      <c r="K42" s="82">
        <f t="shared" si="21"/>
        <v>9.6627935588762099</v>
      </c>
      <c r="L42" s="140">
        <f t="shared" si="22"/>
        <v>4217423.0335218618</v>
      </c>
      <c r="M42" s="131">
        <f t="shared" si="1"/>
        <v>-4217423.0335218618</v>
      </c>
      <c r="N42" s="300" t="str">
        <f>VARIOS!C52&amp;"  -  "&amp;VARIOS!C57</f>
        <v>2.3.4.1.2  -  2.3.5.3.1.2.2.3.1.2</v>
      </c>
      <c r="O42" s="132">
        <f t="shared" si="23"/>
        <v>4035364.9299999997</v>
      </c>
      <c r="P42" s="132">
        <v>0</v>
      </c>
      <c r="Q42" s="132">
        <v>0</v>
      </c>
      <c r="R42" s="132">
        <f>VARIOS!E52+VARIOS!E57</f>
        <v>4035364.9299999997</v>
      </c>
      <c r="S42" s="81">
        <v>0</v>
      </c>
      <c r="T42" s="81">
        <v>0</v>
      </c>
      <c r="U42" s="81">
        <v>0</v>
      </c>
    </row>
    <row r="43" spans="1:21" ht="45">
      <c r="A43" s="49"/>
      <c r="B43" s="41" t="s">
        <v>261</v>
      </c>
      <c r="C43" s="41"/>
      <c r="D43" s="42" t="s">
        <v>262</v>
      </c>
      <c r="E43" s="63">
        <f t="shared" si="20"/>
        <v>5000</v>
      </c>
      <c r="F43" s="67">
        <v>0</v>
      </c>
      <c r="G43" s="67">
        <v>5000</v>
      </c>
      <c r="H43" s="67">
        <v>0</v>
      </c>
      <c r="I43" s="67">
        <v>0</v>
      </c>
      <c r="J43" s="81">
        <v>0</v>
      </c>
      <c r="K43" s="82">
        <f t="shared" si="21"/>
        <v>0</v>
      </c>
      <c r="L43" s="140">
        <f t="shared" si="22"/>
        <v>0</v>
      </c>
      <c r="M43" s="131">
        <f t="shared" si="1"/>
        <v>5000000</v>
      </c>
      <c r="N43" s="300"/>
      <c r="O43" s="132">
        <f t="shared" si="23"/>
        <v>0</v>
      </c>
      <c r="P43" s="132">
        <v>0</v>
      </c>
      <c r="Q43" s="132">
        <v>0</v>
      </c>
      <c r="R43" s="132">
        <v>0</v>
      </c>
      <c r="S43" s="81">
        <v>0</v>
      </c>
      <c r="T43" s="81">
        <v>0</v>
      </c>
      <c r="U43" s="81">
        <v>0</v>
      </c>
    </row>
    <row r="44" spans="1:21" s="69" customFormat="1">
      <c r="A44" s="51"/>
      <c r="B44" s="44" t="s">
        <v>150</v>
      </c>
      <c r="C44" s="44"/>
      <c r="D44" s="44"/>
      <c r="E44" s="65">
        <f>SUM(E38:E43)</f>
        <v>18000</v>
      </c>
      <c r="F44" s="65">
        <v>2500</v>
      </c>
      <c r="G44" s="65">
        <v>15500</v>
      </c>
      <c r="H44" s="65">
        <v>0</v>
      </c>
      <c r="I44" s="65">
        <v>0</v>
      </c>
      <c r="J44" s="84">
        <v>0</v>
      </c>
      <c r="K44" s="104">
        <f>O44/$O$45*100</f>
        <v>67.889832800087419</v>
      </c>
      <c r="L44" s="103">
        <f>$L$45*K44%</f>
        <v>43646001.622871794</v>
      </c>
      <c r="M44" s="134">
        <f t="shared" si="1"/>
        <v>-25646001.622871794</v>
      </c>
      <c r="N44" s="301"/>
      <c r="O44" s="135">
        <f t="shared" ref="O44:T44" si="24">SUM(O38:O43)</f>
        <v>41761887.030000001</v>
      </c>
      <c r="P44" s="135">
        <f t="shared" si="24"/>
        <v>6000000</v>
      </c>
      <c r="Q44" s="135">
        <f t="shared" si="24"/>
        <v>0</v>
      </c>
      <c r="R44" s="135">
        <f t="shared" si="24"/>
        <v>35761887.030000001</v>
      </c>
      <c r="S44" s="135">
        <f t="shared" si="24"/>
        <v>0</v>
      </c>
      <c r="T44" s="135">
        <f t="shared" si="24"/>
        <v>0</v>
      </c>
      <c r="U44" s="135">
        <f t="shared" ref="U44" si="25">SUM(U38:U43)</f>
        <v>0</v>
      </c>
    </row>
    <row r="45" spans="1:21" s="69" customFormat="1">
      <c r="A45" s="51"/>
      <c r="B45" s="44" t="s">
        <v>172</v>
      </c>
      <c r="C45" s="44"/>
      <c r="D45" s="44"/>
      <c r="E45" s="66">
        <f>E37+E44</f>
        <v>48000</v>
      </c>
      <c r="F45" s="66">
        <v>6500</v>
      </c>
      <c r="G45" s="66">
        <v>32500</v>
      </c>
      <c r="H45" s="66">
        <v>9000</v>
      </c>
      <c r="I45" s="66">
        <v>0</v>
      </c>
      <c r="J45" s="106">
        <v>0</v>
      </c>
      <c r="K45" s="138">
        <f>O45/$O$99*100</f>
        <v>13.856198943122717</v>
      </c>
      <c r="L45" s="106">
        <f>$L$6*K45%</f>
        <v>64289452.223861702</v>
      </c>
      <c r="M45" s="134">
        <f t="shared" si="1"/>
        <v>-16289452.223861702</v>
      </c>
      <c r="N45" s="302"/>
      <c r="O45" s="162">
        <f t="shared" ref="O45:T45" si="26">O37+O44</f>
        <v>61514199.266000003</v>
      </c>
      <c r="P45" s="162">
        <f t="shared" si="26"/>
        <v>6000000</v>
      </c>
      <c r="Q45" s="162">
        <f t="shared" si="26"/>
        <v>11197476</v>
      </c>
      <c r="R45" s="162">
        <f t="shared" si="26"/>
        <v>44316723.266000003</v>
      </c>
      <c r="S45" s="162">
        <f t="shared" si="26"/>
        <v>0</v>
      </c>
      <c r="T45" s="162">
        <f t="shared" si="26"/>
        <v>0</v>
      </c>
      <c r="U45" s="162">
        <f t="shared" ref="U45" si="27">U37+U44</f>
        <v>0</v>
      </c>
    </row>
    <row r="46" spans="1:21" ht="56.25">
      <c r="A46" s="48" t="s">
        <v>189</v>
      </c>
      <c r="B46" s="41" t="s">
        <v>173</v>
      </c>
      <c r="C46" s="41" t="s">
        <v>174</v>
      </c>
      <c r="D46" s="42" t="s">
        <v>175</v>
      </c>
      <c r="E46" s="63">
        <f t="shared" ref="E46:E52" si="28">SUM(F46:J46)</f>
        <v>15000</v>
      </c>
      <c r="F46" s="67">
        <v>0</v>
      </c>
      <c r="G46" s="67">
        <v>5000</v>
      </c>
      <c r="H46" s="67">
        <v>10000</v>
      </c>
      <c r="I46" s="67">
        <v>0</v>
      </c>
      <c r="J46" s="81">
        <v>0</v>
      </c>
      <c r="K46" s="82">
        <f t="shared" ref="K46:K52" si="29">O46/$O$53*100</f>
        <v>25.883335139623327</v>
      </c>
      <c r="L46" s="140">
        <f>$L$53*K46%</f>
        <v>14277591.375282479</v>
      </c>
      <c r="M46" s="131">
        <f t="shared" si="1"/>
        <v>722408.62471752055</v>
      </c>
      <c r="N46" s="300" t="str">
        <f>VARIOS!C73&amp;"  -  "&amp;VARIOS!C324</f>
        <v>2.3.4.3.2  -  2.3.5.3.1.2.1.4.4</v>
      </c>
      <c r="O46" s="132">
        <f t="shared" ref="O46:O47" si="30">P46+Q46+R46</f>
        <v>13661255.004000001</v>
      </c>
      <c r="P46" s="132">
        <v>0</v>
      </c>
      <c r="Q46" s="132">
        <v>0</v>
      </c>
      <c r="R46" s="132">
        <f>VARIOS!E73+VARIOS!E324*15%</f>
        <v>13661255.004000001</v>
      </c>
      <c r="S46" s="81">
        <v>0</v>
      </c>
      <c r="T46" s="81">
        <v>0</v>
      </c>
      <c r="U46" s="81">
        <v>0</v>
      </c>
    </row>
    <row r="47" spans="1:21" ht="45">
      <c r="A47" s="49"/>
      <c r="B47" s="42"/>
      <c r="C47" s="41" t="s">
        <v>263</v>
      </c>
      <c r="D47" s="42" t="s">
        <v>510</v>
      </c>
      <c r="E47" s="63">
        <f t="shared" si="28"/>
        <v>5000</v>
      </c>
      <c r="F47" s="67">
        <v>0</v>
      </c>
      <c r="G47" s="67">
        <v>2500</v>
      </c>
      <c r="H47" s="67">
        <v>2500</v>
      </c>
      <c r="I47" s="67">
        <v>0</v>
      </c>
      <c r="J47" s="81">
        <v>0</v>
      </c>
      <c r="K47" s="82">
        <f t="shared" si="29"/>
        <v>0</v>
      </c>
      <c r="L47" s="140">
        <f t="shared" ref="L47:L52" si="31">$L$53*K47%</f>
        <v>0</v>
      </c>
      <c r="M47" s="131">
        <f t="shared" si="1"/>
        <v>5000000</v>
      </c>
      <c r="N47" s="300"/>
      <c r="O47" s="132">
        <f t="shared" si="30"/>
        <v>0</v>
      </c>
      <c r="P47" s="132">
        <v>0</v>
      </c>
      <c r="Q47" s="132">
        <v>0</v>
      </c>
      <c r="R47" s="132">
        <v>0</v>
      </c>
      <c r="S47" s="81">
        <v>0</v>
      </c>
      <c r="T47" s="81">
        <v>0</v>
      </c>
      <c r="U47" s="81">
        <v>0</v>
      </c>
    </row>
    <row r="48" spans="1:21" ht="33.75">
      <c r="A48" s="49"/>
      <c r="B48" s="41"/>
      <c r="C48" s="42"/>
      <c r="D48" s="42" t="s">
        <v>176</v>
      </c>
      <c r="E48" s="63">
        <f t="shared" si="28"/>
        <v>0</v>
      </c>
      <c r="F48" s="67">
        <v>0</v>
      </c>
      <c r="G48" s="67">
        <v>0</v>
      </c>
      <c r="H48" s="67">
        <v>0</v>
      </c>
      <c r="I48" s="67">
        <v>0</v>
      </c>
      <c r="J48" s="81">
        <v>0</v>
      </c>
      <c r="K48" s="82">
        <f t="shared" si="29"/>
        <v>74.116664860376673</v>
      </c>
      <c r="L48" s="140">
        <f t="shared" si="31"/>
        <v>40883736.553535037</v>
      </c>
      <c r="M48" s="131">
        <f t="shared" si="1"/>
        <v>-40883736.553535037</v>
      </c>
      <c r="N48" s="300" t="str">
        <f>VARIOS!C70&amp;"  -  "&amp;VARIOS!C72&amp;"  -  "&amp;VARIOS!C324</f>
        <v>2.3.2.3.1.5  -  2.3.4.3.1  -  2.3.5.3.1.2.1.4.4</v>
      </c>
      <c r="O48" s="132">
        <f>P48+Q48+R48</f>
        <v>39118863.671999998</v>
      </c>
      <c r="P48" s="132">
        <v>0</v>
      </c>
      <c r="Q48" s="132">
        <f>VARIOS!E70</f>
        <v>14929969</v>
      </c>
      <c r="R48" s="132">
        <f>VARIOS!E72+VARIOS!E324*20%</f>
        <v>24188894.671999998</v>
      </c>
      <c r="S48" s="81">
        <v>0</v>
      </c>
      <c r="T48" s="81">
        <v>0</v>
      </c>
      <c r="U48" s="81">
        <v>0</v>
      </c>
    </row>
    <row r="49" spans="1:21" ht="22.5">
      <c r="A49" s="49"/>
      <c r="B49" s="41"/>
      <c r="C49" s="42"/>
      <c r="D49" s="42" t="s">
        <v>264</v>
      </c>
      <c r="E49" s="63">
        <f t="shared" si="28"/>
        <v>0</v>
      </c>
      <c r="F49" s="67">
        <v>0</v>
      </c>
      <c r="G49" s="67">
        <v>0</v>
      </c>
      <c r="H49" s="67">
        <v>0</v>
      </c>
      <c r="I49" s="67">
        <v>0</v>
      </c>
      <c r="J49" s="81">
        <v>0</v>
      </c>
      <c r="K49" s="82">
        <f t="shared" si="29"/>
        <v>0</v>
      </c>
      <c r="L49" s="140">
        <f t="shared" si="31"/>
        <v>0</v>
      </c>
      <c r="M49" s="131">
        <f t="shared" si="1"/>
        <v>0</v>
      </c>
      <c r="N49" s="300"/>
      <c r="O49" s="132">
        <f t="shared" ref="O49:O52" si="32">P49+Q49+R49</f>
        <v>0</v>
      </c>
      <c r="P49" s="132">
        <v>0</v>
      </c>
      <c r="Q49" s="132">
        <v>0</v>
      </c>
      <c r="R49" s="132">
        <v>0</v>
      </c>
      <c r="S49" s="81">
        <v>0</v>
      </c>
      <c r="T49" s="81">
        <v>0</v>
      </c>
      <c r="U49" s="81">
        <v>0</v>
      </c>
    </row>
    <row r="50" spans="1:21">
      <c r="A50" s="49"/>
      <c r="B50" s="42"/>
      <c r="C50" s="42"/>
      <c r="D50" s="42" t="s">
        <v>177</v>
      </c>
      <c r="E50" s="63">
        <f t="shared" si="28"/>
        <v>0</v>
      </c>
      <c r="F50" s="67">
        <v>0</v>
      </c>
      <c r="G50" s="67">
        <v>0</v>
      </c>
      <c r="H50" s="67">
        <v>0</v>
      </c>
      <c r="I50" s="67">
        <v>0</v>
      </c>
      <c r="J50" s="81">
        <v>0</v>
      </c>
      <c r="K50" s="82">
        <f t="shared" si="29"/>
        <v>0</v>
      </c>
      <c r="L50" s="140">
        <f t="shared" si="31"/>
        <v>0</v>
      </c>
      <c r="M50" s="131">
        <f t="shared" si="1"/>
        <v>0</v>
      </c>
      <c r="N50" s="300"/>
      <c r="O50" s="132">
        <f t="shared" si="32"/>
        <v>0</v>
      </c>
      <c r="P50" s="132">
        <v>0</v>
      </c>
      <c r="Q50" s="132">
        <v>0</v>
      </c>
      <c r="R50" s="132">
        <v>0</v>
      </c>
      <c r="S50" s="81">
        <v>0</v>
      </c>
      <c r="T50" s="81">
        <v>0</v>
      </c>
      <c r="U50" s="81">
        <v>0</v>
      </c>
    </row>
    <row r="51" spans="1:21" ht="22.5">
      <c r="A51" s="49"/>
      <c r="B51" s="42"/>
      <c r="C51" s="41"/>
      <c r="D51" s="42" t="s">
        <v>265</v>
      </c>
      <c r="E51" s="63">
        <f t="shared" si="28"/>
        <v>9000</v>
      </c>
      <c r="F51" s="67">
        <v>0</v>
      </c>
      <c r="G51" s="67">
        <v>4000</v>
      </c>
      <c r="H51" s="67">
        <v>5000</v>
      </c>
      <c r="I51" s="67">
        <v>0</v>
      </c>
      <c r="J51" s="81">
        <v>0</v>
      </c>
      <c r="K51" s="82">
        <f t="shared" si="29"/>
        <v>0</v>
      </c>
      <c r="L51" s="140">
        <f t="shared" si="31"/>
        <v>0</v>
      </c>
      <c r="M51" s="131">
        <f t="shared" si="1"/>
        <v>9000000</v>
      </c>
      <c r="N51" s="300"/>
      <c r="O51" s="132">
        <f t="shared" si="32"/>
        <v>0</v>
      </c>
      <c r="P51" s="132">
        <v>0</v>
      </c>
      <c r="Q51" s="132">
        <v>0</v>
      </c>
      <c r="R51" s="132">
        <v>0</v>
      </c>
      <c r="S51" s="81">
        <v>0</v>
      </c>
      <c r="T51" s="81">
        <v>0</v>
      </c>
      <c r="U51" s="81">
        <v>0</v>
      </c>
    </row>
    <row r="52" spans="1:21" ht="22.5">
      <c r="A52" s="49"/>
      <c r="B52" s="42"/>
      <c r="C52" s="41"/>
      <c r="D52" s="42" t="s">
        <v>347</v>
      </c>
      <c r="E52" s="63">
        <f t="shared" si="28"/>
        <v>0</v>
      </c>
      <c r="F52" s="67">
        <v>0</v>
      </c>
      <c r="G52" s="67">
        <v>0</v>
      </c>
      <c r="H52" s="67">
        <v>0</v>
      </c>
      <c r="I52" s="67">
        <v>0</v>
      </c>
      <c r="J52" s="81">
        <v>0</v>
      </c>
      <c r="K52" s="82">
        <f t="shared" si="29"/>
        <v>0</v>
      </c>
      <c r="L52" s="140">
        <f t="shared" si="31"/>
        <v>0</v>
      </c>
      <c r="M52" s="131">
        <f t="shared" si="1"/>
        <v>0</v>
      </c>
      <c r="N52" s="300"/>
      <c r="O52" s="132">
        <f t="shared" si="32"/>
        <v>0</v>
      </c>
      <c r="P52" s="132">
        <v>0</v>
      </c>
      <c r="Q52" s="132">
        <v>0</v>
      </c>
      <c r="R52" s="132">
        <v>0</v>
      </c>
      <c r="S52" s="81">
        <v>0</v>
      </c>
      <c r="T52" s="81">
        <v>0</v>
      </c>
      <c r="U52" s="81">
        <v>0</v>
      </c>
    </row>
    <row r="53" spans="1:21" s="69" customFormat="1">
      <c r="A53" s="51"/>
      <c r="B53" s="44" t="s">
        <v>150</v>
      </c>
      <c r="C53" s="44"/>
      <c r="D53" s="44"/>
      <c r="E53" s="65">
        <f>SUM(E46:E52)</f>
        <v>29000</v>
      </c>
      <c r="F53" s="65">
        <v>0</v>
      </c>
      <c r="G53" s="65">
        <v>11500</v>
      </c>
      <c r="H53" s="65">
        <v>17500</v>
      </c>
      <c r="I53" s="65">
        <v>0</v>
      </c>
      <c r="J53" s="84">
        <v>0</v>
      </c>
      <c r="K53" s="104">
        <f>O53/$O$65*100</f>
        <v>70.98534342648729</v>
      </c>
      <c r="L53" s="103">
        <f>$L$65*K53%</f>
        <v>55161327.928817518</v>
      </c>
      <c r="M53" s="134">
        <f t="shared" si="1"/>
        <v>-26161327.928817518</v>
      </c>
      <c r="N53" s="303"/>
      <c r="O53" s="65">
        <f t="shared" ref="O53:U53" si="33">SUM(O46:O52)</f>
        <v>52780118.675999999</v>
      </c>
      <c r="P53" s="65">
        <f t="shared" si="33"/>
        <v>0</v>
      </c>
      <c r="Q53" s="65">
        <f t="shared" si="33"/>
        <v>14929969</v>
      </c>
      <c r="R53" s="65">
        <f t="shared" si="33"/>
        <v>37850149.675999999</v>
      </c>
      <c r="S53" s="65">
        <f t="shared" si="33"/>
        <v>0</v>
      </c>
      <c r="T53" s="65">
        <f t="shared" si="33"/>
        <v>0</v>
      </c>
      <c r="U53" s="65">
        <f t="shared" si="33"/>
        <v>0</v>
      </c>
    </row>
    <row r="54" spans="1:21" ht="56.25">
      <c r="A54" s="49"/>
      <c r="B54" s="42" t="s">
        <v>181</v>
      </c>
      <c r="C54" s="42" t="s">
        <v>402</v>
      </c>
      <c r="D54" s="42" t="s">
        <v>182</v>
      </c>
      <c r="E54" s="63">
        <f t="shared" ref="E54:E63" si="34">SUM(F54:J54)</f>
        <v>5000</v>
      </c>
      <c r="F54" s="67">
        <v>0</v>
      </c>
      <c r="G54" s="67">
        <v>3000</v>
      </c>
      <c r="H54" s="67">
        <v>2000</v>
      </c>
      <c r="I54" s="67">
        <v>0</v>
      </c>
      <c r="J54" s="81">
        <v>0</v>
      </c>
      <c r="K54" s="82">
        <f t="shared" ref="K54:K63" si="35">O54/$O$64*100</f>
        <v>0</v>
      </c>
      <c r="L54" s="140">
        <f>$L$64*K54%</f>
        <v>0</v>
      </c>
      <c r="M54" s="131">
        <f t="shared" si="1"/>
        <v>5000000</v>
      </c>
      <c r="N54" s="300"/>
      <c r="O54" s="132">
        <f>P54+Q54+R54</f>
        <v>0</v>
      </c>
      <c r="P54" s="132">
        <v>0</v>
      </c>
      <c r="Q54" s="132">
        <v>0</v>
      </c>
      <c r="R54" s="132">
        <v>0</v>
      </c>
      <c r="S54" s="81">
        <v>0</v>
      </c>
      <c r="T54" s="81">
        <v>0</v>
      </c>
      <c r="U54" s="81">
        <v>0</v>
      </c>
    </row>
    <row r="55" spans="1:21">
      <c r="A55" s="49"/>
      <c r="B55" s="42"/>
      <c r="C55" s="42"/>
      <c r="D55" s="42" t="s">
        <v>375</v>
      </c>
      <c r="E55" s="63">
        <f t="shared" si="34"/>
        <v>0</v>
      </c>
      <c r="F55" s="67">
        <v>0</v>
      </c>
      <c r="G55" s="67">
        <v>0</v>
      </c>
      <c r="H55" s="67">
        <v>0</v>
      </c>
      <c r="I55" s="67">
        <v>0</v>
      </c>
      <c r="J55" s="81">
        <v>0</v>
      </c>
      <c r="K55" s="82">
        <f t="shared" si="35"/>
        <v>0</v>
      </c>
      <c r="L55" s="140">
        <f t="shared" ref="L55:L63" si="36">$L$64*K55%</f>
        <v>0</v>
      </c>
      <c r="M55" s="131">
        <f t="shared" si="1"/>
        <v>0</v>
      </c>
      <c r="N55" s="300"/>
      <c r="O55" s="132">
        <f t="shared" ref="O55:O63" si="37">P55+Q55+R55</f>
        <v>0</v>
      </c>
      <c r="P55" s="132">
        <v>0</v>
      </c>
      <c r="Q55" s="132">
        <v>0</v>
      </c>
      <c r="R55" s="132">
        <v>0</v>
      </c>
      <c r="S55" s="81">
        <v>0</v>
      </c>
      <c r="T55" s="81">
        <v>0</v>
      </c>
      <c r="U55" s="81">
        <v>0</v>
      </c>
    </row>
    <row r="56" spans="1:21" ht="22.5">
      <c r="A56" s="49"/>
      <c r="B56" s="42"/>
      <c r="C56" s="42"/>
      <c r="D56" s="42" t="s">
        <v>183</v>
      </c>
      <c r="E56" s="63">
        <f t="shared" si="34"/>
        <v>2000</v>
      </c>
      <c r="F56" s="67">
        <v>0</v>
      </c>
      <c r="G56" s="67">
        <v>2000</v>
      </c>
      <c r="H56" s="67">
        <v>0</v>
      </c>
      <c r="I56" s="67">
        <v>0</v>
      </c>
      <c r="J56" s="81">
        <v>0</v>
      </c>
      <c r="K56" s="82">
        <f t="shared" si="35"/>
        <v>0</v>
      </c>
      <c r="L56" s="140">
        <f t="shared" si="36"/>
        <v>0</v>
      </c>
      <c r="M56" s="131">
        <f t="shared" si="1"/>
        <v>2000000</v>
      </c>
      <c r="N56" s="300"/>
      <c r="O56" s="132">
        <f t="shared" si="37"/>
        <v>0</v>
      </c>
      <c r="P56" s="132">
        <v>0</v>
      </c>
      <c r="Q56" s="132">
        <v>0</v>
      </c>
      <c r="R56" s="132">
        <v>0</v>
      </c>
      <c r="S56" s="81">
        <v>0</v>
      </c>
      <c r="T56" s="81">
        <v>0</v>
      </c>
      <c r="U56" s="81">
        <v>0</v>
      </c>
    </row>
    <row r="57" spans="1:21">
      <c r="A57" s="49"/>
      <c r="B57" s="42"/>
      <c r="C57" s="42"/>
      <c r="D57" s="42" t="s">
        <v>184</v>
      </c>
      <c r="E57" s="63">
        <f t="shared" si="34"/>
        <v>1000</v>
      </c>
      <c r="F57" s="67">
        <v>0</v>
      </c>
      <c r="G57" s="67">
        <v>1000</v>
      </c>
      <c r="H57" s="67">
        <v>0</v>
      </c>
      <c r="I57" s="67">
        <v>0</v>
      </c>
      <c r="J57" s="81">
        <v>0</v>
      </c>
      <c r="K57" s="82">
        <f t="shared" si="35"/>
        <v>0</v>
      </c>
      <c r="L57" s="140">
        <f t="shared" si="36"/>
        <v>0</v>
      </c>
      <c r="M57" s="131">
        <f t="shared" si="1"/>
        <v>1000000</v>
      </c>
      <c r="N57" s="300"/>
      <c r="O57" s="132">
        <f t="shared" si="37"/>
        <v>0</v>
      </c>
      <c r="P57" s="132">
        <v>0</v>
      </c>
      <c r="Q57" s="132">
        <v>0</v>
      </c>
      <c r="R57" s="132">
        <v>0</v>
      </c>
      <c r="S57" s="81">
        <v>0</v>
      </c>
      <c r="T57" s="81">
        <v>0</v>
      </c>
      <c r="U57" s="81">
        <v>0</v>
      </c>
    </row>
    <row r="58" spans="1:21" ht="22.5">
      <c r="A58" s="49"/>
      <c r="B58" s="42"/>
      <c r="C58" s="42"/>
      <c r="D58" s="42" t="s">
        <v>185</v>
      </c>
      <c r="E58" s="63">
        <f t="shared" si="34"/>
        <v>8000</v>
      </c>
      <c r="F58" s="67">
        <v>1000</v>
      </c>
      <c r="G58" s="67">
        <v>4000</v>
      </c>
      <c r="H58" s="67">
        <v>3000</v>
      </c>
      <c r="I58" s="67">
        <v>0</v>
      </c>
      <c r="J58" s="81">
        <v>0</v>
      </c>
      <c r="K58" s="82">
        <f t="shared" si="35"/>
        <v>0</v>
      </c>
      <c r="L58" s="140">
        <f t="shared" si="36"/>
        <v>0</v>
      </c>
      <c r="M58" s="131">
        <f t="shared" si="1"/>
        <v>8000000</v>
      </c>
      <c r="N58" s="300"/>
      <c r="O58" s="132">
        <f t="shared" si="37"/>
        <v>0</v>
      </c>
      <c r="P58" s="132">
        <v>0</v>
      </c>
      <c r="Q58" s="132">
        <v>0</v>
      </c>
      <c r="R58" s="132">
        <v>0</v>
      </c>
      <c r="S58" s="81">
        <v>0</v>
      </c>
      <c r="T58" s="81">
        <v>0</v>
      </c>
      <c r="U58" s="81">
        <v>0</v>
      </c>
    </row>
    <row r="59" spans="1:21" ht="22.5">
      <c r="A59" s="49"/>
      <c r="B59" s="42"/>
      <c r="C59" s="42"/>
      <c r="D59" s="42" t="s">
        <v>186</v>
      </c>
      <c r="E59" s="63">
        <f t="shared" si="34"/>
        <v>7000</v>
      </c>
      <c r="F59" s="67">
        <v>0</v>
      </c>
      <c r="G59" s="67">
        <v>3000</v>
      </c>
      <c r="H59" s="67">
        <v>4000</v>
      </c>
      <c r="I59" s="67">
        <v>0</v>
      </c>
      <c r="J59" s="81">
        <v>0</v>
      </c>
      <c r="K59" s="82">
        <f t="shared" si="35"/>
        <v>0</v>
      </c>
      <c r="L59" s="140">
        <f t="shared" si="36"/>
        <v>0</v>
      </c>
      <c r="M59" s="131">
        <f t="shared" si="1"/>
        <v>7000000</v>
      </c>
      <c r="N59" s="300"/>
      <c r="O59" s="132">
        <f t="shared" si="37"/>
        <v>0</v>
      </c>
      <c r="P59" s="132">
        <v>0</v>
      </c>
      <c r="Q59" s="132">
        <v>0</v>
      </c>
      <c r="R59" s="132">
        <v>0</v>
      </c>
      <c r="S59" s="81">
        <v>0</v>
      </c>
      <c r="T59" s="81">
        <v>0</v>
      </c>
      <c r="U59" s="81">
        <v>0</v>
      </c>
    </row>
    <row r="60" spans="1:21" ht="22.5">
      <c r="A60" s="49"/>
      <c r="B60" s="42"/>
      <c r="C60" s="42"/>
      <c r="D60" s="41" t="s">
        <v>187</v>
      </c>
      <c r="E60" s="63">
        <f t="shared" si="34"/>
        <v>5000</v>
      </c>
      <c r="F60" s="67">
        <v>0</v>
      </c>
      <c r="G60" s="67">
        <v>2500</v>
      </c>
      <c r="H60" s="67">
        <v>2500</v>
      </c>
      <c r="I60" s="67">
        <v>0</v>
      </c>
      <c r="J60" s="81">
        <v>0</v>
      </c>
      <c r="K60" s="82">
        <f t="shared" si="35"/>
        <v>0</v>
      </c>
      <c r="L60" s="140">
        <f t="shared" si="36"/>
        <v>0</v>
      </c>
      <c r="M60" s="131">
        <f t="shared" si="1"/>
        <v>5000000</v>
      </c>
      <c r="N60" s="300"/>
      <c r="O60" s="132">
        <f t="shared" si="37"/>
        <v>0</v>
      </c>
      <c r="P60" s="132">
        <v>0</v>
      </c>
      <c r="Q60" s="132">
        <v>0</v>
      </c>
      <c r="R60" s="132">
        <v>0</v>
      </c>
      <c r="S60" s="81">
        <v>0</v>
      </c>
      <c r="T60" s="81">
        <v>0</v>
      </c>
      <c r="U60" s="81">
        <v>0</v>
      </c>
    </row>
    <row r="61" spans="1:21" ht="22.5">
      <c r="A61" s="49"/>
      <c r="B61" s="41"/>
      <c r="C61" s="42"/>
      <c r="D61" s="41" t="s">
        <v>188</v>
      </c>
      <c r="E61" s="63">
        <f t="shared" si="34"/>
        <v>2000</v>
      </c>
      <c r="F61" s="67">
        <v>0</v>
      </c>
      <c r="G61" s="67">
        <v>1000</v>
      </c>
      <c r="H61" s="67">
        <v>1000</v>
      </c>
      <c r="I61" s="67">
        <v>0</v>
      </c>
      <c r="J61" s="81">
        <v>0</v>
      </c>
      <c r="K61" s="82">
        <f t="shared" si="35"/>
        <v>0</v>
      </c>
      <c r="L61" s="140">
        <f t="shared" si="36"/>
        <v>0</v>
      </c>
      <c r="M61" s="131">
        <f t="shared" si="1"/>
        <v>2000000</v>
      </c>
      <c r="N61" s="300"/>
      <c r="O61" s="132">
        <f t="shared" si="37"/>
        <v>0</v>
      </c>
      <c r="P61" s="132">
        <v>0</v>
      </c>
      <c r="Q61" s="132">
        <v>0</v>
      </c>
      <c r="R61" s="132">
        <v>0</v>
      </c>
      <c r="S61" s="81">
        <v>0</v>
      </c>
      <c r="T61" s="81">
        <v>0</v>
      </c>
      <c r="U61" s="81">
        <v>0</v>
      </c>
    </row>
    <row r="62" spans="1:21" ht="45">
      <c r="A62" s="49"/>
      <c r="B62" s="41"/>
      <c r="C62" s="42"/>
      <c r="D62" s="41" t="s">
        <v>266</v>
      </c>
      <c r="E62" s="63">
        <f t="shared" si="34"/>
        <v>4000</v>
      </c>
      <c r="F62" s="67">
        <v>0</v>
      </c>
      <c r="G62" s="67">
        <v>2000</v>
      </c>
      <c r="H62" s="67">
        <v>2000</v>
      </c>
      <c r="I62" s="67">
        <v>0</v>
      </c>
      <c r="J62" s="81">
        <v>0</v>
      </c>
      <c r="K62" s="82">
        <f t="shared" si="35"/>
        <v>100</v>
      </c>
      <c r="L62" s="140">
        <f t="shared" si="36"/>
        <v>22546724.559430026</v>
      </c>
      <c r="M62" s="131">
        <f t="shared" si="1"/>
        <v>-18546724.559430026</v>
      </c>
      <c r="N62" s="300" t="str">
        <f>VARIOS!C65&amp;"  -  "&amp;VARIOS!C74&amp;"  -  "&amp;VARIOS!C75&amp;"  -  "&amp;VARIOS!C76</f>
        <v>2.3.1.4.2.1  -  2.3.5.3.1.2.1.4.1  -  2.3.5.3.1.2.2.3.3  -  2.3.5.3.1.2.2.3.5</v>
      </c>
      <c r="O62" s="132">
        <f t="shared" si="37"/>
        <v>21573425.489999998</v>
      </c>
      <c r="P62" s="132">
        <f>VARIOS!E65</f>
        <v>4000000</v>
      </c>
      <c r="Q62" s="132">
        <v>0</v>
      </c>
      <c r="R62" s="132">
        <f>VARIOS!E74+VARIOS!E75+VARIOS!E76</f>
        <v>17573425.489999998</v>
      </c>
      <c r="S62" s="81">
        <v>0</v>
      </c>
      <c r="T62" s="81">
        <v>0</v>
      </c>
      <c r="U62" s="81">
        <v>0</v>
      </c>
    </row>
    <row r="63" spans="1:21">
      <c r="A63" s="49"/>
      <c r="B63" s="42"/>
      <c r="C63" s="42"/>
      <c r="D63" s="41" t="s">
        <v>267</v>
      </c>
      <c r="E63" s="63">
        <f t="shared" si="34"/>
        <v>0</v>
      </c>
      <c r="F63" s="67">
        <v>0</v>
      </c>
      <c r="G63" s="67">
        <v>0</v>
      </c>
      <c r="H63" s="67">
        <v>0</v>
      </c>
      <c r="I63" s="67">
        <v>0</v>
      </c>
      <c r="J63" s="81">
        <v>0</v>
      </c>
      <c r="K63" s="82">
        <f t="shared" si="35"/>
        <v>0</v>
      </c>
      <c r="L63" s="140">
        <f t="shared" si="36"/>
        <v>0</v>
      </c>
      <c r="M63" s="131">
        <f t="shared" si="1"/>
        <v>0</v>
      </c>
      <c r="N63" s="300"/>
      <c r="O63" s="132">
        <f t="shared" si="37"/>
        <v>0</v>
      </c>
      <c r="P63" s="132">
        <v>0</v>
      </c>
      <c r="Q63" s="132">
        <v>0</v>
      </c>
      <c r="R63" s="132">
        <v>0</v>
      </c>
      <c r="S63" s="81">
        <v>0</v>
      </c>
      <c r="T63" s="81">
        <v>0</v>
      </c>
      <c r="U63" s="81">
        <v>0</v>
      </c>
    </row>
    <row r="64" spans="1:21" s="69" customFormat="1">
      <c r="A64" s="51"/>
      <c r="B64" s="44" t="s">
        <v>150</v>
      </c>
      <c r="C64" s="44"/>
      <c r="D64" s="44"/>
      <c r="E64" s="65">
        <f>SUM(E54:E63)</f>
        <v>34000</v>
      </c>
      <c r="F64" s="65">
        <v>1000</v>
      </c>
      <c r="G64" s="65">
        <v>18500</v>
      </c>
      <c r="H64" s="65">
        <v>14500</v>
      </c>
      <c r="I64" s="65">
        <v>0</v>
      </c>
      <c r="J64" s="84">
        <v>0</v>
      </c>
      <c r="K64" s="104">
        <f>O64/$O$65*100</f>
        <v>29.014656573512713</v>
      </c>
      <c r="L64" s="103">
        <f>$L$65*K64%</f>
        <v>22546724.559430026</v>
      </c>
      <c r="M64" s="134">
        <f t="shared" si="1"/>
        <v>11453275.440569974</v>
      </c>
      <c r="N64" s="303"/>
      <c r="O64" s="65">
        <f t="shared" ref="O64:T64" si="38">SUM(O54:O63)</f>
        <v>21573425.489999998</v>
      </c>
      <c r="P64" s="65">
        <f t="shared" si="38"/>
        <v>4000000</v>
      </c>
      <c r="Q64" s="65">
        <f t="shared" si="38"/>
        <v>0</v>
      </c>
      <c r="R64" s="65">
        <f t="shared" si="38"/>
        <v>17573425.489999998</v>
      </c>
      <c r="S64" s="65">
        <f t="shared" si="38"/>
        <v>0</v>
      </c>
      <c r="T64" s="65">
        <f t="shared" si="38"/>
        <v>0</v>
      </c>
      <c r="U64" s="65">
        <f t="shared" ref="U64" si="39">SUM(U54:U63)</f>
        <v>0</v>
      </c>
    </row>
    <row r="65" spans="1:21" s="69" customFormat="1" ht="21">
      <c r="A65" s="51"/>
      <c r="B65" s="51" t="s">
        <v>190</v>
      </c>
      <c r="C65" s="51"/>
      <c r="D65" s="51"/>
      <c r="E65" s="66">
        <f>E53+E64</f>
        <v>63000</v>
      </c>
      <c r="F65" s="66">
        <v>1000</v>
      </c>
      <c r="G65" s="66">
        <v>30000</v>
      </c>
      <c r="H65" s="66">
        <v>32000</v>
      </c>
      <c r="I65" s="66">
        <v>0</v>
      </c>
      <c r="J65" s="106">
        <v>0</v>
      </c>
      <c r="K65" s="138">
        <f>O65/$O$99*100</f>
        <v>16.748287588615316</v>
      </c>
      <c r="L65" s="106">
        <f>$L$6*K65%</f>
        <v>77708052.488247544</v>
      </c>
      <c r="M65" s="134">
        <f t="shared" si="1"/>
        <v>-14708052.488247544</v>
      </c>
      <c r="N65" s="304"/>
      <c r="O65" s="66">
        <f t="shared" ref="O65:T65" si="40">O53+O64</f>
        <v>74353544.165999994</v>
      </c>
      <c r="P65" s="66">
        <f t="shared" si="40"/>
        <v>4000000</v>
      </c>
      <c r="Q65" s="66">
        <f t="shared" si="40"/>
        <v>14929969</v>
      </c>
      <c r="R65" s="66">
        <f t="shared" si="40"/>
        <v>55423575.165999994</v>
      </c>
      <c r="S65" s="66">
        <f t="shared" si="40"/>
        <v>0</v>
      </c>
      <c r="T65" s="66">
        <f t="shared" si="40"/>
        <v>0</v>
      </c>
      <c r="U65" s="66">
        <f t="shared" ref="U65" si="41">U53+U64</f>
        <v>0</v>
      </c>
    </row>
    <row r="66" spans="1:21" ht="45">
      <c r="A66" s="48" t="s">
        <v>191</v>
      </c>
      <c r="B66" s="42" t="s">
        <v>192</v>
      </c>
      <c r="C66" s="42" t="s">
        <v>403</v>
      </c>
      <c r="D66" s="42" t="s">
        <v>193</v>
      </c>
      <c r="E66" s="63">
        <f t="shared" ref="E66:E72" si="42">SUM(F66:J66)</f>
        <v>2500</v>
      </c>
      <c r="F66" s="67">
        <v>0</v>
      </c>
      <c r="G66" s="67">
        <v>2500</v>
      </c>
      <c r="H66" s="67">
        <v>0</v>
      </c>
      <c r="I66" s="67">
        <v>0</v>
      </c>
      <c r="J66" s="81">
        <v>0</v>
      </c>
      <c r="K66" s="82">
        <f t="shared" ref="K66:K72" si="43">O66/$O$73*100</f>
        <v>0</v>
      </c>
      <c r="L66" s="140">
        <f>$L$73*K66%</f>
        <v>0</v>
      </c>
      <c r="M66" s="131">
        <f t="shared" si="1"/>
        <v>2500000</v>
      </c>
      <c r="N66" s="300"/>
      <c r="O66" s="132">
        <f>P66+Q66+R66</f>
        <v>0</v>
      </c>
      <c r="P66" s="132">
        <v>0</v>
      </c>
      <c r="Q66" s="132">
        <v>0</v>
      </c>
      <c r="R66" s="132">
        <v>0</v>
      </c>
      <c r="S66" s="81">
        <v>0</v>
      </c>
      <c r="T66" s="81">
        <v>0</v>
      </c>
      <c r="U66" s="81">
        <v>0</v>
      </c>
    </row>
    <row r="67" spans="1:21" ht="22.5">
      <c r="A67" s="49"/>
      <c r="B67" s="42"/>
      <c r="C67" s="42"/>
      <c r="D67" s="42" t="s">
        <v>194</v>
      </c>
      <c r="E67" s="63">
        <f t="shared" si="42"/>
        <v>5000</v>
      </c>
      <c r="F67" s="67">
        <v>0</v>
      </c>
      <c r="G67" s="67">
        <v>5000</v>
      </c>
      <c r="H67" s="67">
        <v>0</v>
      </c>
      <c r="I67" s="67">
        <v>0</v>
      </c>
      <c r="J67" s="81">
        <v>0</v>
      </c>
      <c r="K67" s="82">
        <f t="shared" si="43"/>
        <v>0</v>
      </c>
      <c r="L67" s="140">
        <f t="shared" ref="L67:L72" si="44">$L$73*K67%</f>
        <v>0</v>
      </c>
      <c r="M67" s="131">
        <f t="shared" si="1"/>
        <v>5000000</v>
      </c>
      <c r="N67" s="300"/>
      <c r="O67" s="132">
        <f t="shared" ref="O67:O72" si="45">P67+Q67+R67</f>
        <v>0</v>
      </c>
      <c r="P67" s="132">
        <v>0</v>
      </c>
      <c r="Q67" s="132">
        <v>0</v>
      </c>
      <c r="R67" s="132">
        <v>0</v>
      </c>
      <c r="S67" s="81">
        <v>0</v>
      </c>
      <c r="T67" s="81">
        <v>0</v>
      </c>
      <c r="U67" s="81">
        <v>0</v>
      </c>
    </row>
    <row r="68" spans="1:21" ht="22.5">
      <c r="A68" s="49"/>
      <c r="B68" s="41"/>
      <c r="C68" s="42"/>
      <c r="D68" s="42" t="s">
        <v>195</v>
      </c>
      <c r="E68" s="63">
        <f t="shared" si="42"/>
        <v>10000</v>
      </c>
      <c r="F68" s="67">
        <v>0</v>
      </c>
      <c r="G68" s="67">
        <v>10000</v>
      </c>
      <c r="H68" s="67">
        <v>0</v>
      </c>
      <c r="I68" s="67">
        <v>0</v>
      </c>
      <c r="J68" s="81">
        <v>0</v>
      </c>
      <c r="K68" s="82">
        <f t="shared" si="43"/>
        <v>100</v>
      </c>
      <c r="L68" s="140">
        <f t="shared" si="44"/>
        <v>18812081.66305631</v>
      </c>
      <c r="M68" s="131">
        <f t="shared" si="1"/>
        <v>-8812081.6630563103</v>
      </c>
      <c r="N68" s="300" t="str">
        <f>VARIOS!C84&amp;"  -  "&amp;VARIOS!C86</f>
        <v>2.3.2.3.3.05.04.2  -  2.3.2.3.3.05.04.4</v>
      </c>
      <c r="O68" s="132">
        <f t="shared" si="45"/>
        <v>18000000</v>
      </c>
      <c r="P68" s="132">
        <v>0</v>
      </c>
      <c r="Q68" s="132">
        <f>VARIOS!E84+VARIOS!E86</f>
        <v>18000000</v>
      </c>
      <c r="R68" s="132">
        <v>0</v>
      </c>
      <c r="S68" s="81">
        <v>0</v>
      </c>
      <c r="T68" s="81">
        <v>0</v>
      </c>
      <c r="U68" s="81">
        <v>0</v>
      </c>
    </row>
    <row r="69" spans="1:21" ht="33.75">
      <c r="A69" s="49"/>
      <c r="B69" s="42" t="s">
        <v>404</v>
      </c>
      <c r="C69" s="42" t="s">
        <v>405</v>
      </c>
      <c r="D69" s="42" t="s">
        <v>196</v>
      </c>
      <c r="E69" s="63">
        <f t="shared" si="42"/>
        <v>5000</v>
      </c>
      <c r="F69" s="67">
        <v>0</v>
      </c>
      <c r="G69" s="67">
        <v>5000</v>
      </c>
      <c r="H69" s="67">
        <v>0</v>
      </c>
      <c r="I69" s="67">
        <v>0</v>
      </c>
      <c r="J69" s="81">
        <v>0</v>
      </c>
      <c r="K69" s="82">
        <f t="shared" si="43"/>
        <v>0</v>
      </c>
      <c r="L69" s="140">
        <f t="shared" si="44"/>
        <v>0</v>
      </c>
      <c r="M69" s="131">
        <f t="shared" si="1"/>
        <v>5000000</v>
      </c>
      <c r="N69" s="300"/>
      <c r="O69" s="132">
        <f t="shared" si="45"/>
        <v>0</v>
      </c>
      <c r="P69" s="132">
        <v>0</v>
      </c>
      <c r="Q69" s="132">
        <v>0</v>
      </c>
      <c r="R69" s="132">
        <v>0</v>
      </c>
      <c r="S69" s="81">
        <v>0</v>
      </c>
      <c r="T69" s="81">
        <v>0</v>
      </c>
      <c r="U69" s="81">
        <v>0</v>
      </c>
    </row>
    <row r="70" spans="1:21" ht="22.5">
      <c r="A70" s="49"/>
      <c r="B70" s="42"/>
      <c r="C70" s="42"/>
      <c r="D70" s="42" t="s">
        <v>197</v>
      </c>
      <c r="E70" s="63">
        <f t="shared" si="42"/>
        <v>2000</v>
      </c>
      <c r="F70" s="67">
        <v>0</v>
      </c>
      <c r="G70" s="67">
        <v>2000</v>
      </c>
      <c r="H70" s="67">
        <v>0</v>
      </c>
      <c r="I70" s="67">
        <v>0</v>
      </c>
      <c r="J70" s="81">
        <v>0</v>
      </c>
      <c r="K70" s="82">
        <f t="shared" si="43"/>
        <v>0</v>
      </c>
      <c r="L70" s="140">
        <f t="shared" si="44"/>
        <v>0</v>
      </c>
      <c r="M70" s="131">
        <f t="shared" si="1"/>
        <v>2000000</v>
      </c>
      <c r="N70" s="300"/>
      <c r="O70" s="132">
        <f t="shared" si="45"/>
        <v>0</v>
      </c>
      <c r="P70" s="132">
        <v>0</v>
      </c>
      <c r="Q70" s="132">
        <v>0</v>
      </c>
      <c r="R70" s="132">
        <v>0</v>
      </c>
      <c r="S70" s="81">
        <v>0</v>
      </c>
      <c r="T70" s="81">
        <v>0</v>
      </c>
      <c r="U70" s="81">
        <v>0</v>
      </c>
    </row>
    <row r="71" spans="1:21" ht="22.5">
      <c r="A71" s="49"/>
      <c r="B71" s="42"/>
      <c r="C71" s="42"/>
      <c r="D71" s="42" t="s">
        <v>348</v>
      </c>
      <c r="E71" s="63">
        <f t="shared" si="42"/>
        <v>0</v>
      </c>
      <c r="F71" s="67">
        <v>0</v>
      </c>
      <c r="G71" s="67">
        <v>0</v>
      </c>
      <c r="H71" s="67">
        <v>0</v>
      </c>
      <c r="I71" s="67">
        <v>0</v>
      </c>
      <c r="J71" s="81">
        <v>0</v>
      </c>
      <c r="K71" s="82">
        <f t="shared" si="43"/>
        <v>0</v>
      </c>
      <c r="L71" s="140">
        <f t="shared" si="44"/>
        <v>0</v>
      </c>
      <c r="M71" s="131">
        <f t="shared" si="1"/>
        <v>0</v>
      </c>
      <c r="N71" s="300"/>
      <c r="O71" s="132">
        <f t="shared" si="45"/>
        <v>0</v>
      </c>
      <c r="P71" s="132">
        <v>0</v>
      </c>
      <c r="Q71" s="132">
        <v>0</v>
      </c>
      <c r="R71" s="132">
        <v>0</v>
      </c>
      <c r="S71" s="81">
        <v>0</v>
      </c>
      <c r="T71" s="81">
        <v>0</v>
      </c>
      <c r="U71" s="81">
        <v>0</v>
      </c>
    </row>
    <row r="72" spans="1:21" ht="33.75">
      <c r="A72" s="49"/>
      <c r="B72" s="42"/>
      <c r="C72" s="42"/>
      <c r="D72" s="42" t="s">
        <v>349</v>
      </c>
      <c r="E72" s="63">
        <f t="shared" si="42"/>
        <v>5000</v>
      </c>
      <c r="F72" s="67">
        <v>0</v>
      </c>
      <c r="G72" s="67">
        <v>5000</v>
      </c>
      <c r="H72" s="67">
        <v>0</v>
      </c>
      <c r="I72" s="67">
        <v>0</v>
      </c>
      <c r="J72" s="81">
        <v>0</v>
      </c>
      <c r="K72" s="82">
        <f t="shared" si="43"/>
        <v>0</v>
      </c>
      <c r="L72" s="140">
        <f t="shared" si="44"/>
        <v>0</v>
      </c>
      <c r="M72" s="131">
        <f t="shared" si="1"/>
        <v>5000000</v>
      </c>
      <c r="N72" s="300"/>
      <c r="O72" s="132">
        <f t="shared" si="45"/>
        <v>0</v>
      </c>
      <c r="P72" s="132">
        <v>0</v>
      </c>
      <c r="Q72" s="132">
        <v>0</v>
      </c>
      <c r="R72" s="132">
        <v>0</v>
      </c>
      <c r="S72" s="81">
        <v>0</v>
      </c>
      <c r="T72" s="81">
        <v>0</v>
      </c>
      <c r="U72" s="81">
        <v>0</v>
      </c>
    </row>
    <row r="73" spans="1:21" s="69" customFormat="1">
      <c r="A73" s="51"/>
      <c r="B73" s="44" t="s">
        <v>150</v>
      </c>
      <c r="C73" s="44"/>
      <c r="D73" s="44"/>
      <c r="E73" s="65">
        <f>SUM(E66:E72)</f>
        <v>29500</v>
      </c>
      <c r="F73" s="65">
        <v>0</v>
      </c>
      <c r="G73" s="65">
        <v>29500</v>
      </c>
      <c r="H73" s="65">
        <v>0</v>
      </c>
      <c r="I73" s="65">
        <v>0</v>
      </c>
      <c r="J73" s="84">
        <v>0</v>
      </c>
      <c r="K73" s="104">
        <v>100</v>
      </c>
      <c r="L73" s="103">
        <f>$L$74*K73%</f>
        <v>18812081.66305631</v>
      </c>
      <c r="M73" s="134">
        <f t="shared" ref="M73:M99" si="46">SUM(E73*1000)-L73</f>
        <v>10687918.33694369</v>
      </c>
      <c r="N73" s="303"/>
      <c r="O73" s="65">
        <f t="shared" ref="O73:T73" si="47">SUM(O66:O72)</f>
        <v>18000000</v>
      </c>
      <c r="P73" s="65">
        <f t="shared" si="47"/>
        <v>0</v>
      </c>
      <c r="Q73" s="65">
        <f t="shared" si="47"/>
        <v>18000000</v>
      </c>
      <c r="R73" s="65">
        <f t="shared" si="47"/>
        <v>0</v>
      </c>
      <c r="S73" s="65">
        <f t="shared" si="47"/>
        <v>0</v>
      </c>
      <c r="T73" s="65">
        <f t="shared" si="47"/>
        <v>0</v>
      </c>
      <c r="U73" s="65">
        <f t="shared" ref="U73" si="48">SUM(U66:U72)</f>
        <v>0</v>
      </c>
    </row>
    <row r="74" spans="1:21" s="69" customFormat="1">
      <c r="A74" s="51"/>
      <c r="B74" s="44" t="s">
        <v>214</v>
      </c>
      <c r="C74" s="44"/>
      <c r="D74" s="44"/>
      <c r="E74" s="66">
        <f>E73</f>
        <v>29500</v>
      </c>
      <c r="F74" s="66">
        <v>0</v>
      </c>
      <c r="G74" s="66">
        <v>29500</v>
      </c>
      <c r="H74" s="66">
        <v>0</v>
      </c>
      <c r="I74" s="66">
        <v>0</v>
      </c>
      <c r="J74" s="106">
        <v>0</v>
      </c>
      <c r="K74" s="138">
        <f>O74/$O$99*100</f>
        <v>4.0545367403337575</v>
      </c>
      <c r="L74" s="106">
        <f>$L$6*K74%</f>
        <v>18812081.66305631</v>
      </c>
      <c r="M74" s="134">
        <f t="shared" si="46"/>
        <v>10687918.33694369</v>
      </c>
      <c r="N74" s="304"/>
      <c r="O74" s="66">
        <f t="shared" ref="O74:T74" si="49">O73</f>
        <v>18000000</v>
      </c>
      <c r="P74" s="66">
        <f t="shared" si="49"/>
        <v>0</v>
      </c>
      <c r="Q74" s="66">
        <f t="shared" si="49"/>
        <v>18000000</v>
      </c>
      <c r="R74" s="66">
        <f t="shared" si="49"/>
        <v>0</v>
      </c>
      <c r="S74" s="66">
        <f t="shared" si="49"/>
        <v>0</v>
      </c>
      <c r="T74" s="66">
        <f t="shared" si="49"/>
        <v>0</v>
      </c>
      <c r="U74" s="66">
        <f t="shared" ref="U74" si="50">U73</f>
        <v>0</v>
      </c>
    </row>
    <row r="75" spans="1:21" ht="33.75">
      <c r="A75" s="52" t="s">
        <v>198</v>
      </c>
      <c r="B75" s="42" t="s">
        <v>220</v>
      </c>
      <c r="C75" s="42"/>
      <c r="D75" s="42" t="s">
        <v>200</v>
      </c>
      <c r="E75" s="63">
        <f>SUM(F75:J75)</f>
        <v>12000</v>
      </c>
      <c r="F75" s="67">
        <v>0</v>
      </c>
      <c r="G75" s="67">
        <v>12000</v>
      </c>
      <c r="H75" s="67">
        <v>0</v>
      </c>
      <c r="I75" s="67">
        <v>0</v>
      </c>
      <c r="J75" s="81">
        <v>0</v>
      </c>
      <c r="K75" s="82">
        <f>O75/$O$77*100</f>
        <v>100</v>
      </c>
      <c r="L75" s="140">
        <f>$L$77*K75%</f>
        <v>10424633.701780619</v>
      </c>
      <c r="M75" s="131">
        <f t="shared" si="46"/>
        <v>1575366.2982193809</v>
      </c>
      <c r="N75" s="300" t="str">
        <f>VARIOS!C91</f>
        <v>2.3.2.3.3.05.06</v>
      </c>
      <c r="O75" s="132">
        <f>P75+Q75</f>
        <v>9974622.1600000001</v>
      </c>
      <c r="P75" s="132">
        <v>0</v>
      </c>
      <c r="Q75" s="132">
        <f>VARIOS!E91</f>
        <v>9974622.1600000001</v>
      </c>
      <c r="R75" s="132">
        <v>0</v>
      </c>
      <c r="S75" s="81">
        <v>0</v>
      </c>
      <c r="T75" s="81">
        <v>0</v>
      </c>
      <c r="U75" s="81">
        <v>0</v>
      </c>
    </row>
    <row r="76" spans="1:21">
      <c r="A76" s="52"/>
      <c r="B76" s="42"/>
      <c r="C76" s="42"/>
      <c r="D76" s="42" t="s">
        <v>423</v>
      </c>
      <c r="E76" s="63">
        <f>SUM(F76:J76)</f>
        <v>41745</v>
      </c>
      <c r="F76" s="67"/>
      <c r="G76" s="67"/>
      <c r="H76" s="67">
        <v>14000</v>
      </c>
      <c r="I76" s="67">
        <v>2139</v>
      </c>
      <c r="J76" s="81">
        <v>25606</v>
      </c>
      <c r="K76" s="82">
        <f>O76/$O$77*100</f>
        <v>0</v>
      </c>
      <c r="L76" s="140">
        <f>$L$77*K76%</f>
        <v>0</v>
      </c>
      <c r="M76" s="131">
        <f t="shared" si="46"/>
        <v>41745000</v>
      </c>
      <c r="N76" s="300" t="str">
        <f>VARIOS!C324</f>
        <v>2.3.5.3.1.2.1.4.4</v>
      </c>
      <c r="O76" s="132">
        <f>P76+Q76</f>
        <v>0</v>
      </c>
      <c r="P76" s="132">
        <v>0</v>
      </c>
      <c r="Q76" s="132">
        <v>0</v>
      </c>
      <c r="R76" s="132">
        <f>VARIOS!E324*15%</f>
        <v>6779207.0039999997</v>
      </c>
      <c r="S76" s="81">
        <v>0</v>
      </c>
      <c r="T76" s="81">
        <v>0</v>
      </c>
      <c r="U76" s="81">
        <v>0</v>
      </c>
    </row>
    <row r="77" spans="1:21" s="69" customFormat="1">
      <c r="A77" s="51"/>
      <c r="B77" s="44" t="s">
        <v>150</v>
      </c>
      <c r="C77" s="44"/>
      <c r="D77" s="44"/>
      <c r="E77" s="65">
        <f>SUM(E75:E76)</f>
        <v>53745</v>
      </c>
      <c r="F77" s="65">
        <v>0</v>
      </c>
      <c r="G77" s="65">
        <v>12000</v>
      </c>
      <c r="H77" s="65">
        <v>14000</v>
      </c>
      <c r="I77" s="65">
        <v>2139</v>
      </c>
      <c r="J77" s="84">
        <v>25606</v>
      </c>
      <c r="K77" s="104">
        <v>100</v>
      </c>
      <c r="L77" s="103">
        <f>L78*K77%</f>
        <v>10424633.701780619</v>
      </c>
      <c r="M77" s="134">
        <f t="shared" si="46"/>
        <v>43320366.298219383</v>
      </c>
      <c r="N77" s="305"/>
      <c r="O77" s="135">
        <f>SUM(O75:O76)</f>
        <v>9974622.1600000001</v>
      </c>
      <c r="P77" s="135">
        <f t="shared" ref="P77:T77" si="51">SUM(P75:P76)</f>
        <v>0</v>
      </c>
      <c r="Q77" s="135">
        <f t="shared" si="51"/>
        <v>9974622.1600000001</v>
      </c>
      <c r="R77" s="139">
        <f t="shared" si="51"/>
        <v>6779207.0039999997</v>
      </c>
      <c r="S77" s="139">
        <f t="shared" si="51"/>
        <v>0</v>
      </c>
      <c r="T77" s="139">
        <f t="shared" si="51"/>
        <v>0</v>
      </c>
      <c r="U77" s="139">
        <f t="shared" ref="U77" si="52">SUM(U75:U76)</f>
        <v>0</v>
      </c>
    </row>
    <row r="78" spans="1:21" s="69" customFormat="1" ht="21">
      <c r="A78" s="51"/>
      <c r="B78" s="44" t="s">
        <v>218</v>
      </c>
      <c r="C78" s="44"/>
      <c r="D78" s="44"/>
      <c r="E78" s="66">
        <f>E77</f>
        <v>53745</v>
      </c>
      <c r="F78" s="66">
        <v>0</v>
      </c>
      <c r="G78" s="66">
        <v>12000</v>
      </c>
      <c r="H78" s="66">
        <v>14000</v>
      </c>
      <c r="I78" s="66">
        <v>2139</v>
      </c>
      <c r="J78" s="106">
        <v>25606</v>
      </c>
      <c r="K78" s="138">
        <f>O78/$O$99*100</f>
        <v>2.2468040010370705</v>
      </c>
      <c r="L78" s="106">
        <f>$L$6*K78%</f>
        <v>10424633.701780619</v>
      </c>
      <c r="M78" s="134">
        <f t="shared" si="46"/>
        <v>43320366.298219383</v>
      </c>
      <c r="N78" s="304"/>
      <c r="O78" s="66">
        <f t="shared" ref="O78:T78" si="53">O77</f>
        <v>9974622.1600000001</v>
      </c>
      <c r="P78" s="66">
        <f t="shared" si="53"/>
        <v>0</v>
      </c>
      <c r="Q78" s="66">
        <f t="shared" si="53"/>
        <v>9974622.1600000001</v>
      </c>
      <c r="R78" s="66">
        <f t="shared" si="53"/>
        <v>6779207.0039999997</v>
      </c>
      <c r="S78" s="66">
        <f t="shared" si="53"/>
        <v>0</v>
      </c>
      <c r="T78" s="66">
        <f t="shared" si="53"/>
        <v>0</v>
      </c>
      <c r="U78" s="66">
        <f t="shared" ref="U78" si="54">U77</f>
        <v>0</v>
      </c>
    </row>
    <row r="79" spans="1:21" ht="56.25">
      <c r="A79" s="52" t="s">
        <v>201</v>
      </c>
      <c r="B79" s="41" t="s">
        <v>406</v>
      </c>
      <c r="C79" s="42" t="s">
        <v>407</v>
      </c>
      <c r="D79" s="42" t="s">
        <v>202</v>
      </c>
      <c r="E79" s="63">
        <f t="shared" ref="E79:E86" si="55">SUM(F79:J79)</f>
        <v>9000</v>
      </c>
      <c r="F79" s="67">
        <v>0</v>
      </c>
      <c r="G79" s="67">
        <v>9000</v>
      </c>
      <c r="H79" s="67">
        <v>0</v>
      </c>
      <c r="I79" s="67">
        <v>0</v>
      </c>
      <c r="J79" s="81">
        <v>0</v>
      </c>
      <c r="K79" s="82">
        <f t="shared" ref="K79:K86" si="56">O79/$O$87*100</f>
        <v>20.484019118688259</v>
      </c>
      <c r="L79" s="140">
        <f>$L$87*K79%</f>
        <v>10555668.044270486</v>
      </c>
      <c r="M79" s="131">
        <f t="shared" si="46"/>
        <v>-1555668.0442704856</v>
      </c>
      <c r="N79" s="300" t="str">
        <f>VARIOS!C101&amp;"  -  "&amp;VARIOS!C106</f>
        <v>2.3.2.3.3.05.02  -  2.3.2.3.3.05.07</v>
      </c>
      <c r="O79" s="132">
        <f>P79+Q79+R79</f>
        <v>10100000</v>
      </c>
      <c r="P79" s="132">
        <v>0</v>
      </c>
      <c r="Q79" s="132">
        <f>VARIOS!E101</f>
        <v>3500000</v>
      </c>
      <c r="R79" s="132">
        <f>VARIOS!E106</f>
        <v>6600000</v>
      </c>
      <c r="S79" s="81">
        <v>0</v>
      </c>
      <c r="T79" s="81">
        <v>0</v>
      </c>
      <c r="U79" s="81">
        <v>0</v>
      </c>
    </row>
    <row r="80" spans="1:21" ht="33.75">
      <c r="A80" s="49"/>
      <c r="B80" s="42"/>
      <c r="C80" s="42"/>
      <c r="D80" s="42" t="s">
        <v>203</v>
      </c>
      <c r="E80" s="63">
        <f t="shared" si="55"/>
        <v>4000</v>
      </c>
      <c r="F80" s="67">
        <v>0</v>
      </c>
      <c r="G80" s="67">
        <v>2000</v>
      </c>
      <c r="H80" s="67">
        <v>2000</v>
      </c>
      <c r="I80" s="67">
        <v>0</v>
      </c>
      <c r="J80" s="81">
        <v>0</v>
      </c>
      <c r="K80" s="82">
        <f t="shared" si="56"/>
        <v>4.05624140964124</v>
      </c>
      <c r="L80" s="140">
        <f t="shared" ref="L80:L86" si="57">$L$87*K80%</f>
        <v>2090231.2958951457</v>
      </c>
      <c r="M80" s="131">
        <f t="shared" si="46"/>
        <v>1909768.7041048543</v>
      </c>
      <c r="N80" s="300" t="str">
        <f>VARIOS!C111&amp;"  -  "&amp;VARIOS!C112</f>
        <v>2.3.2.3.3.05.03  -  2.3.2.3.3.05.18</v>
      </c>
      <c r="O80" s="132">
        <f t="shared" ref="O80:O86" si="58">P80+Q80+R80</f>
        <v>2000000</v>
      </c>
      <c r="P80" s="132">
        <v>0</v>
      </c>
      <c r="Q80" s="132">
        <f>VARIOS!E111+VARIOS!E112</f>
        <v>2000000</v>
      </c>
      <c r="R80" s="132">
        <v>0</v>
      </c>
      <c r="S80" s="81">
        <v>0</v>
      </c>
      <c r="T80" s="81">
        <v>0</v>
      </c>
      <c r="U80" s="81">
        <v>0</v>
      </c>
    </row>
    <row r="81" spans="1:21" ht="45">
      <c r="A81" s="49"/>
      <c r="B81" s="42"/>
      <c r="C81" s="42"/>
      <c r="D81" s="41" t="s">
        <v>204</v>
      </c>
      <c r="E81" s="63">
        <f t="shared" si="55"/>
        <v>0</v>
      </c>
      <c r="F81" s="67">
        <v>0</v>
      </c>
      <c r="G81" s="67">
        <v>0</v>
      </c>
      <c r="H81" s="67">
        <v>0</v>
      </c>
      <c r="I81" s="67">
        <v>0</v>
      </c>
      <c r="J81" s="81">
        <v>0</v>
      </c>
      <c r="K81" s="82">
        <f t="shared" si="56"/>
        <v>0</v>
      </c>
      <c r="L81" s="140">
        <f t="shared" si="57"/>
        <v>0</v>
      </c>
      <c r="M81" s="131">
        <f t="shared" si="46"/>
        <v>0</v>
      </c>
      <c r="N81" s="300"/>
      <c r="O81" s="132">
        <f t="shared" si="58"/>
        <v>0</v>
      </c>
      <c r="P81" s="132">
        <v>0</v>
      </c>
      <c r="Q81" s="132">
        <v>0</v>
      </c>
      <c r="R81" s="132">
        <v>0</v>
      </c>
      <c r="S81" s="81">
        <v>0</v>
      </c>
      <c r="T81" s="81">
        <v>0</v>
      </c>
      <c r="U81" s="81">
        <v>0</v>
      </c>
    </row>
    <row r="82" spans="1:21" ht="67.5">
      <c r="A82" s="49"/>
      <c r="B82" s="42"/>
      <c r="C82" s="42"/>
      <c r="D82" s="42" t="s">
        <v>205</v>
      </c>
      <c r="E82" s="63">
        <f t="shared" si="55"/>
        <v>0</v>
      </c>
      <c r="F82" s="67">
        <v>0</v>
      </c>
      <c r="G82" s="67">
        <v>0</v>
      </c>
      <c r="H82" s="67">
        <v>0</v>
      </c>
      <c r="I82" s="67">
        <v>0</v>
      </c>
      <c r="J82" s="81">
        <v>0</v>
      </c>
      <c r="K82" s="82">
        <f t="shared" si="56"/>
        <v>12.224114233493074</v>
      </c>
      <c r="L82" s="140">
        <f t="shared" si="57"/>
        <v>6299237.0411465326</v>
      </c>
      <c r="M82" s="131">
        <f t="shared" si="46"/>
        <v>-6299237.0411465326</v>
      </c>
      <c r="N82" s="300" t="str">
        <f>VARIOS!C320&amp;"  -  "&amp;VARIOS!C96</f>
        <v>2.3.2.3.3.11.4  -  2.3.2.3.3.05.01</v>
      </c>
      <c r="O82" s="132">
        <f t="shared" si="58"/>
        <v>6027311</v>
      </c>
      <c r="P82" s="132">
        <f>VARIOS!E320</f>
        <v>3000000</v>
      </c>
      <c r="Q82" s="132">
        <f>VARIOS!E96</f>
        <v>3027311</v>
      </c>
      <c r="R82" s="132">
        <v>0</v>
      </c>
      <c r="S82" s="81">
        <v>0</v>
      </c>
      <c r="T82" s="81">
        <v>0</v>
      </c>
      <c r="U82" s="81">
        <v>0</v>
      </c>
    </row>
    <row r="83" spans="1:21" ht="68.25" thickBot="1">
      <c r="A83" s="49"/>
      <c r="B83" s="42"/>
      <c r="C83" s="42"/>
      <c r="D83" s="42" t="s">
        <v>206</v>
      </c>
      <c r="E83" s="63">
        <f t="shared" si="55"/>
        <v>30000</v>
      </c>
      <c r="F83" s="67">
        <v>5000</v>
      </c>
      <c r="G83" s="67">
        <v>25000</v>
      </c>
      <c r="H83" s="67">
        <v>0</v>
      </c>
      <c r="I83" s="67">
        <v>0</v>
      </c>
      <c r="J83" s="81">
        <v>0</v>
      </c>
      <c r="K83" s="82">
        <f t="shared" si="56"/>
        <v>63.235625238177427</v>
      </c>
      <c r="L83" s="140">
        <f t="shared" si="57"/>
        <v>32586098.690813866</v>
      </c>
      <c r="M83" s="131">
        <f t="shared" si="46"/>
        <v>-2586098.6908138655</v>
      </c>
      <c r="N83" s="300" t="str">
        <f>VARIOS!C318&amp;"  -  "&amp;VARIOS!C301&amp;"  -  "&amp;VARIOS!C325</f>
        <v>2.3.1.4.4.14  -  2.3.2.3.3.06.01  -  2.3.5.3.1.2.1.5</v>
      </c>
      <c r="O83" s="132">
        <f t="shared" si="58"/>
        <v>31179419</v>
      </c>
      <c r="P83" s="132">
        <f>VARIOS!E318</f>
        <v>3000000</v>
      </c>
      <c r="Q83" s="132">
        <f>VARIOS!E319</f>
        <v>27500000</v>
      </c>
      <c r="R83" s="132">
        <f>VARIOS!E325</f>
        <v>679419</v>
      </c>
      <c r="S83" s="81">
        <v>0</v>
      </c>
      <c r="T83" s="81">
        <v>0</v>
      </c>
      <c r="U83" s="81">
        <v>0</v>
      </c>
    </row>
    <row r="84" spans="1:21" ht="23.25" thickBot="1">
      <c r="A84" s="49"/>
      <c r="B84" s="42"/>
      <c r="C84" s="42"/>
      <c r="D84" s="53" t="s">
        <v>426</v>
      </c>
      <c r="E84" s="63">
        <f t="shared" si="55"/>
        <v>2000</v>
      </c>
      <c r="F84" s="67">
        <v>0</v>
      </c>
      <c r="G84" s="67">
        <v>2000</v>
      </c>
      <c r="H84" s="67">
        <v>0</v>
      </c>
      <c r="I84" s="67">
        <v>0</v>
      </c>
      <c r="J84" s="81">
        <v>0</v>
      </c>
      <c r="K84" s="82">
        <f t="shared" si="56"/>
        <v>0</v>
      </c>
      <c r="L84" s="140">
        <f t="shared" si="57"/>
        <v>0</v>
      </c>
      <c r="M84" s="131">
        <f t="shared" si="46"/>
        <v>2000000</v>
      </c>
      <c r="N84" s="300"/>
      <c r="O84" s="132">
        <f t="shared" si="58"/>
        <v>0</v>
      </c>
      <c r="P84" s="132">
        <v>0</v>
      </c>
      <c r="Q84" s="132">
        <v>0</v>
      </c>
      <c r="R84" s="132">
        <v>0</v>
      </c>
      <c r="S84" s="81">
        <v>0</v>
      </c>
      <c r="T84" s="81">
        <v>0</v>
      </c>
      <c r="U84" s="81">
        <v>0</v>
      </c>
    </row>
    <row r="85" spans="1:21" ht="45">
      <c r="A85" s="49"/>
      <c r="B85" s="42"/>
      <c r="C85" s="42" t="s">
        <v>268</v>
      </c>
      <c r="D85" s="42" t="s">
        <v>269</v>
      </c>
      <c r="E85" s="63">
        <f t="shared" si="55"/>
        <v>1000</v>
      </c>
      <c r="F85" s="67">
        <v>0</v>
      </c>
      <c r="G85" s="67">
        <v>1000</v>
      </c>
      <c r="H85" s="67">
        <v>0</v>
      </c>
      <c r="I85" s="67">
        <v>0</v>
      </c>
      <c r="J85" s="81">
        <v>0</v>
      </c>
      <c r="K85" s="82">
        <f t="shared" si="56"/>
        <v>0</v>
      </c>
      <c r="L85" s="140">
        <f t="shared" si="57"/>
        <v>0</v>
      </c>
      <c r="M85" s="131">
        <f t="shared" si="46"/>
        <v>1000000</v>
      </c>
      <c r="N85" s="300"/>
      <c r="O85" s="132">
        <f t="shared" si="58"/>
        <v>0</v>
      </c>
      <c r="P85" s="132">
        <v>0</v>
      </c>
      <c r="Q85" s="132">
        <v>0</v>
      </c>
      <c r="R85" s="132">
        <v>0</v>
      </c>
      <c r="S85" s="81">
        <v>0</v>
      </c>
      <c r="T85" s="81">
        <v>0</v>
      </c>
      <c r="U85" s="81">
        <v>0</v>
      </c>
    </row>
    <row r="86" spans="1:21" ht="22.5">
      <c r="A86" s="49"/>
      <c r="B86" s="42"/>
      <c r="C86" s="42"/>
      <c r="D86" s="42" t="s">
        <v>270</v>
      </c>
      <c r="E86" s="63">
        <f t="shared" si="55"/>
        <v>0</v>
      </c>
      <c r="F86" s="67">
        <v>0</v>
      </c>
      <c r="G86" s="67">
        <v>0</v>
      </c>
      <c r="H86" s="67">
        <v>0</v>
      </c>
      <c r="I86" s="67">
        <v>0</v>
      </c>
      <c r="J86" s="81">
        <v>0</v>
      </c>
      <c r="K86" s="82">
        <f t="shared" si="56"/>
        <v>0</v>
      </c>
      <c r="L86" s="140">
        <f t="shared" si="57"/>
        <v>0</v>
      </c>
      <c r="M86" s="131">
        <f t="shared" si="46"/>
        <v>0</v>
      </c>
      <c r="N86" s="300"/>
      <c r="O86" s="132">
        <f t="shared" si="58"/>
        <v>0</v>
      </c>
      <c r="P86" s="132">
        <v>0</v>
      </c>
      <c r="Q86" s="132">
        <v>0</v>
      </c>
      <c r="R86" s="132">
        <v>0</v>
      </c>
      <c r="S86" s="81">
        <v>0</v>
      </c>
      <c r="T86" s="81">
        <v>0</v>
      </c>
      <c r="U86" s="81">
        <v>0</v>
      </c>
    </row>
    <row r="87" spans="1:21" s="69" customFormat="1">
      <c r="A87" s="51"/>
      <c r="B87" s="44" t="s">
        <v>150</v>
      </c>
      <c r="C87" s="44"/>
      <c r="D87" s="44"/>
      <c r="E87" s="65">
        <f>SUM(E79:E86)</f>
        <v>46000</v>
      </c>
      <c r="F87" s="65">
        <v>5000</v>
      </c>
      <c r="G87" s="65">
        <v>39000</v>
      </c>
      <c r="H87" s="65">
        <v>2000</v>
      </c>
      <c r="I87" s="65">
        <v>0</v>
      </c>
      <c r="J87" s="84">
        <v>0</v>
      </c>
      <c r="K87" s="104">
        <v>100</v>
      </c>
      <c r="L87" s="103">
        <f>L88*K87%</f>
        <v>51531235.072126031</v>
      </c>
      <c r="M87" s="134">
        <f t="shared" si="46"/>
        <v>-5531235.0721260309</v>
      </c>
      <c r="N87" s="303"/>
      <c r="O87" s="65">
        <f t="shared" ref="O87:T87" si="59">SUM(O79:O86)</f>
        <v>49306730</v>
      </c>
      <c r="P87" s="65">
        <f t="shared" si="59"/>
        <v>6000000</v>
      </c>
      <c r="Q87" s="65">
        <f t="shared" si="59"/>
        <v>36027311</v>
      </c>
      <c r="R87" s="65">
        <f t="shared" si="59"/>
        <v>7279419</v>
      </c>
      <c r="S87" s="65">
        <f t="shared" si="59"/>
        <v>0</v>
      </c>
      <c r="T87" s="65">
        <f t="shared" si="59"/>
        <v>0</v>
      </c>
      <c r="U87" s="65">
        <f t="shared" ref="U87" si="60">SUM(U79:U86)</f>
        <v>0</v>
      </c>
    </row>
    <row r="88" spans="1:21" s="69" customFormat="1" ht="21">
      <c r="A88" s="51"/>
      <c r="B88" s="44" t="s">
        <v>376</v>
      </c>
      <c r="C88" s="44"/>
      <c r="D88" s="44"/>
      <c r="E88" s="66">
        <f>E87</f>
        <v>46000</v>
      </c>
      <c r="F88" s="66">
        <v>5000</v>
      </c>
      <c r="G88" s="66">
        <v>39000</v>
      </c>
      <c r="H88" s="66">
        <v>2000</v>
      </c>
      <c r="I88" s="66">
        <v>0</v>
      </c>
      <c r="J88" s="106">
        <v>0</v>
      </c>
      <c r="K88" s="138">
        <f>O88/$O$99*100</f>
        <v>11.106441573928706</v>
      </c>
      <c r="L88" s="106">
        <f>$L$6*K88%</f>
        <v>51531235.072126031</v>
      </c>
      <c r="M88" s="134">
        <f t="shared" si="46"/>
        <v>-5531235.0721260309</v>
      </c>
      <c r="N88" s="304"/>
      <c r="O88" s="66">
        <f t="shared" ref="O88:T88" si="61">O87</f>
        <v>49306730</v>
      </c>
      <c r="P88" s="66">
        <f t="shared" si="61"/>
        <v>6000000</v>
      </c>
      <c r="Q88" s="66">
        <f t="shared" si="61"/>
        <v>36027311</v>
      </c>
      <c r="R88" s="66">
        <f t="shared" si="61"/>
        <v>7279419</v>
      </c>
      <c r="S88" s="66">
        <f t="shared" si="61"/>
        <v>0</v>
      </c>
      <c r="T88" s="66">
        <f t="shared" si="61"/>
        <v>0</v>
      </c>
      <c r="U88" s="66">
        <f t="shared" ref="U88" si="62">U87</f>
        <v>0</v>
      </c>
    </row>
    <row r="89" spans="1:21" ht="45">
      <c r="A89" s="52" t="s">
        <v>207</v>
      </c>
      <c r="B89" s="42" t="s">
        <v>208</v>
      </c>
      <c r="C89" s="42" t="s">
        <v>408</v>
      </c>
      <c r="D89" s="42" t="s">
        <v>209</v>
      </c>
      <c r="E89" s="63">
        <f>SUM(F89:J89)</f>
        <v>2500</v>
      </c>
      <c r="F89" s="67">
        <v>0</v>
      </c>
      <c r="G89" s="67">
        <v>2500</v>
      </c>
      <c r="H89" s="67">
        <v>0</v>
      </c>
      <c r="I89" s="67">
        <v>0</v>
      </c>
      <c r="J89" s="81">
        <v>0</v>
      </c>
      <c r="K89" s="82">
        <f>O89/$O$91*100</f>
        <v>100</v>
      </c>
      <c r="L89" s="140">
        <f>$L$91*K89%</f>
        <v>1045115.6479475728</v>
      </c>
      <c r="M89" s="131">
        <f t="shared" si="46"/>
        <v>1454884.3520524274</v>
      </c>
      <c r="N89" s="300" t="str">
        <f>VARIOS!C117</f>
        <v>2.3.2.3.3.05.05</v>
      </c>
      <c r="O89" s="132">
        <f>P89+Q89</f>
        <v>1000000</v>
      </c>
      <c r="P89" s="132">
        <v>0</v>
      </c>
      <c r="Q89" s="132">
        <f>VARIOS!E117</f>
        <v>1000000</v>
      </c>
      <c r="R89" s="132">
        <v>0</v>
      </c>
      <c r="S89" s="81">
        <v>0</v>
      </c>
      <c r="T89" s="81">
        <v>0</v>
      </c>
      <c r="U89" s="81">
        <v>0</v>
      </c>
    </row>
    <row r="90" spans="1:21" ht="22.5">
      <c r="A90" s="49"/>
      <c r="B90" s="42"/>
      <c r="C90" s="42"/>
      <c r="D90" s="42" t="s">
        <v>210</v>
      </c>
      <c r="E90" s="63">
        <f>SUM(F90:J90)</f>
        <v>5000</v>
      </c>
      <c r="F90" s="67">
        <v>0</v>
      </c>
      <c r="G90" s="67">
        <v>5000</v>
      </c>
      <c r="H90" s="67">
        <v>0</v>
      </c>
      <c r="I90" s="67">
        <v>0</v>
      </c>
      <c r="J90" s="81">
        <v>0</v>
      </c>
      <c r="K90" s="82">
        <f>O90/$O$91*100</f>
        <v>0</v>
      </c>
      <c r="L90" s="140">
        <f>$L$91*K90%</f>
        <v>0</v>
      </c>
      <c r="M90" s="131">
        <f t="shared" si="46"/>
        <v>5000000</v>
      </c>
      <c r="N90" s="300"/>
      <c r="O90" s="132">
        <f>P90+Q90</f>
        <v>0</v>
      </c>
      <c r="P90" s="132">
        <v>0</v>
      </c>
      <c r="Q90" s="132">
        <v>0</v>
      </c>
      <c r="R90" s="132">
        <v>0</v>
      </c>
      <c r="S90" s="81">
        <v>0</v>
      </c>
      <c r="T90" s="81">
        <v>0</v>
      </c>
      <c r="U90" s="81">
        <v>0</v>
      </c>
    </row>
    <row r="91" spans="1:21" s="69" customFormat="1">
      <c r="A91" s="51"/>
      <c r="B91" s="44" t="s">
        <v>150</v>
      </c>
      <c r="C91" s="44"/>
      <c r="D91" s="44"/>
      <c r="E91" s="65">
        <f>SUM(E89:E90)</f>
        <v>7500</v>
      </c>
      <c r="F91" s="65">
        <v>0</v>
      </c>
      <c r="G91" s="65">
        <v>7500</v>
      </c>
      <c r="H91" s="65">
        <v>0</v>
      </c>
      <c r="I91" s="65">
        <v>0</v>
      </c>
      <c r="J91" s="84">
        <v>0</v>
      </c>
      <c r="K91" s="104">
        <f>O91/$O$98*100</f>
        <v>100</v>
      </c>
      <c r="L91" s="103">
        <f>$L$98*K91%</f>
        <v>1045115.6479475728</v>
      </c>
      <c r="M91" s="134">
        <f t="shared" si="46"/>
        <v>6454884.3520524269</v>
      </c>
      <c r="N91" s="303"/>
      <c r="O91" s="65">
        <f t="shared" ref="O91:U91" si="63">SUM(O89:O90)</f>
        <v>1000000</v>
      </c>
      <c r="P91" s="65">
        <f t="shared" si="63"/>
        <v>0</v>
      </c>
      <c r="Q91" s="65">
        <f t="shared" si="63"/>
        <v>1000000</v>
      </c>
      <c r="R91" s="65">
        <f t="shared" si="63"/>
        <v>0</v>
      </c>
      <c r="S91" s="65">
        <f t="shared" si="63"/>
        <v>0</v>
      </c>
      <c r="T91" s="65">
        <f t="shared" si="63"/>
        <v>0</v>
      </c>
      <c r="U91" s="65">
        <f t="shared" si="63"/>
        <v>0</v>
      </c>
    </row>
    <row r="92" spans="1:21" ht="45">
      <c r="A92" s="49"/>
      <c r="B92" s="42" t="s">
        <v>211</v>
      </c>
      <c r="C92" s="42" t="s">
        <v>409</v>
      </c>
      <c r="D92" s="42" t="s">
        <v>212</v>
      </c>
      <c r="E92" s="63">
        <f>SUM(F92:J92)</f>
        <v>0</v>
      </c>
      <c r="F92" s="67">
        <v>0</v>
      </c>
      <c r="G92" s="67">
        <v>0</v>
      </c>
      <c r="H92" s="67">
        <v>0</v>
      </c>
      <c r="I92" s="67">
        <v>0</v>
      </c>
      <c r="J92" s="81">
        <v>0</v>
      </c>
      <c r="K92" s="82">
        <v>0</v>
      </c>
      <c r="L92" s="140">
        <f>$L$97*K92%</f>
        <v>0</v>
      </c>
      <c r="M92" s="131">
        <f t="shared" si="46"/>
        <v>0</v>
      </c>
      <c r="N92" s="300"/>
      <c r="O92" s="132">
        <f>P92+Q92</f>
        <v>0</v>
      </c>
      <c r="P92" s="132">
        <v>0</v>
      </c>
      <c r="Q92" s="132">
        <v>0</v>
      </c>
      <c r="R92" s="132">
        <v>0</v>
      </c>
      <c r="S92" s="81">
        <v>0</v>
      </c>
      <c r="T92" s="81">
        <v>0</v>
      </c>
      <c r="U92" s="81">
        <v>0</v>
      </c>
    </row>
    <row r="93" spans="1:21" ht="22.5">
      <c r="A93" s="49"/>
      <c r="B93" s="42"/>
      <c r="C93" s="42"/>
      <c r="D93" s="42" t="s">
        <v>511</v>
      </c>
      <c r="E93" s="63">
        <f>SUM(F93:J93)</f>
        <v>8000</v>
      </c>
      <c r="F93" s="67">
        <v>0</v>
      </c>
      <c r="G93" s="67">
        <v>8000</v>
      </c>
      <c r="H93" s="67">
        <v>0</v>
      </c>
      <c r="I93" s="67">
        <v>0</v>
      </c>
      <c r="J93" s="81">
        <v>0</v>
      </c>
      <c r="K93" s="82">
        <v>0</v>
      </c>
      <c r="L93" s="140">
        <f>$L$97*K93%</f>
        <v>0</v>
      </c>
      <c r="M93" s="131">
        <f t="shared" si="46"/>
        <v>8000000</v>
      </c>
      <c r="N93" s="300"/>
      <c r="O93" s="132">
        <f>P93+Q93</f>
        <v>0</v>
      </c>
      <c r="P93" s="132">
        <v>0</v>
      </c>
      <c r="Q93" s="132">
        <v>0</v>
      </c>
      <c r="R93" s="132">
        <v>0</v>
      </c>
      <c r="S93" s="81">
        <v>0</v>
      </c>
      <c r="T93" s="81">
        <v>0</v>
      </c>
      <c r="U93" s="81">
        <v>0</v>
      </c>
    </row>
    <row r="94" spans="1:21" ht="22.5">
      <c r="A94" s="49"/>
      <c r="B94" s="42"/>
      <c r="C94" s="42"/>
      <c r="D94" s="42" t="s">
        <v>213</v>
      </c>
      <c r="E94" s="63">
        <f>SUM(F94:J94)</f>
        <v>1000</v>
      </c>
      <c r="F94" s="67">
        <v>0</v>
      </c>
      <c r="G94" s="67">
        <v>1000</v>
      </c>
      <c r="H94" s="67">
        <v>0</v>
      </c>
      <c r="I94" s="67">
        <v>0</v>
      </c>
      <c r="J94" s="81">
        <v>0</v>
      </c>
      <c r="K94" s="82">
        <v>0</v>
      </c>
      <c r="L94" s="140">
        <f>$L$97*K94%</f>
        <v>0</v>
      </c>
      <c r="M94" s="131">
        <f t="shared" si="46"/>
        <v>1000000</v>
      </c>
      <c r="N94" s="300"/>
      <c r="O94" s="132">
        <f>P94+Q94</f>
        <v>0</v>
      </c>
      <c r="P94" s="132">
        <v>0</v>
      </c>
      <c r="Q94" s="132">
        <v>0</v>
      </c>
      <c r="R94" s="132">
        <v>0</v>
      </c>
      <c r="S94" s="81">
        <v>0</v>
      </c>
      <c r="T94" s="81">
        <v>0</v>
      </c>
      <c r="U94" s="81">
        <v>0</v>
      </c>
    </row>
    <row r="95" spans="1:21" ht="67.5">
      <c r="A95" s="49"/>
      <c r="B95" s="42"/>
      <c r="C95" s="42"/>
      <c r="D95" s="42" t="s">
        <v>271</v>
      </c>
      <c r="E95" s="63">
        <f>SUM(F95:J95)</f>
        <v>4500</v>
      </c>
      <c r="F95" s="67">
        <v>0</v>
      </c>
      <c r="G95" s="67">
        <v>3000</v>
      </c>
      <c r="H95" s="67">
        <v>1500</v>
      </c>
      <c r="I95" s="67">
        <v>0</v>
      </c>
      <c r="J95" s="81">
        <v>0</v>
      </c>
      <c r="K95" s="82">
        <v>0</v>
      </c>
      <c r="L95" s="140">
        <f>$L$97*K95%</f>
        <v>0</v>
      </c>
      <c r="M95" s="131">
        <f t="shared" si="46"/>
        <v>4500000</v>
      </c>
      <c r="N95" s="300"/>
      <c r="O95" s="132">
        <f>P95+Q95</f>
        <v>0</v>
      </c>
      <c r="P95" s="132">
        <v>0</v>
      </c>
      <c r="Q95" s="132">
        <v>0</v>
      </c>
      <c r="R95" s="132">
        <v>0</v>
      </c>
      <c r="S95" s="81">
        <v>0</v>
      </c>
      <c r="T95" s="81">
        <v>0</v>
      </c>
      <c r="U95" s="81">
        <v>0</v>
      </c>
    </row>
    <row r="96" spans="1:21">
      <c r="A96" s="49"/>
      <c r="B96" s="42"/>
      <c r="C96" s="42"/>
      <c r="D96" s="42" t="s">
        <v>272</v>
      </c>
      <c r="E96" s="63">
        <f>SUM(F96:J96)</f>
        <v>3000</v>
      </c>
      <c r="F96" s="67">
        <v>0</v>
      </c>
      <c r="G96" s="67">
        <v>3000</v>
      </c>
      <c r="H96" s="67">
        <v>0</v>
      </c>
      <c r="I96" s="67">
        <v>0</v>
      </c>
      <c r="J96" s="81">
        <v>0</v>
      </c>
      <c r="K96" s="82">
        <v>0</v>
      </c>
      <c r="L96" s="140">
        <f>$L$97*K96%</f>
        <v>0</v>
      </c>
      <c r="M96" s="131">
        <f t="shared" si="46"/>
        <v>3000000</v>
      </c>
      <c r="N96" s="300"/>
      <c r="O96" s="132">
        <f>P96+Q96</f>
        <v>0</v>
      </c>
      <c r="P96" s="132">
        <v>0</v>
      </c>
      <c r="Q96" s="132">
        <v>0</v>
      </c>
      <c r="R96" s="132">
        <v>0</v>
      </c>
      <c r="S96" s="81">
        <v>0</v>
      </c>
      <c r="T96" s="81">
        <v>0</v>
      </c>
      <c r="U96" s="81">
        <v>0</v>
      </c>
    </row>
    <row r="97" spans="1:21" s="69" customFormat="1">
      <c r="A97" s="51"/>
      <c r="B97" s="44" t="s">
        <v>150</v>
      </c>
      <c r="C97" s="44"/>
      <c r="D97" s="44"/>
      <c r="E97" s="65">
        <f>SUM(E92:E96)</f>
        <v>16500</v>
      </c>
      <c r="F97" s="65">
        <v>0</v>
      </c>
      <c r="G97" s="65">
        <v>15000</v>
      </c>
      <c r="H97" s="65">
        <v>1500</v>
      </c>
      <c r="I97" s="65">
        <v>0</v>
      </c>
      <c r="J97" s="84">
        <v>0</v>
      </c>
      <c r="K97" s="104">
        <f>O97/$O$98*100</f>
        <v>0</v>
      </c>
      <c r="L97" s="103">
        <f>$L$98*K97%</f>
        <v>0</v>
      </c>
      <c r="M97" s="134">
        <f t="shared" si="46"/>
        <v>16500000</v>
      </c>
      <c r="N97" s="303"/>
      <c r="O97" s="65">
        <f t="shared" ref="O97:U97" si="64">SUM(O92:O96)</f>
        <v>0</v>
      </c>
      <c r="P97" s="65">
        <f t="shared" si="64"/>
        <v>0</v>
      </c>
      <c r="Q97" s="65">
        <f t="shared" si="64"/>
        <v>0</v>
      </c>
      <c r="R97" s="65">
        <f t="shared" si="64"/>
        <v>0</v>
      </c>
      <c r="S97" s="65">
        <f t="shared" si="64"/>
        <v>0</v>
      </c>
      <c r="T97" s="65">
        <f t="shared" si="64"/>
        <v>0</v>
      </c>
      <c r="U97" s="65">
        <f t="shared" si="64"/>
        <v>0</v>
      </c>
    </row>
    <row r="98" spans="1:21" s="69" customFormat="1">
      <c r="A98" s="51"/>
      <c r="B98" s="44" t="s">
        <v>216</v>
      </c>
      <c r="C98" s="44"/>
      <c r="D98" s="44"/>
      <c r="E98" s="66">
        <f>E91+E97</f>
        <v>24000</v>
      </c>
      <c r="F98" s="66">
        <v>0</v>
      </c>
      <c r="G98" s="66">
        <v>22500</v>
      </c>
      <c r="H98" s="66">
        <v>1500</v>
      </c>
      <c r="I98" s="66">
        <v>0</v>
      </c>
      <c r="J98" s="106">
        <v>0</v>
      </c>
      <c r="K98" s="138">
        <f>O98/$O$99*100</f>
        <v>0.22525204112965319</v>
      </c>
      <c r="L98" s="106">
        <f>$L$6*K98%</f>
        <v>1045115.6479475728</v>
      </c>
      <c r="M98" s="134">
        <f t="shared" si="46"/>
        <v>22954884.352052428</v>
      </c>
      <c r="N98" s="304"/>
      <c r="O98" s="66">
        <f t="shared" ref="O98:T98" si="65">O91+O97</f>
        <v>1000000</v>
      </c>
      <c r="P98" s="66">
        <f t="shared" si="65"/>
        <v>0</v>
      </c>
      <c r="Q98" s="66">
        <f t="shared" si="65"/>
        <v>1000000</v>
      </c>
      <c r="R98" s="66">
        <f t="shared" si="65"/>
        <v>0</v>
      </c>
      <c r="S98" s="66">
        <f t="shared" si="65"/>
        <v>0</v>
      </c>
      <c r="T98" s="66">
        <f t="shared" si="65"/>
        <v>0</v>
      </c>
      <c r="U98" s="66">
        <f t="shared" ref="U98" si="66">U91+U97</f>
        <v>0</v>
      </c>
    </row>
    <row r="99" spans="1:21" s="71" customFormat="1" ht="21">
      <c r="A99" s="51"/>
      <c r="B99" s="51" t="s">
        <v>377</v>
      </c>
      <c r="C99" s="51"/>
      <c r="D99" s="51"/>
      <c r="E99" s="70">
        <f>E27+E45+E65+E74+E78+E88+E98</f>
        <v>490245</v>
      </c>
      <c r="F99" s="70">
        <v>34500</v>
      </c>
      <c r="G99" s="70">
        <v>361500</v>
      </c>
      <c r="H99" s="70">
        <v>58500</v>
      </c>
      <c r="I99" s="70">
        <v>10139</v>
      </c>
      <c r="J99" s="141">
        <v>25606</v>
      </c>
      <c r="K99" s="82">
        <v>100</v>
      </c>
      <c r="L99" s="141">
        <f>L6</f>
        <v>463976105.48000002</v>
      </c>
      <c r="M99" s="134">
        <f t="shared" si="46"/>
        <v>26268894.519999981</v>
      </c>
      <c r="N99" s="306"/>
      <c r="O99" s="70">
        <f t="shared" ref="O99:T99" si="67">O27+O45+O65+O74+O78+O88+O98</f>
        <v>443947142.49200004</v>
      </c>
      <c r="P99" s="70">
        <f t="shared" si="67"/>
        <v>39343605.899999999</v>
      </c>
      <c r="Q99" s="70">
        <f t="shared" si="67"/>
        <v>265690674.56</v>
      </c>
      <c r="R99" s="70">
        <f t="shared" si="67"/>
        <v>145087069.03599998</v>
      </c>
      <c r="S99" s="70">
        <f t="shared" si="67"/>
        <v>0</v>
      </c>
      <c r="T99" s="70">
        <f t="shared" si="67"/>
        <v>0</v>
      </c>
      <c r="U99" s="70">
        <f t="shared" ref="U99" si="68">U27+U45+U65+U74+U78+U88+U98</f>
        <v>605000</v>
      </c>
    </row>
    <row r="100" spans="1:21">
      <c r="D100" s="54"/>
      <c r="J100" s="142"/>
      <c r="K100" s="142"/>
      <c r="L100" s="143"/>
      <c r="M100" s="143"/>
      <c r="N100" s="143"/>
      <c r="O100" s="144"/>
      <c r="P100" s="144"/>
      <c r="Q100" s="144"/>
      <c r="R100" s="144"/>
      <c r="S100" s="144"/>
      <c r="T100" s="144"/>
      <c r="U100" s="144"/>
    </row>
    <row r="101" spans="1:21">
      <c r="J101" s="142"/>
      <c r="K101" s="142"/>
      <c r="L101" s="143"/>
      <c r="M101" s="143"/>
      <c r="N101" s="143"/>
      <c r="O101" s="144"/>
      <c r="P101" s="144"/>
      <c r="Q101" s="144"/>
      <c r="R101" s="144"/>
      <c r="S101" s="144"/>
      <c r="T101" s="144"/>
      <c r="U101" s="144"/>
    </row>
    <row r="102" spans="1:21">
      <c r="J102" s="142"/>
      <c r="K102" s="142"/>
      <c r="L102" s="143"/>
      <c r="M102" s="143"/>
      <c r="N102" s="143"/>
      <c r="O102" s="144"/>
      <c r="P102" s="144"/>
      <c r="Q102" s="144"/>
      <c r="R102" s="144"/>
      <c r="S102" s="144"/>
      <c r="T102" s="144"/>
      <c r="U102" s="144"/>
    </row>
    <row r="103" spans="1:21">
      <c r="J103" s="142"/>
      <c r="K103" s="142"/>
      <c r="L103" s="143"/>
      <c r="M103" s="143"/>
      <c r="N103" s="143"/>
      <c r="O103" s="144"/>
      <c r="P103" s="144"/>
      <c r="Q103" s="144"/>
      <c r="R103" s="144"/>
      <c r="S103" s="144"/>
      <c r="T103" s="144"/>
      <c r="U103" s="144"/>
    </row>
    <row r="104" spans="1:21">
      <c r="B104" s="335" t="s">
        <v>1225</v>
      </c>
      <c r="C104" s="335"/>
      <c r="J104" s="142"/>
      <c r="K104" s="336" t="s">
        <v>1224</v>
      </c>
      <c r="L104" s="336"/>
      <c r="M104" s="336"/>
      <c r="N104" s="336"/>
      <c r="O104" s="336"/>
      <c r="P104" s="144"/>
      <c r="Q104" s="144"/>
      <c r="R104" s="336" t="s">
        <v>1279</v>
      </c>
      <c r="S104" s="336"/>
      <c r="T104" s="336"/>
      <c r="U104" s="144"/>
    </row>
    <row r="105" spans="1:21">
      <c r="B105" s="334" t="s">
        <v>1276</v>
      </c>
      <c r="C105" s="334"/>
      <c r="J105" s="142"/>
      <c r="K105" s="337" t="s">
        <v>1277</v>
      </c>
      <c r="L105" s="337"/>
      <c r="M105" s="337"/>
      <c r="N105" s="337"/>
      <c r="O105" s="337"/>
      <c r="P105" s="144"/>
      <c r="Q105" s="144"/>
      <c r="R105" s="337" t="s">
        <v>1278</v>
      </c>
      <c r="S105" s="337"/>
      <c r="T105" s="337"/>
      <c r="U105" s="144"/>
    </row>
    <row r="106" spans="1:21">
      <c r="J106" s="142"/>
      <c r="K106" s="142"/>
      <c r="L106" s="143"/>
      <c r="M106" s="143"/>
      <c r="N106" s="143"/>
      <c r="O106" s="144"/>
      <c r="P106" s="144"/>
      <c r="Q106" s="144"/>
      <c r="R106" s="144"/>
      <c r="S106" s="144"/>
      <c r="T106" s="144"/>
      <c r="U106" s="144"/>
    </row>
    <row r="107" spans="1:21">
      <c r="J107" s="142"/>
      <c r="K107" s="142"/>
      <c r="L107" s="143"/>
      <c r="M107" s="143"/>
      <c r="N107" s="143"/>
      <c r="O107" s="144"/>
      <c r="P107" s="144"/>
      <c r="Q107" s="144"/>
      <c r="R107" s="144"/>
      <c r="S107" s="144"/>
      <c r="T107" s="144"/>
      <c r="U107" s="144"/>
    </row>
    <row r="108" spans="1:21">
      <c r="J108" s="142"/>
      <c r="K108" s="142"/>
      <c r="L108" s="143"/>
      <c r="M108" s="143"/>
      <c r="N108" s="143"/>
      <c r="O108" s="144"/>
      <c r="P108" s="144"/>
      <c r="Q108" s="144"/>
      <c r="R108" s="144"/>
      <c r="S108" s="144"/>
      <c r="T108" s="144"/>
      <c r="U108" s="144"/>
    </row>
    <row r="109" spans="1:21">
      <c r="J109" s="142"/>
      <c r="K109" s="142"/>
      <c r="L109" s="143"/>
      <c r="M109" s="143"/>
      <c r="N109" s="143"/>
      <c r="O109" s="144"/>
      <c r="P109" s="144"/>
      <c r="Q109" s="144"/>
      <c r="R109" s="144"/>
      <c r="S109" s="144"/>
      <c r="T109" s="144"/>
      <c r="U109" s="144"/>
    </row>
    <row r="110" spans="1:21">
      <c r="J110" s="142"/>
      <c r="K110" s="142"/>
      <c r="L110" s="143"/>
      <c r="M110" s="143"/>
      <c r="N110" s="143"/>
      <c r="O110" s="144"/>
      <c r="P110" s="144"/>
      <c r="Q110" s="144"/>
      <c r="R110" s="144"/>
      <c r="S110" s="144"/>
      <c r="T110" s="144"/>
      <c r="U110" s="144"/>
    </row>
    <row r="111" spans="1:21">
      <c r="J111" s="142"/>
      <c r="K111" s="142"/>
      <c r="L111" s="143"/>
      <c r="M111" s="143"/>
      <c r="N111" s="143"/>
      <c r="O111" s="144"/>
      <c r="P111" s="144"/>
      <c r="Q111" s="144"/>
      <c r="R111" s="144"/>
      <c r="S111" s="144"/>
      <c r="T111" s="144"/>
      <c r="U111" s="144"/>
    </row>
    <row r="112" spans="1:21">
      <c r="J112" s="142"/>
      <c r="K112" s="142"/>
      <c r="L112" s="143"/>
      <c r="M112" s="143"/>
      <c r="N112" s="143"/>
      <c r="O112" s="144"/>
      <c r="P112" s="144"/>
      <c r="Q112" s="144"/>
      <c r="R112" s="144"/>
      <c r="S112" s="144"/>
      <c r="T112" s="144"/>
      <c r="U112" s="144"/>
    </row>
    <row r="113" spans="10:21">
      <c r="J113" s="142"/>
      <c r="K113" s="142"/>
      <c r="L113" s="143"/>
      <c r="M113" s="143"/>
      <c r="N113" s="143"/>
      <c r="O113" s="144"/>
      <c r="P113" s="144"/>
      <c r="Q113" s="144"/>
      <c r="R113" s="144"/>
      <c r="S113" s="144"/>
      <c r="T113" s="144"/>
      <c r="U113" s="144"/>
    </row>
    <row r="114" spans="10:21">
      <c r="J114" s="142"/>
      <c r="K114" s="142"/>
      <c r="L114" s="143"/>
      <c r="M114" s="143"/>
      <c r="N114" s="143"/>
      <c r="O114" s="144"/>
      <c r="P114" s="144"/>
      <c r="Q114" s="144"/>
      <c r="R114" s="144"/>
      <c r="S114" s="144"/>
      <c r="T114" s="144"/>
      <c r="U114" s="144"/>
    </row>
    <row r="115" spans="10:21">
      <c r="J115" s="142"/>
      <c r="K115" s="142"/>
      <c r="L115" s="143"/>
      <c r="M115" s="143"/>
      <c r="N115" s="143"/>
      <c r="O115" s="144"/>
      <c r="P115" s="144"/>
      <c r="Q115" s="144"/>
      <c r="R115" s="144"/>
      <c r="S115" s="144"/>
      <c r="T115" s="144"/>
      <c r="U115" s="144"/>
    </row>
    <row r="116" spans="10:21">
      <c r="J116" s="142"/>
      <c r="K116" s="142"/>
      <c r="L116" s="143"/>
      <c r="M116" s="143"/>
      <c r="N116" s="143"/>
      <c r="O116" s="144"/>
      <c r="P116" s="144"/>
      <c r="Q116" s="144"/>
      <c r="R116" s="144"/>
      <c r="S116" s="144"/>
      <c r="T116" s="144"/>
      <c r="U116" s="144"/>
    </row>
    <row r="117" spans="10:21">
      <c r="J117" s="142"/>
      <c r="K117" s="142"/>
      <c r="L117" s="143"/>
      <c r="M117" s="143"/>
      <c r="N117" s="143"/>
      <c r="O117" s="144"/>
      <c r="P117" s="144"/>
      <c r="Q117" s="144"/>
      <c r="R117" s="144"/>
      <c r="S117" s="144"/>
      <c r="T117" s="144"/>
      <c r="U117" s="144"/>
    </row>
    <row r="118" spans="10:21">
      <c r="J118" s="142"/>
      <c r="K118" s="142"/>
      <c r="L118" s="143"/>
      <c r="M118" s="143"/>
      <c r="N118" s="143"/>
      <c r="O118" s="144"/>
      <c r="P118" s="144"/>
      <c r="Q118" s="144"/>
      <c r="R118" s="144"/>
      <c r="S118" s="144"/>
      <c r="T118" s="144"/>
      <c r="U118" s="144"/>
    </row>
    <row r="119" spans="10:21">
      <c r="J119" s="142"/>
      <c r="K119" s="142"/>
      <c r="L119" s="143"/>
      <c r="M119" s="143"/>
      <c r="N119" s="143"/>
      <c r="O119" s="144"/>
      <c r="P119" s="144"/>
      <c r="Q119" s="144"/>
      <c r="R119" s="144"/>
      <c r="S119" s="144"/>
      <c r="T119" s="144"/>
      <c r="U119" s="144"/>
    </row>
    <row r="120" spans="10:21">
      <c r="J120" s="142"/>
      <c r="K120" s="142"/>
      <c r="L120" s="143"/>
      <c r="M120" s="143"/>
      <c r="N120" s="143"/>
      <c r="O120" s="144"/>
      <c r="P120" s="144"/>
      <c r="Q120" s="144"/>
      <c r="R120" s="144"/>
      <c r="S120" s="144"/>
      <c r="T120" s="144"/>
      <c r="U120" s="144"/>
    </row>
    <row r="121" spans="10:21">
      <c r="J121" s="142"/>
      <c r="K121" s="142"/>
      <c r="L121" s="143"/>
      <c r="M121" s="143"/>
      <c r="N121" s="143"/>
      <c r="O121" s="144"/>
      <c r="P121" s="144"/>
      <c r="Q121" s="144"/>
      <c r="R121" s="144"/>
      <c r="S121" s="144"/>
      <c r="T121" s="144"/>
      <c r="U121" s="144"/>
    </row>
    <row r="122" spans="10:21">
      <c r="O122" s="73"/>
      <c r="P122" s="73"/>
      <c r="Q122" s="73"/>
      <c r="R122" s="73"/>
      <c r="S122" s="73"/>
      <c r="T122" s="73"/>
      <c r="U122" s="73"/>
    </row>
    <row r="123" spans="10:21">
      <c r="O123" s="73"/>
      <c r="P123" s="73"/>
      <c r="Q123" s="73"/>
      <c r="R123" s="73"/>
      <c r="S123" s="73"/>
      <c r="T123" s="73"/>
      <c r="U123" s="73"/>
    </row>
    <row r="124" spans="10:21">
      <c r="O124" s="73"/>
      <c r="P124" s="73"/>
      <c r="Q124" s="73"/>
      <c r="R124" s="73"/>
      <c r="S124" s="73"/>
      <c r="T124" s="73"/>
      <c r="U124" s="73"/>
    </row>
    <row r="125" spans="10:21">
      <c r="O125" s="73"/>
      <c r="P125" s="73"/>
      <c r="Q125" s="73"/>
      <c r="R125" s="73"/>
      <c r="S125" s="73"/>
      <c r="T125" s="73"/>
      <c r="U125" s="73"/>
    </row>
    <row r="126" spans="10:21">
      <c r="O126" s="73"/>
      <c r="P126" s="73"/>
      <c r="Q126" s="73"/>
      <c r="R126" s="73"/>
      <c r="S126" s="73"/>
      <c r="T126" s="73"/>
      <c r="U126" s="73"/>
    </row>
    <row r="127" spans="10:21">
      <c r="O127" s="73"/>
      <c r="P127" s="73"/>
      <c r="Q127" s="73"/>
      <c r="R127" s="73"/>
      <c r="S127" s="73"/>
      <c r="T127" s="73"/>
      <c r="U127" s="73"/>
    </row>
    <row r="128" spans="10:21">
      <c r="O128" s="73"/>
      <c r="P128" s="73"/>
      <c r="Q128" s="73"/>
      <c r="R128" s="73"/>
      <c r="S128" s="73"/>
      <c r="T128" s="73"/>
      <c r="U128" s="73"/>
    </row>
    <row r="129" spans="15:21">
      <c r="O129" s="73"/>
      <c r="P129" s="73"/>
      <c r="Q129" s="73"/>
      <c r="R129" s="73"/>
      <c r="S129" s="73"/>
      <c r="T129" s="73"/>
      <c r="U129" s="73"/>
    </row>
    <row r="130" spans="15:21">
      <c r="O130" s="73"/>
      <c r="P130" s="73"/>
      <c r="Q130" s="73"/>
      <c r="R130" s="73"/>
      <c r="S130" s="73"/>
      <c r="T130" s="73"/>
      <c r="U130" s="73"/>
    </row>
    <row r="131" spans="15:21">
      <c r="O131" s="73"/>
      <c r="P131" s="73"/>
      <c r="Q131" s="73"/>
      <c r="R131" s="73"/>
      <c r="S131" s="73"/>
      <c r="T131" s="73"/>
      <c r="U131" s="73"/>
    </row>
    <row r="132" spans="15:21">
      <c r="O132" s="73"/>
      <c r="P132" s="73"/>
      <c r="Q132" s="73"/>
      <c r="R132" s="73"/>
      <c r="S132" s="73"/>
      <c r="T132" s="73"/>
      <c r="U132" s="73"/>
    </row>
    <row r="133" spans="15:21">
      <c r="O133" s="73"/>
      <c r="P133" s="73"/>
      <c r="Q133" s="73"/>
      <c r="R133" s="73"/>
      <c r="S133" s="73"/>
      <c r="T133" s="73"/>
      <c r="U133" s="73"/>
    </row>
    <row r="134" spans="15:21">
      <c r="O134" s="73"/>
      <c r="P134" s="73"/>
      <c r="Q134" s="73"/>
      <c r="R134" s="73"/>
      <c r="S134" s="73"/>
      <c r="T134" s="73"/>
      <c r="U134" s="73"/>
    </row>
    <row r="135" spans="15:21">
      <c r="O135" s="73"/>
      <c r="P135" s="73"/>
      <c r="Q135" s="73"/>
      <c r="R135" s="73"/>
      <c r="S135" s="73"/>
      <c r="T135" s="73"/>
      <c r="U135" s="73"/>
    </row>
    <row r="136" spans="15:21">
      <c r="O136" s="73"/>
      <c r="P136" s="73"/>
      <c r="Q136" s="73"/>
      <c r="R136" s="73"/>
      <c r="S136" s="73"/>
      <c r="T136" s="73"/>
      <c r="U136" s="73"/>
    </row>
    <row r="137" spans="15:21">
      <c r="O137" s="73"/>
      <c r="P137" s="73"/>
      <c r="Q137" s="73"/>
      <c r="R137" s="73"/>
      <c r="S137" s="73"/>
      <c r="T137" s="73"/>
      <c r="U137" s="73"/>
    </row>
    <row r="138" spans="15:21">
      <c r="O138" s="73"/>
      <c r="P138" s="73"/>
      <c r="Q138" s="73"/>
      <c r="R138" s="73"/>
      <c r="S138" s="73"/>
      <c r="T138" s="73"/>
      <c r="U138" s="73"/>
    </row>
    <row r="139" spans="15:21">
      <c r="O139" s="73"/>
      <c r="P139" s="73"/>
      <c r="Q139" s="73"/>
      <c r="R139" s="73"/>
      <c r="S139" s="73"/>
      <c r="T139" s="73"/>
      <c r="U139" s="73"/>
    </row>
    <row r="140" spans="15:21">
      <c r="O140" s="73"/>
      <c r="P140" s="73"/>
      <c r="Q140" s="73"/>
      <c r="R140" s="73"/>
      <c r="S140" s="73"/>
      <c r="T140" s="73"/>
      <c r="U140" s="73"/>
    </row>
    <row r="141" spans="15:21">
      <c r="O141" s="73"/>
      <c r="P141" s="73"/>
      <c r="Q141" s="73"/>
      <c r="R141" s="73"/>
      <c r="S141" s="73"/>
      <c r="T141" s="73"/>
      <c r="U141" s="73"/>
    </row>
    <row r="142" spans="15:21">
      <c r="O142" s="73"/>
      <c r="P142" s="73"/>
      <c r="Q142" s="73"/>
      <c r="R142" s="73"/>
      <c r="S142" s="73"/>
      <c r="T142" s="73"/>
      <c r="U142" s="73"/>
    </row>
    <row r="143" spans="15:21">
      <c r="O143" s="73"/>
      <c r="P143" s="73"/>
      <c r="Q143" s="73"/>
      <c r="R143" s="73"/>
      <c r="S143" s="73"/>
      <c r="T143" s="73"/>
      <c r="U143" s="73"/>
    </row>
    <row r="144" spans="15:21">
      <c r="O144" s="73"/>
      <c r="P144" s="73"/>
      <c r="Q144" s="73"/>
      <c r="R144" s="73"/>
      <c r="S144" s="73"/>
      <c r="T144" s="73"/>
      <c r="U144" s="73"/>
    </row>
    <row r="145" spans="15:21">
      <c r="O145" s="73"/>
      <c r="P145" s="73"/>
      <c r="Q145" s="73"/>
      <c r="R145" s="73"/>
      <c r="S145" s="73"/>
      <c r="T145" s="73"/>
      <c r="U145" s="73"/>
    </row>
    <row r="146" spans="15:21">
      <c r="O146" s="73"/>
      <c r="P146" s="73"/>
      <c r="Q146" s="73"/>
      <c r="R146" s="73"/>
      <c r="S146" s="73"/>
      <c r="T146" s="73"/>
      <c r="U146" s="73"/>
    </row>
  </sheetData>
  <mergeCells count="13">
    <mergeCell ref="U6:U7"/>
    <mergeCell ref="S6:T6"/>
    <mergeCell ref="H6:H7"/>
    <mergeCell ref="I6:J6"/>
    <mergeCell ref="E5:J5"/>
    <mergeCell ref="R6:R7"/>
    <mergeCell ref="O5:U5"/>
    <mergeCell ref="B105:C105"/>
    <mergeCell ref="B104:C104"/>
    <mergeCell ref="K104:O104"/>
    <mergeCell ref="K105:O105"/>
    <mergeCell ref="R104:T104"/>
    <mergeCell ref="R105:T105"/>
  </mergeCells>
  <phoneticPr fontId="0" type="noConversion"/>
  <pageMargins left="0.15748031496062992" right="0.11811023622047245" top="0.27559055118110237" bottom="0.55118110236220474" header="0" footer="0"/>
  <pageSetup paperSize="258" scale="85" orientation="landscape" r:id="rId1"/>
  <headerFooter alignWithMargins="0">
    <oddFooter>&amp;RPagina  No.&amp;P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72"/>
  <sheetViews>
    <sheetView zoomScale="115" workbookViewId="0">
      <selection activeCell="D48" sqref="D48"/>
    </sheetView>
  </sheetViews>
  <sheetFormatPr baseColWidth="10" defaultRowHeight="6.75"/>
  <cols>
    <col min="1" max="1" width="6.5703125" style="1" customWidth="1"/>
    <col min="2" max="2" width="11" style="2" customWidth="1"/>
    <col min="3" max="3" width="13.28515625" style="2" customWidth="1"/>
    <col min="4" max="4" width="30.28515625" style="2" customWidth="1"/>
    <col min="5" max="5" width="8.140625" style="2" hidden="1" customWidth="1"/>
    <col min="6" max="6" width="5.7109375" style="2" hidden="1" customWidth="1"/>
    <col min="7" max="7" width="6.42578125" style="2" hidden="1" customWidth="1"/>
    <col min="8" max="8" width="9.5703125" style="2" hidden="1" customWidth="1"/>
    <col min="9" max="9" width="4.85546875" style="2" hidden="1" customWidth="1"/>
    <col min="10" max="10" width="6" style="2" hidden="1" customWidth="1"/>
    <col min="11" max="11" width="10.42578125" style="2" customWidth="1"/>
    <col min="12" max="13" width="8.42578125" style="2" hidden="1" customWidth="1"/>
    <col min="14" max="14" width="24.140625" style="2" customWidth="1"/>
    <col min="15" max="20" width="9.42578125" style="2" customWidth="1"/>
    <col min="21" max="16384" width="11.42578125" style="2"/>
  </cols>
  <sheetData>
    <row r="2" spans="1:20" ht="12">
      <c r="A2" s="174" t="str">
        <f>SALUD!A2</f>
        <v>PLAN OPERATIVO ANUAL DE INVERSIONES 2011 LA CELIA RISARALDA.</v>
      </c>
      <c r="B2" s="175"/>
      <c r="D2" s="1"/>
      <c r="E2" s="1"/>
      <c r="N2" s="311"/>
      <c r="O2" s="311"/>
    </row>
    <row r="3" spans="1:20" ht="12">
      <c r="A3" s="174" t="s">
        <v>273</v>
      </c>
      <c r="B3" s="175"/>
      <c r="N3" s="309" t="s">
        <v>274</v>
      </c>
      <c r="O3" s="310">
        <v>2011</v>
      </c>
    </row>
    <row r="4" spans="1:20" ht="8.25">
      <c r="A4" s="174"/>
      <c r="B4" s="175"/>
    </row>
    <row r="5" spans="1:20" ht="8.25">
      <c r="A5" s="163"/>
      <c r="B5" s="164"/>
      <c r="C5" s="164"/>
      <c r="D5" s="163"/>
      <c r="E5" s="163"/>
      <c r="F5" s="350" t="str">
        <f>SALUD!F5</f>
        <v>PROGRAMACION</v>
      </c>
      <c r="G5" s="350"/>
      <c r="H5" s="350"/>
      <c r="I5" s="350"/>
      <c r="J5" s="350"/>
      <c r="K5" s="166"/>
      <c r="L5" s="166" t="s">
        <v>68</v>
      </c>
      <c r="M5" s="166"/>
      <c r="N5" s="169"/>
      <c r="O5" s="348" t="s">
        <v>180</v>
      </c>
      <c r="P5" s="348"/>
      <c r="Q5" s="348"/>
      <c r="R5" s="348"/>
      <c r="S5" s="348"/>
      <c r="T5" s="348"/>
    </row>
    <row r="6" spans="1:20" ht="24.75">
      <c r="A6" s="163" t="s">
        <v>138</v>
      </c>
      <c r="B6" s="164" t="s">
        <v>139</v>
      </c>
      <c r="C6" s="164" t="s">
        <v>140</v>
      </c>
      <c r="D6" s="163" t="s">
        <v>141</v>
      </c>
      <c r="E6" s="163" t="s">
        <v>142</v>
      </c>
      <c r="F6" s="167" t="s">
        <v>143</v>
      </c>
      <c r="G6" s="167" t="s">
        <v>144</v>
      </c>
      <c r="H6" s="349" t="s">
        <v>145</v>
      </c>
      <c r="I6" s="351" t="s">
        <v>146</v>
      </c>
      <c r="J6" s="351"/>
      <c r="K6" s="168" t="s">
        <v>66</v>
      </c>
      <c r="L6" s="166"/>
      <c r="M6" s="168" t="s">
        <v>430</v>
      </c>
      <c r="N6" s="170" t="s">
        <v>134</v>
      </c>
      <c r="O6" s="171" t="s">
        <v>69</v>
      </c>
      <c r="P6" s="172" t="s">
        <v>143</v>
      </c>
      <c r="Q6" s="172" t="s">
        <v>144</v>
      </c>
      <c r="R6" s="349" t="s">
        <v>145</v>
      </c>
      <c r="S6" s="352" t="s">
        <v>146</v>
      </c>
      <c r="T6" s="352"/>
    </row>
    <row r="7" spans="1:20" ht="8.25">
      <c r="A7" s="163"/>
      <c r="B7" s="164"/>
      <c r="C7" s="164"/>
      <c r="D7" s="163"/>
      <c r="E7" s="163"/>
      <c r="F7" s="165"/>
      <c r="G7" s="165"/>
      <c r="H7" s="349"/>
      <c r="I7" s="165" t="s">
        <v>147</v>
      </c>
      <c r="J7" s="165" t="s">
        <v>148</v>
      </c>
      <c r="K7" s="166"/>
      <c r="L7" s="166" t="s">
        <v>99</v>
      </c>
      <c r="M7" s="166"/>
      <c r="N7" s="169"/>
      <c r="O7" s="171"/>
      <c r="P7" s="172"/>
      <c r="Q7" s="172"/>
      <c r="R7" s="349"/>
      <c r="S7" s="172" t="s">
        <v>147</v>
      </c>
      <c r="T7" s="172" t="s">
        <v>148</v>
      </c>
    </row>
    <row r="8" spans="1:20" s="33" customFormat="1" ht="45">
      <c r="A8" s="99" t="s">
        <v>215</v>
      </c>
      <c r="B8" s="41" t="s">
        <v>227</v>
      </c>
      <c r="C8" s="41" t="s">
        <v>221</v>
      </c>
      <c r="D8" s="41" t="s">
        <v>350</v>
      </c>
      <c r="E8" s="80">
        <f t="shared" ref="E8:E16" si="0">SUM(F8:J8)</f>
        <v>110000</v>
      </c>
      <c r="F8" s="100">
        <v>10000</v>
      </c>
      <c r="G8" s="100">
        <v>30000</v>
      </c>
      <c r="H8" s="100">
        <v>50000</v>
      </c>
      <c r="I8" s="100">
        <v>20000</v>
      </c>
      <c r="J8" s="100">
        <v>0</v>
      </c>
      <c r="K8" s="101">
        <f t="shared" ref="K8:K16" si="1">O8/$O$17*100</f>
        <v>45.748425640335491</v>
      </c>
      <c r="L8" s="100"/>
      <c r="M8" s="100"/>
      <c r="N8" s="80" t="str">
        <f>VARIOS!C174&amp;"  -  "&amp;VARIOS!C178&amp;"  -  "&amp;VARIOS!C179&amp;"  -  "&amp;VARIOS!C180&amp;"  -  "&amp;VARIOS!C323&amp;"  -  "&amp;VARIOS!C332</f>
        <v>2.3.2.3.3.04.4  -  2.3.2.3.3.04.8  -  2.3.3.04  -  2.3.5.3.1.2.2.2.2  -  2.3.5.2.1.2  -  2.3.5.3.2.2.2.1</v>
      </c>
      <c r="O8" s="81">
        <f t="shared" ref="O8:O16" si="2">P8+Q8+R8+S8+T8</f>
        <v>288184442.81879997</v>
      </c>
      <c r="P8" s="100">
        <v>0</v>
      </c>
      <c r="Q8" s="100">
        <f>VARIOS!E174+VARIOS!E178</f>
        <v>5482465.5199999996</v>
      </c>
      <c r="R8" s="100">
        <f>VARIOS!E179+VARIOS!E180+VARIOS!E323*64%+VARIOS!E332*20%</f>
        <v>282701977.29879999</v>
      </c>
      <c r="S8" s="100">
        <v>0</v>
      </c>
      <c r="T8" s="100">
        <v>0</v>
      </c>
    </row>
    <row r="9" spans="1:20" s="33" customFormat="1" ht="22.5">
      <c r="A9" s="49"/>
      <c r="B9" s="102"/>
      <c r="C9" s="42"/>
      <c r="D9" s="41" t="s">
        <v>277</v>
      </c>
      <c r="E9" s="80">
        <f t="shared" si="0"/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101">
        <f t="shared" si="1"/>
        <v>23.115048723444048</v>
      </c>
      <c r="L9" s="81"/>
      <c r="M9" s="81"/>
      <c r="N9" s="80" t="str">
        <f>VARIOS!C172&amp;"  -  "&amp;VARIOS!C326&amp;"  -  "&amp;VARIOS!C332</f>
        <v>2.3.1.4.4.04  -  2.3.5.3.1.2.2.1.1  -  2.3.5.3.2.2.2.1</v>
      </c>
      <c r="O9" s="81">
        <f t="shared" si="2"/>
        <v>145609326.30700001</v>
      </c>
      <c r="P9" s="81">
        <f>VARIOS!E172</f>
        <v>3000000</v>
      </c>
      <c r="Q9" s="81">
        <v>0</v>
      </c>
      <c r="R9" s="81">
        <f>VARIOS!E326+VARIOS!E332*14%</f>
        <v>142609326.30700001</v>
      </c>
      <c r="S9" s="100">
        <v>0</v>
      </c>
      <c r="T9" s="100">
        <v>0</v>
      </c>
    </row>
    <row r="10" spans="1:20" s="33" customFormat="1" ht="11.25">
      <c r="A10" s="49"/>
      <c r="B10" s="42"/>
      <c r="C10" s="42"/>
      <c r="D10" s="42" t="s">
        <v>222</v>
      </c>
      <c r="E10" s="80">
        <f t="shared" si="0"/>
        <v>15000</v>
      </c>
      <c r="F10" s="81">
        <v>5000</v>
      </c>
      <c r="G10" s="81">
        <v>10000</v>
      </c>
      <c r="H10" s="81">
        <v>0</v>
      </c>
      <c r="I10" s="81">
        <v>0</v>
      </c>
      <c r="J10" s="81">
        <v>0</v>
      </c>
      <c r="K10" s="101">
        <f t="shared" si="1"/>
        <v>0</v>
      </c>
      <c r="L10" s="81"/>
      <c r="M10" s="81"/>
      <c r="N10" s="80"/>
      <c r="O10" s="81">
        <f t="shared" si="2"/>
        <v>0</v>
      </c>
      <c r="P10" s="81">
        <v>0</v>
      </c>
      <c r="Q10" s="81">
        <v>0</v>
      </c>
      <c r="R10" s="81">
        <v>0</v>
      </c>
      <c r="S10" s="100">
        <v>0</v>
      </c>
      <c r="T10" s="100">
        <v>0</v>
      </c>
    </row>
    <row r="11" spans="1:20" s="33" customFormat="1" ht="11.25">
      <c r="A11" s="49"/>
      <c r="B11" s="42"/>
      <c r="C11" s="42"/>
      <c r="D11" s="42" t="s">
        <v>228</v>
      </c>
      <c r="E11" s="80">
        <f t="shared" si="0"/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101">
        <f t="shared" si="1"/>
        <v>0</v>
      </c>
      <c r="L11" s="81"/>
      <c r="M11" s="81"/>
      <c r="N11" s="80"/>
      <c r="O11" s="81">
        <f t="shared" si="2"/>
        <v>0</v>
      </c>
      <c r="P11" s="81">
        <v>0</v>
      </c>
      <c r="Q11" s="81">
        <v>0</v>
      </c>
      <c r="R11" s="81">
        <v>0</v>
      </c>
      <c r="S11" s="100">
        <v>0</v>
      </c>
      <c r="T11" s="100">
        <v>0</v>
      </c>
    </row>
    <row r="12" spans="1:20" s="33" customFormat="1" ht="22.5">
      <c r="A12" s="49"/>
      <c r="B12" s="42"/>
      <c r="C12" s="42"/>
      <c r="D12" s="42" t="s">
        <v>223</v>
      </c>
      <c r="E12" s="80">
        <f t="shared" si="0"/>
        <v>125000</v>
      </c>
      <c r="F12" s="81">
        <v>15000</v>
      </c>
      <c r="G12" s="81">
        <v>40000</v>
      </c>
      <c r="H12" s="81">
        <v>50000</v>
      </c>
      <c r="I12" s="81">
        <v>20000</v>
      </c>
      <c r="J12" s="81">
        <v>0</v>
      </c>
      <c r="K12" s="101">
        <f t="shared" si="1"/>
        <v>0</v>
      </c>
      <c r="L12" s="81"/>
      <c r="M12" s="81"/>
      <c r="N12" s="80"/>
      <c r="O12" s="81">
        <f t="shared" si="2"/>
        <v>0</v>
      </c>
      <c r="P12" s="81">
        <v>0</v>
      </c>
      <c r="Q12" s="81">
        <v>0</v>
      </c>
      <c r="R12" s="81">
        <v>0</v>
      </c>
      <c r="S12" s="100">
        <v>0</v>
      </c>
      <c r="T12" s="100">
        <v>0</v>
      </c>
    </row>
    <row r="13" spans="1:20" s="33" customFormat="1" ht="22.5">
      <c r="A13" s="49"/>
      <c r="B13" s="42" t="s">
        <v>352</v>
      </c>
      <c r="C13" s="42" t="s">
        <v>229</v>
      </c>
      <c r="D13" s="42" t="s">
        <v>224</v>
      </c>
      <c r="E13" s="80">
        <f t="shared" si="0"/>
        <v>25000</v>
      </c>
      <c r="F13" s="81">
        <v>5000</v>
      </c>
      <c r="G13" s="81">
        <v>20000</v>
      </c>
      <c r="H13" s="81">
        <v>0</v>
      </c>
      <c r="I13" s="81">
        <v>0</v>
      </c>
      <c r="J13" s="81">
        <v>0</v>
      </c>
      <c r="K13" s="101">
        <f t="shared" si="1"/>
        <v>30.801360800160488</v>
      </c>
      <c r="L13" s="81"/>
      <c r="M13" s="81"/>
      <c r="N13" s="80" t="str">
        <f>VARIOS!C293</f>
        <v>2.3.5.3.2.2.1.3</v>
      </c>
      <c r="O13" s="81">
        <f t="shared" si="2"/>
        <v>194027944.69999999</v>
      </c>
      <c r="P13" s="137">
        <v>0</v>
      </c>
      <c r="Q13" s="81">
        <v>0</v>
      </c>
      <c r="R13" s="81">
        <f>VARIOS!E293</f>
        <v>194027944.69999999</v>
      </c>
      <c r="S13" s="100">
        <v>0</v>
      </c>
      <c r="T13" s="100">
        <v>0</v>
      </c>
    </row>
    <row r="14" spans="1:20" s="33" customFormat="1" ht="11.25">
      <c r="A14" s="49"/>
      <c r="B14" s="42" t="s">
        <v>351</v>
      </c>
      <c r="C14" s="41"/>
      <c r="D14" s="42" t="s">
        <v>368</v>
      </c>
      <c r="E14" s="80">
        <f t="shared" si="0"/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101">
        <f t="shared" si="1"/>
        <v>0</v>
      </c>
      <c r="L14" s="81"/>
      <c r="M14" s="81"/>
      <c r="N14" s="80"/>
      <c r="O14" s="81">
        <f t="shared" si="2"/>
        <v>0</v>
      </c>
      <c r="P14" s="137">
        <v>0</v>
      </c>
      <c r="Q14" s="81">
        <v>0</v>
      </c>
      <c r="R14" s="81">
        <v>0</v>
      </c>
      <c r="S14" s="100">
        <v>0</v>
      </c>
      <c r="T14" s="100">
        <v>0</v>
      </c>
    </row>
    <row r="15" spans="1:20" s="33" customFormat="1" ht="22.5">
      <c r="A15" s="49"/>
      <c r="B15" s="42"/>
      <c r="C15" s="42" t="s">
        <v>278</v>
      </c>
      <c r="D15" s="42" t="s">
        <v>225</v>
      </c>
      <c r="E15" s="80">
        <f t="shared" si="0"/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101">
        <f t="shared" si="1"/>
        <v>0</v>
      </c>
      <c r="L15" s="81"/>
      <c r="M15" s="81"/>
      <c r="N15" s="80"/>
      <c r="O15" s="81">
        <f t="shared" si="2"/>
        <v>0</v>
      </c>
      <c r="P15" s="81">
        <v>0</v>
      </c>
      <c r="Q15" s="81">
        <v>0</v>
      </c>
      <c r="R15" s="81">
        <v>0</v>
      </c>
      <c r="S15" s="100">
        <v>0</v>
      </c>
      <c r="T15" s="100">
        <v>0</v>
      </c>
    </row>
    <row r="16" spans="1:20" s="33" customFormat="1" ht="11.25">
      <c r="A16" s="49"/>
      <c r="B16" s="42"/>
      <c r="C16" s="42"/>
      <c r="D16" s="42" t="s">
        <v>226</v>
      </c>
      <c r="E16" s="80">
        <f t="shared" si="0"/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101">
        <f t="shared" si="1"/>
        <v>0.33516483605997832</v>
      </c>
      <c r="L16" s="81"/>
      <c r="M16" s="81"/>
      <c r="N16" s="80" t="str">
        <f>VARIOS!C221</f>
        <v>2.3.2.3.3.02.2</v>
      </c>
      <c r="O16" s="81">
        <f t="shared" si="2"/>
        <v>2111314</v>
      </c>
      <c r="P16" s="81">
        <v>0</v>
      </c>
      <c r="Q16" s="81">
        <f>VARIOS!E221</f>
        <v>1000000</v>
      </c>
      <c r="R16" s="81">
        <f>VARIOS!E330</f>
        <v>1111314</v>
      </c>
      <c r="S16" s="100">
        <v>0</v>
      </c>
      <c r="T16" s="100">
        <v>0</v>
      </c>
    </row>
    <row r="17" spans="1:20" s="32" customFormat="1" ht="10.5">
      <c r="A17" s="51"/>
      <c r="B17" s="44" t="s">
        <v>150</v>
      </c>
      <c r="C17" s="44"/>
      <c r="D17" s="44"/>
      <c r="E17" s="103">
        <f>SUM(E8:E16)</f>
        <v>275000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4">
        <f>O17/O18*100</f>
        <v>100</v>
      </c>
      <c r="L17" s="103"/>
      <c r="M17" s="103"/>
      <c r="N17" s="103"/>
      <c r="O17" s="103">
        <f t="shared" ref="O17:T17" si="3">SUM(O8:O16)</f>
        <v>629933027.82579994</v>
      </c>
      <c r="P17" s="103">
        <f t="shared" si="3"/>
        <v>3000000</v>
      </c>
      <c r="Q17" s="103">
        <f t="shared" si="3"/>
        <v>6482465.5199999996</v>
      </c>
      <c r="R17" s="103">
        <f t="shared" si="3"/>
        <v>620450562.30579996</v>
      </c>
      <c r="S17" s="103">
        <f t="shared" si="3"/>
        <v>0</v>
      </c>
      <c r="T17" s="103">
        <f t="shared" si="3"/>
        <v>0</v>
      </c>
    </row>
    <row r="18" spans="1:20" s="98" customFormat="1" ht="31.5">
      <c r="A18" s="96"/>
      <c r="B18" s="96" t="s">
        <v>217</v>
      </c>
      <c r="C18" s="96"/>
      <c r="D18" s="96"/>
      <c r="E18" s="88">
        <f>E17</f>
        <v>275000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9">
        <f>O18/$O$56*100</f>
        <v>41.268835972360215</v>
      </c>
      <c r="L18" s="88"/>
      <c r="M18" s="88"/>
      <c r="N18" s="88"/>
      <c r="O18" s="88">
        <f t="shared" ref="O18:T18" si="4">O17</f>
        <v>629933027.82579994</v>
      </c>
      <c r="P18" s="88">
        <f t="shared" si="4"/>
        <v>3000000</v>
      </c>
      <c r="Q18" s="88">
        <f t="shared" si="4"/>
        <v>6482465.5199999996</v>
      </c>
      <c r="R18" s="88">
        <f t="shared" si="4"/>
        <v>620450562.30579996</v>
      </c>
      <c r="S18" s="88">
        <f t="shared" si="4"/>
        <v>0</v>
      </c>
      <c r="T18" s="88">
        <f t="shared" si="4"/>
        <v>0</v>
      </c>
    </row>
    <row r="19" spans="1:20" s="33" customFormat="1" ht="56.25">
      <c r="A19" s="48" t="s">
        <v>235</v>
      </c>
      <c r="B19" s="41" t="s">
        <v>230</v>
      </c>
      <c r="C19" s="41" t="s">
        <v>236</v>
      </c>
      <c r="D19" s="41" t="s">
        <v>237</v>
      </c>
      <c r="E19" s="80">
        <f>SUM(F19:J19)</f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2">
        <f>O19/$O$23*100</f>
        <v>100</v>
      </c>
      <c r="L19" s="81"/>
      <c r="M19" s="81"/>
      <c r="N19" s="80" t="str">
        <f>VARIOS!C201&amp;"  -  "&amp;VARIOS!C201&amp;"  -  "&amp;VARIOS!C204&amp;"  -  "&amp;VARIOS!C205&amp;"  -  "&amp;VARIOS!C210&amp;"  -  "&amp;VARIOS!C213&amp;"  -  "&amp;VARIOS!C212&amp;"  -  "&amp;VARIOS!C332</f>
        <v>2.3.1.4.4.02  -  2.3.1.4.4.02  -  2.3.2.3.3.08.04  -  2.3.2.3.3.08.05  -  2.3.3.07  -  2.3.5.3.1.2.2.2.3  -  2.3.5.3.1.2.2.1.2  -  2.3.5.3.2.2.2.1</v>
      </c>
      <c r="O19" s="81">
        <f>P19+Q19+R19+S19+T19</f>
        <v>248845708.56</v>
      </c>
      <c r="P19" s="81">
        <f>VARIOS!E201+VARIOS!E201</f>
        <v>7000000</v>
      </c>
      <c r="Q19" s="81">
        <f>VARIOS!E204+VARIOS!E205</f>
        <v>52673000</v>
      </c>
      <c r="R19" s="81">
        <f>VARIOS!E210+VARIOS!E213+VARIOS!E212+VARIOS!E332*20%</f>
        <v>189172708.56</v>
      </c>
      <c r="S19" s="81">
        <v>0</v>
      </c>
      <c r="T19" s="81">
        <v>0</v>
      </c>
    </row>
    <row r="20" spans="1:20" s="33" customFormat="1" ht="11.25">
      <c r="A20" s="49"/>
      <c r="B20" s="41"/>
      <c r="C20" s="41"/>
      <c r="D20" s="41" t="s">
        <v>231</v>
      </c>
      <c r="E20" s="80">
        <f>SUM(F20:J20)</f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2">
        <f>O20/$O$23*100</f>
        <v>0</v>
      </c>
      <c r="L20" s="81"/>
      <c r="M20" s="81"/>
      <c r="N20" s="80"/>
      <c r="O20" s="81">
        <f>P20+Q20+R20+S20+T20</f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</row>
    <row r="21" spans="1:20" s="33" customFormat="1" ht="11.25">
      <c r="A21" s="49"/>
      <c r="B21" s="41"/>
      <c r="C21" s="41"/>
      <c r="D21" s="41" t="s">
        <v>369</v>
      </c>
      <c r="E21" s="80">
        <f>SUM(F21:J21)</f>
        <v>25000</v>
      </c>
      <c r="F21" s="81">
        <v>5000</v>
      </c>
      <c r="G21" s="81">
        <v>20000</v>
      </c>
      <c r="H21" s="81">
        <v>0</v>
      </c>
      <c r="I21" s="81">
        <v>0</v>
      </c>
      <c r="J21" s="81">
        <v>0</v>
      </c>
      <c r="K21" s="82">
        <f>O21/$O$23*100</f>
        <v>0</v>
      </c>
      <c r="L21" s="81"/>
      <c r="M21" s="81"/>
      <c r="N21" s="80"/>
      <c r="O21" s="81">
        <f>P21+Q21+R21+S21+T21</f>
        <v>0</v>
      </c>
      <c r="P21" s="140">
        <v>0</v>
      </c>
      <c r="Q21" s="81">
        <v>0</v>
      </c>
      <c r="R21" s="81">
        <v>0</v>
      </c>
      <c r="S21" s="81">
        <v>0</v>
      </c>
      <c r="T21" s="81">
        <v>0</v>
      </c>
    </row>
    <row r="22" spans="1:20" s="33" customFormat="1" ht="22.5">
      <c r="A22" s="49"/>
      <c r="B22" s="41"/>
      <c r="C22" s="41"/>
      <c r="D22" s="41" t="s">
        <v>355</v>
      </c>
      <c r="E22" s="80">
        <f>SUM(F22:J22)</f>
        <v>150000</v>
      </c>
      <c r="F22" s="81">
        <v>20000</v>
      </c>
      <c r="G22" s="81">
        <v>60000</v>
      </c>
      <c r="H22" s="81">
        <v>50000</v>
      </c>
      <c r="I22" s="81">
        <v>20000</v>
      </c>
      <c r="J22" s="81">
        <v>0</v>
      </c>
      <c r="K22" s="82">
        <f>O22/$O$23*100</f>
        <v>0</v>
      </c>
      <c r="L22" s="81"/>
      <c r="M22" s="81"/>
      <c r="N22" s="80"/>
      <c r="O22" s="81">
        <f>P22+Q22+R22+S22+T22</f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</row>
    <row r="23" spans="1:20" s="32" customFormat="1" ht="10.5">
      <c r="A23" s="51"/>
      <c r="B23" s="51" t="s">
        <v>150</v>
      </c>
      <c r="C23" s="51"/>
      <c r="D23" s="51"/>
      <c r="E23" s="83">
        <f>SUM(E19:E22)</f>
        <v>175000</v>
      </c>
      <c r="F23" s="83">
        <v>1000</v>
      </c>
      <c r="G23" s="83">
        <v>42000</v>
      </c>
      <c r="H23" s="83">
        <v>0</v>
      </c>
      <c r="I23" s="83">
        <v>5000</v>
      </c>
      <c r="J23" s="83">
        <v>0</v>
      </c>
      <c r="K23" s="105">
        <f>O23/$O$33*100</f>
        <v>29.777619206358342</v>
      </c>
      <c r="L23" s="83"/>
      <c r="M23" s="83"/>
      <c r="N23" s="83"/>
      <c r="O23" s="83">
        <f t="shared" ref="O23:T23" si="5">SUM(O19:O22)</f>
        <v>248845708.56</v>
      </c>
      <c r="P23" s="83">
        <f t="shared" si="5"/>
        <v>7000000</v>
      </c>
      <c r="Q23" s="83">
        <f t="shared" si="5"/>
        <v>52673000</v>
      </c>
      <c r="R23" s="83">
        <f t="shared" si="5"/>
        <v>189172708.56</v>
      </c>
      <c r="S23" s="83">
        <f t="shared" si="5"/>
        <v>0</v>
      </c>
      <c r="T23" s="83">
        <f t="shared" si="5"/>
        <v>0</v>
      </c>
    </row>
    <row r="24" spans="1:20" s="33" customFormat="1" ht="67.5">
      <c r="A24" s="49"/>
      <c r="B24" s="41" t="s">
        <v>279</v>
      </c>
      <c r="C24" s="41" t="s">
        <v>280</v>
      </c>
      <c r="D24" s="41" t="s">
        <v>354</v>
      </c>
      <c r="E24" s="80">
        <f>SUM(F24:J24)</f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2">
        <f t="shared" ref="K24:K31" si="6">O24/$O$32*100</f>
        <v>3.9465890079044823</v>
      </c>
      <c r="L24" s="81"/>
      <c r="M24" s="81"/>
      <c r="N24" s="307" t="str">
        <f>VARIOS!C324&amp;"  -  "&amp;VARIOS!C331</f>
        <v>2.3.5.3.1.2.1.4.4  -  2.3.5.3.2.1</v>
      </c>
      <c r="O24" s="140">
        <f t="shared" ref="O24:O31" si="7">P24+Q24+R24+S24+T24</f>
        <v>23159950.944000002</v>
      </c>
      <c r="P24" s="140">
        <v>0</v>
      </c>
      <c r="Q24" s="140">
        <v>0</v>
      </c>
      <c r="R24" s="140">
        <f>VARIOS!E324*40%+VARIOS!E331*10%</f>
        <v>23159950.944000002</v>
      </c>
      <c r="S24" s="140">
        <v>0</v>
      </c>
      <c r="T24" s="140">
        <v>0</v>
      </c>
    </row>
    <row r="25" spans="1:20" s="33" customFormat="1" ht="45">
      <c r="A25" s="49"/>
      <c r="B25" s="41" t="s">
        <v>232</v>
      </c>
      <c r="C25" s="41"/>
      <c r="D25" s="41" t="s">
        <v>233</v>
      </c>
      <c r="E25" s="80">
        <f>SUM(F25:J25)</f>
        <v>5000</v>
      </c>
      <c r="F25" s="81">
        <v>0</v>
      </c>
      <c r="G25" s="81">
        <v>5000</v>
      </c>
      <c r="H25" s="81">
        <v>0</v>
      </c>
      <c r="I25" s="81">
        <v>0</v>
      </c>
      <c r="J25" s="81">
        <v>0</v>
      </c>
      <c r="K25" s="82">
        <f t="shared" si="6"/>
        <v>0</v>
      </c>
      <c r="L25" s="81"/>
      <c r="M25" s="81"/>
      <c r="N25" s="80"/>
      <c r="O25" s="81">
        <f t="shared" si="7"/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</row>
    <row r="26" spans="1:20" s="33" customFormat="1" ht="22.5">
      <c r="A26" s="49"/>
      <c r="B26" s="41"/>
      <c r="C26" s="41"/>
      <c r="D26" s="41" t="s">
        <v>234</v>
      </c>
      <c r="E26" s="80">
        <f>SUM(F26:J26)</f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2">
        <f t="shared" si="6"/>
        <v>74.201135786248315</v>
      </c>
      <c r="L26" s="81"/>
      <c r="M26" s="81"/>
      <c r="N26" s="80" t="str">
        <f>VARIOS!C219&amp;"  -  "&amp;VARIOS!C224&amp;"  -  "&amp;VARIOS!C323&amp;"  -  "&amp;VARIOS!C332</f>
        <v>2.3.1.4.4.16  -  2.3.2.3.3.10.2  -  2.3.5.2.1.2  -  2.3.5.3.2.2.2.1</v>
      </c>
      <c r="O26" s="81">
        <f t="shared" si="7"/>
        <v>435437959.55359995</v>
      </c>
      <c r="P26" s="81">
        <f>VARIOS!E219</f>
        <v>25664285</v>
      </c>
      <c r="Q26" s="81">
        <f>VARIOS!E224</f>
        <v>40000000</v>
      </c>
      <c r="R26" s="81">
        <f>VARIOS!E323*33%</f>
        <v>66122057.733599998</v>
      </c>
      <c r="S26" s="81">
        <f>VARIOS!E332*40%</f>
        <v>303651616.81999999</v>
      </c>
      <c r="T26" s="81">
        <v>0</v>
      </c>
    </row>
    <row r="27" spans="1:20" s="33" customFormat="1" ht="11.25">
      <c r="A27" s="49"/>
      <c r="B27" s="41"/>
      <c r="C27" s="41"/>
      <c r="D27" s="41" t="s">
        <v>353</v>
      </c>
      <c r="E27" s="80">
        <f>SUM(F27:J27)</f>
        <v>16500</v>
      </c>
      <c r="F27" s="81">
        <v>1500</v>
      </c>
      <c r="G27" s="81">
        <v>10000</v>
      </c>
      <c r="H27" s="81">
        <v>5000</v>
      </c>
      <c r="I27" s="81">
        <v>0</v>
      </c>
      <c r="J27" s="81">
        <v>0</v>
      </c>
      <c r="K27" s="82">
        <f t="shared" si="6"/>
        <v>21.852275205847196</v>
      </c>
      <c r="L27" s="81"/>
      <c r="M27" s="81"/>
      <c r="N27" s="80" t="str">
        <f>VARIOS!C323</f>
        <v>2.3.5.2.1.2</v>
      </c>
      <c r="O27" s="81">
        <f t="shared" si="7"/>
        <v>128236718.0288</v>
      </c>
      <c r="P27" s="81">
        <v>0</v>
      </c>
      <c r="Q27" s="81">
        <v>0</v>
      </c>
      <c r="R27" s="81">
        <f>VARIOS!E323*64%</f>
        <v>128236718.0288</v>
      </c>
      <c r="S27" s="81">
        <v>0</v>
      </c>
      <c r="T27" s="81">
        <v>0</v>
      </c>
    </row>
    <row r="28" spans="1:20" s="33" customFormat="1" ht="22.5">
      <c r="A28" s="49"/>
      <c r="B28" s="41"/>
      <c r="C28" s="41"/>
      <c r="D28" s="41" t="s">
        <v>379</v>
      </c>
      <c r="E28" s="80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2">
        <f t="shared" si="6"/>
        <v>0</v>
      </c>
      <c r="L28" s="81"/>
      <c r="M28" s="81"/>
      <c r="N28" s="80"/>
      <c r="O28" s="81">
        <f t="shared" si="7"/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</row>
    <row r="29" spans="1:20" s="33" customFormat="1" ht="11.25">
      <c r="A29" s="49"/>
      <c r="B29" s="41"/>
      <c r="C29" s="41"/>
      <c r="D29" s="41" t="s">
        <v>378</v>
      </c>
      <c r="E29" s="80">
        <f>SUM(F29:J29)</f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2">
        <f t="shared" si="6"/>
        <v>0</v>
      </c>
      <c r="L29" s="81"/>
      <c r="M29" s="81"/>
      <c r="N29" s="80"/>
      <c r="O29" s="81">
        <f t="shared" si="7"/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</row>
    <row r="30" spans="1:20" s="33" customFormat="1" ht="22.5">
      <c r="A30" s="49"/>
      <c r="B30" s="41"/>
      <c r="C30" s="41"/>
      <c r="D30" s="41" t="s">
        <v>427</v>
      </c>
      <c r="E30" s="80">
        <f>SUM(F30:J30)</f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2">
        <f t="shared" si="6"/>
        <v>0</v>
      </c>
      <c r="L30" s="81"/>
      <c r="M30" s="81"/>
      <c r="N30" s="80"/>
      <c r="O30" s="81">
        <f t="shared" si="7"/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</row>
    <row r="31" spans="1:20" s="33" customFormat="1" ht="11.25">
      <c r="A31" s="49"/>
      <c r="B31" s="41"/>
      <c r="C31" s="41"/>
      <c r="D31" s="41" t="s">
        <v>428</v>
      </c>
      <c r="E31" s="80">
        <f>SUM(F31:J31)</f>
        <v>31000</v>
      </c>
      <c r="F31" s="81">
        <v>1000</v>
      </c>
      <c r="G31" s="81">
        <v>15000</v>
      </c>
      <c r="H31" s="81">
        <v>15000</v>
      </c>
      <c r="I31" s="81">
        <v>0</v>
      </c>
      <c r="J31" s="81">
        <v>0</v>
      </c>
      <c r="K31" s="82">
        <f t="shared" si="6"/>
        <v>0</v>
      </c>
      <c r="L31" s="81"/>
      <c r="M31" s="81"/>
      <c r="N31" s="80"/>
      <c r="O31" s="81">
        <f t="shared" si="7"/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</row>
    <row r="32" spans="1:20" s="32" customFormat="1" ht="10.5">
      <c r="A32" s="51"/>
      <c r="B32" s="51" t="s">
        <v>150</v>
      </c>
      <c r="C32" s="51"/>
      <c r="D32" s="51"/>
      <c r="E32" s="83">
        <f>SUM(E24:E31)</f>
        <v>52500</v>
      </c>
      <c r="F32" s="83">
        <v>1000</v>
      </c>
      <c r="G32" s="83">
        <v>5000</v>
      </c>
      <c r="H32" s="83">
        <v>0</v>
      </c>
      <c r="I32" s="83">
        <v>0</v>
      </c>
      <c r="J32" s="83">
        <v>0</v>
      </c>
      <c r="K32" s="105">
        <f>O32/$O$33*100</f>
        <v>70.222380793641648</v>
      </c>
      <c r="L32" s="83"/>
      <c r="M32" s="83"/>
      <c r="N32" s="83"/>
      <c r="O32" s="83">
        <f t="shared" ref="O32:T32" si="8">SUM(O24:O31)</f>
        <v>586834628.52639997</v>
      </c>
      <c r="P32" s="83">
        <f t="shared" si="8"/>
        <v>25664285</v>
      </c>
      <c r="Q32" s="83">
        <f t="shared" si="8"/>
        <v>40000000</v>
      </c>
      <c r="R32" s="83">
        <f t="shared" si="8"/>
        <v>217518726.70639998</v>
      </c>
      <c r="S32" s="83">
        <f t="shared" si="8"/>
        <v>303651616.81999999</v>
      </c>
      <c r="T32" s="83">
        <f t="shared" si="8"/>
        <v>0</v>
      </c>
    </row>
    <row r="33" spans="1:20" s="98" customFormat="1" ht="31.5">
      <c r="A33" s="96"/>
      <c r="B33" s="96" t="s">
        <v>290</v>
      </c>
      <c r="C33" s="96"/>
      <c r="D33" s="96"/>
      <c r="E33" s="88">
        <f>E23+E32</f>
        <v>227500</v>
      </c>
      <c r="F33" s="88">
        <v>1000</v>
      </c>
      <c r="G33" s="88">
        <v>5000</v>
      </c>
      <c r="H33" s="88">
        <v>0</v>
      </c>
      <c r="I33" s="88">
        <v>0</v>
      </c>
      <c r="J33" s="88">
        <v>0</v>
      </c>
      <c r="K33" s="89">
        <f>O33/$O$56*100</f>
        <v>54.7479703923104</v>
      </c>
      <c r="L33" s="88"/>
      <c r="M33" s="88"/>
      <c r="N33" s="88"/>
      <c r="O33" s="88">
        <f t="shared" ref="O33:T33" si="9">O23+O32</f>
        <v>835680337.08640003</v>
      </c>
      <c r="P33" s="88">
        <f t="shared" si="9"/>
        <v>32664285</v>
      </c>
      <c r="Q33" s="88">
        <f t="shared" si="9"/>
        <v>92673000</v>
      </c>
      <c r="R33" s="88">
        <f t="shared" si="9"/>
        <v>406691435.26639998</v>
      </c>
      <c r="S33" s="88">
        <f t="shared" si="9"/>
        <v>303651616.81999999</v>
      </c>
      <c r="T33" s="88">
        <f t="shared" si="9"/>
        <v>0</v>
      </c>
    </row>
    <row r="34" spans="1:20" s="33" customFormat="1" ht="56.25">
      <c r="A34" s="48" t="s">
        <v>242</v>
      </c>
      <c r="B34" s="41" t="s">
        <v>238</v>
      </c>
      <c r="C34" s="41" t="s">
        <v>243</v>
      </c>
      <c r="D34" s="41" t="s">
        <v>244</v>
      </c>
      <c r="E34" s="80">
        <f t="shared" ref="E34:E44" si="10">SUM(F34:J34)</f>
        <v>112500</v>
      </c>
      <c r="F34" s="81">
        <v>5500</v>
      </c>
      <c r="G34" s="81">
        <v>82000</v>
      </c>
      <c r="H34" s="81">
        <v>20000</v>
      </c>
      <c r="I34" s="81">
        <v>5000</v>
      </c>
      <c r="J34" s="81">
        <v>0</v>
      </c>
      <c r="K34" s="82">
        <f t="shared" ref="K34:K44" si="11">O34/$O$45*100</f>
        <v>85.049833887043192</v>
      </c>
      <c r="L34" s="81"/>
      <c r="M34" s="81"/>
      <c r="N34" s="80" t="str">
        <f>VARIOS!C194&amp;"  -  "&amp;VARIOS!C193</f>
        <v>2.3.2.3.3.07.6  -  2.3.2.3.3.07.5</v>
      </c>
      <c r="O34" s="81">
        <f t="shared" ref="O34:O44" si="12">P34+Q34</f>
        <v>51200000</v>
      </c>
      <c r="P34" s="81">
        <v>0</v>
      </c>
      <c r="Q34" s="81">
        <f>VARIOS!E194+VARIOS!E193</f>
        <v>51200000</v>
      </c>
      <c r="R34" s="81">
        <v>0</v>
      </c>
      <c r="S34" s="100">
        <v>0</v>
      </c>
      <c r="T34" s="100">
        <v>0</v>
      </c>
    </row>
    <row r="35" spans="1:20" s="33" customFormat="1" ht="22.5">
      <c r="A35" s="49"/>
      <c r="B35" s="41"/>
      <c r="C35" s="41"/>
      <c r="D35" s="41" t="s">
        <v>239</v>
      </c>
      <c r="E35" s="80">
        <f t="shared" si="10"/>
        <v>112500</v>
      </c>
      <c r="F35" s="81">
        <v>5500</v>
      </c>
      <c r="G35" s="81">
        <v>82000</v>
      </c>
      <c r="H35" s="81">
        <v>20000</v>
      </c>
      <c r="I35" s="81">
        <v>5000</v>
      </c>
      <c r="J35" s="81">
        <v>0</v>
      </c>
      <c r="K35" s="82">
        <f t="shared" si="11"/>
        <v>0</v>
      </c>
      <c r="L35" s="81"/>
      <c r="M35" s="81"/>
      <c r="N35" s="80" t="str">
        <f>VARIOS!C191&amp;"  -  "&amp;VARIOS!C192</f>
        <v>2.3.2.3.3.07.2  -  2.3.2.3.3.07.4</v>
      </c>
      <c r="O35" s="81">
        <f t="shared" si="12"/>
        <v>0</v>
      </c>
      <c r="P35" s="81">
        <v>0</v>
      </c>
      <c r="Q35" s="81">
        <f>VARIOS!E191+VARIOS!E192</f>
        <v>0</v>
      </c>
      <c r="R35" s="81">
        <v>0</v>
      </c>
      <c r="S35" s="100">
        <v>0</v>
      </c>
      <c r="T35" s="100">
        <v>0</v>
      </c>
    </row>
    <row r="36" spans="1:20" s="33" customFormat="1" ht="22.5">
      <c r="A36" s="49"/>
      <c r="B36" s="41"/>
      <c r="C36" s="41"/>
      <c r="D36" s="41" t="s">
        <v>240</v>
      </c>
      <c r="E36" s="80">
        <f t="shared" si="10"/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2">
        <f t="shared" si="11"/>
        <v>11.627906976744185</v>
      </c>
      <c r="L36" s="81"/>
      <c r="M36" s="81"/>
      <c r="N36" s="80" t="str">
        <f>VARIOS!C196</f>
        <v>2.3.2.3.3.07.8</v>
      </c>
      <c r="O36" s="81">
        <f t="shared" si="12"/>
        <v>7000000</v>
      </c>
      <c r="P36" s="81">
        <v>0</v>
      </c>
      <c r="Q36" s="81">
        <f>VARIOS!E196</f>
        <v>7000000</v>
      </c>
      <c r="R36" s="81">
        <v>0</v>
      </c>
      <c r="S36" s="100">
        <v>0</v>
      </c>
      <c r="T36" s="100">
        <v>0</v>
      </c>
    </row>
    <row r="37" spans="1:20" s="33" customFormat="1" ht="11.25">
      <c r="A37" s="49"/>
      <c r="B37" s="41"/>
      <c r="C37" s="41"/>
      <c r="D37" s="42" t="s">
        <v>360</v>
      </c>
      <c r="E37" s="80">
        <f t="shared" si="10"/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2">
        <f t="shared" si="11"/>
        <v>0</v>
      </c>
      <c r="L37" s="81"/>
      <c r="M37" s="81"/>
      <c r="N37" s="80"/>
      <c r="O37" s="81">
        <f t="shared" si="12"/>
        <v>0</v>
      </c>
      <c r="P37" s="81">
        <v>0</v>
      </c>
      <c r="Q37" s="81">
        <v>0</v>
      </c>
      <c r="R37" s="81">
        <v>0</v>
      </c>
      <c r="S37" s="100">
        <v>0</v>
      </c>
      <c r="T37" s="100">
        <v>0</v>
      </c>
    </row>
    <row r="38" spans="1:20" s="33" customFormat="1" ht="33.75">
      <c r="A38" s="49"/>
      <c r="B38" s="41"/>
      <c r="C38" s="41" t="s">
        <v>410</v>
      </c>
      <c r="D38" s="41" t="s">
        <v>241</v>
      </c>
      <c r="E38" s="80">
        <f t="shared" si="10"/>
        <v>12000</v>
      </c>
      <c r="F38" s="81">
        <v>0</v>
      </c>
      <c r="G38" s="81">
        <v>12000</v>
      </c>
      <c r="H38" s="81">
        <v>0</v>
      </c>
      <c r="I38" s="81">
        <v>0</v>
      </c>
      <c r="J38" s="81">
        <v>0</v>
      </c>
      <c r="K38" s="82">
        <f t="shared" si="11"/>
        <v>0</v>
      </c>
      <c r="L38" s="81"/>
      <c r="M38" s="81"/>
      <c r="N38" s="80"/>
      <c r="O38" s="81">
        <f t="shared" si="12"/>
        <v>0</v>
      </c>
      <c r="P38" s="81">
        <v>0</v>
      </c>
      <c r="Q38" s="81">
        <v>0</v>
      </c>
      <c r="R38" s="81">
        <v>0</v>
      </c>
      <c r="S38" s="100">
        <v>0</v>
      </c>
      <c r="T38" s="100">
        <v>0</v>
      </c>
    </row>
    <row r="39" spans="1:20" s="33" customFormat="1" ht="11.25">
      <c r="A39" s="49"/>
      <c r="B39" s="41"/>
      <c r="C39" s="41"/>
      <c r="D39" s="42" t="s">
        <v>245</v>
      </c>
      <c r="E39" s="80">
        <f t="shared" si="10"/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2">
        <f t="shared" si="11"/>
        <v>0</v>
      </c>
      <c r="L39" s="81"/>
      <c r="M39" s="81"/>
      <c r="N39" s="80"/>
      <c r="O39" s="81">
        <f t="shared" si="12"/>
        <v>0</v>
      </c>
      <c r="P39" s="81">
        <v>0</v>
      </c>
      <c r="Q39" s="81">
        <v>0</v>
      </c>
      <c r="R39" s="81">
        <v>0</v>
      </c>
      <c r="S39" s="100">
        <v>0</v>
      </c>
      <c r="T39" s="100">
        <v>0</v>
      </c>
    </row>
    <row r="40" spans="1:20" s="33" customFormat="1" ht="22.5">
      <c r="A40" s="49"/>
      <c r="B40" s="41"/>
      <c r="C40" s="41"/>
      <c r="D40" s="42" t="s">
        <v>431</v>
      </c>
      <c r="E40" s="80">
        <f t="shared" si="10"/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2">
        <f t="shared" si="11"/>
        <v>0</v>
      </c>
      <c r="L40" s="81"/>
      <c r="M40" s="81"/>
      <c r="N40" s="80"/>
      <c r="O40" s="81">
        <f t="shared" si="12"/>
        <v>0</v>
      </c>
      <c r="P40" s="81">
        <v>0</v>
      </c>
      <c r="Q40" s="81">
        <v>0</v>
      </c>
      <c r="R40" s="81">
        <v>0</v>
      </c>
      <c r="S40" s="100">
        <v>0</v>
      </c>
      <c r="T40" s="100">
        <v>0</v>
      </c>
    </row>
    <row r="41" spans="1:20" s="33" customFormat="1" ht="33.75">
      <c r="A41" s="49"/>
      <c r="B41" s="41"/>
      <c r="C41" s="41"/>
      <c r="D41" s="42" t="s">
        <v>281</v>
      </c>
      <c r="E41" s="80">
        <f t="shared" si="10"/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2">
        <f t="shared" si="11"/>
        <v>0</v>
      </c>
      <c r="L41" s="81"/>
      <c r="M41" s="81"/>
      <c r="N41" s="80"/>
      <c r="O41" s="81">
        <f t="shared" si="12"/>
        <v>0</v>
      </c>
      <c r="P41" s="81">
        <v>0</v>
      </c>
      <c r="Q41" s="81">
        <v>0</v>
      </c>
      <c r="R41" s="81">
        <v>0</v>
      </c>
      <c r="S41" s="100">
        <v>0</v>
      </c>
      <c r="T41" s="100">
        <v>0</v>
      </c>
    </row>
    <row r="42" spans="1:20" s="33" customFormat="1" ht="11.25">
      <c r="A42" s="49"/>
      <c r="B42" s="41"/>
      <c r="C42" s="41"/>
      <c r="D42" s="42" t="s">
        <v>361</v>
      </c>
      <c r="E42" s="80">
        <f t="shared" si="10"/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2">
        <f t="shared" si="11"/>
        <v>0</v>
      </c>
      <c r="L42" s="81"/>
      <c r="M42" s="81"/>
      <c r="N42" s="80"/>
      <c r="O42" s="81">
        <f t="shared" si="12"/>
        <v>0</v>
      </c>
      <c r="P42" s="81">
        <v>0</v>
      </c>
      <c r="Q42" s="81">
        <v>0</v>
      </c>
      <c r="R42" s="81">
        <v>0</v>
      </c>
      <c r="S42" s="100">
        <v>0</v>
      </c>
      <c r="T42" s="100">
        <v>0</v>
      </c>
    </row>
    <row r="43" spans="1:20" s="33" customFormat="1" ht="11.25">
      <c r="A43" s="49"/>
      <c r="B43" s="41"/>
      <c r="C43" s="41"/>
      <c r="D43" s="42" t="s">
        <v>371</v>
      </c>
      <c r="E43" s="80">
        <f t="shared" si="10"/>
        <v>12000</v>
      </c>
      <c r="F43" s="81">
        <v>0</v>
      </c>
      <c r="G43" s="81">
        <v>12000</v>
      </c>
      <c r="H43" s="81">
        <v>0</v>
      </c>
      <c r="I43" s="81">
        <v>0</v>
      </c>
      <c r="J43" s="81">
        <v>0</v>
      </c>
      <c r="K43" s="82">
        <f t="shared" si="11"/>
        <v>3.322259136212625</v>
      </c>
      <c r="L43" s="81"/>
      <c r="M43" s="81"/>
      <c r="N43" s="80" t="str">
        <f>VARIOS!C190</f>
        <v>2.3.2.3.3.07.1</v>
      </c>
      <c r="O43" s="81">
        <f t="shared" si="12"/>
        <v>2000000</v>
      </c>
      <c r="P43" s="81">
        <v>0</v>
      </c>
      <c r="Q43" s="81">
        <f>VARIOS!E190</f>
        <v>2000000</v>
      </c>
      <c r="R43" s="81">
        <v>0</v>
      </c>
      <c r="S43" s="100">
        <v>0</v>
      </c>
      <c r="T43" s="100">
        <v>0</v>
      </c>
    </row>
    <row r="44" spans="1:20" s="33" customFormat="1" ht="22.5">
      <c r="A44" s="49"/>
      <c r="B44" s="41"/>
      <c r="C44" s="41"/>
      <c r="D44" s="42" t="s">
        <v>380</v>
      </c>
      <c r="E44" s="80">
        <f t="shared" si="10"/>
        <v>12000</v>
      </c>
      <c r="F44" s="81">
        <v>0</v>
      </c>
      <c r="G44" s="81">
        <v>12000</v>
      </c>
      <c r="H44" s="81">
        <v>0</v>
      </c>
      <c r="I44" s="81">
        <v>0</v>
      </c>
      <c r="J44" s="81">
        <v>0</v>
      </c>
      <c r="K44" s="82">
        <f t="shared" si="11"/>
        <v>0</v>
      </c>
      <c r="L44" s="81"/>
      <c r="M44" s="81"/>
      <c r="N44" s="80"/>
      <c r="O44" s="81">
        <f t="shared" si="12"/>
        <v>0</v>
      </c>
      <c r="P44" s="81">
        <v>0</v>
      </c>
      <c r="Q44" s="81">
        <v>0</v>
      </c>
      <c r="R44" s="81">
        <v>0</v>
      </c>
      <c r="S44" s="100">
        <v>0</v>
      </c>
      <c r="T44" s="100">
        <v>0</v>
      </c>
    </row>
    <row r="45" spans="1:20" s="32" customFormat="1" ht="10.5">
      <c r="A45" s="51"/>
      <c r="B45" s="51" t="s">
        <v>150</v>
      </c>
      <c r="C45" s="51"/>
      <c r="D45" s="51"/>
      <c r="E45" s="83">
        <f>SUM(E34:E44)</f>
        <v>261000</v>
      </c>
      <c r="F45" s="83">
        <v>45500</v>
      </c>
      <c r="G45" s="83">
        <v>264000</v>
      </c>
      <c r="H45" s="83">
        <v>70000</v>
      </c>
      <c r="I45" s="83">
        <v>91000</v>
      </c>
      <c r="J45" s="83">
        <v>0</v>
      </c>
      <c r="K45" s="105">
        <v>100</v>
      </c>
      <c r="L45" s="83"/>
      <c r="M45" s="83"/>
      <c r="N45" s="83"/>
      <c r="O45" s="83">
        <f t="shared" ref="O45:T45" si="13">SUM(O34:O44)</f>
        <v>60200000</v>
      </c>
      <c r="P45" s="83">
        <f t="shared" si="13"/>
        <v>0</v>
      </c>
      <c r="Q45" s="83">
        <f t="shared" si="13"/>
        <v>60200000</v>
      </c>
      <c r="R45" s="83">
        <f t="shared" si="13"/>
        <v>0</v>
      </c>
      <c r="S45" s="83">
        <f t="shared" si="13"/>
        <v>0</v>
      </c>
      <c r="T45" s="83">
        <f t="shared" si="13"/>
        <v>0</v>
      </c>
    </row>
    <row r="46" spans="1:20" s="98" customFormat="1" ht="21">
      <c r="A46" s="96"/>
      <c r="B46" s="96" t="s">
        <v>381</v>
      </c>
      <c r="C46" s="96"/>
      <c r="D46" s="96"/>
      <c r="E46" s="88">
        <f t="shared" ref="E46:J46" si="14">E45</f>
        <v>261000</v>
      </c>
      <c r="F46" s="88">
        <f t="shared" si="14"/>
        <v>45500</v>
      </c>
      <c r="G46" s="88">
        <f t="shared" si="14"/>
        <v>264000</v>
      </c>
      <c r="H46" s="88">
        <f t="shared" si="14"/>
        <v>70000</v>
      </c>
      <c r="I46" s="88">
        <f t="shared" si="14"/>
        <v>91000</v>
      </c>
      <c r="J46" s="88">
        <f t="shared" si="14"/>
        <v>0</v>
      </c>
      <c r="K46" s="89">
        <f>O46/$O$56*100</f>
        <v>3.9438858034018023</v>
      </c>
      <c r="L46" s="88"/>
      <c r="M46" s="88"/>
      <c r="N46" s="88"/>
      <c r="O46" s="88">
        <f t="shared" ref="O46:T46" si="15">O45</f>
        <v>60200000</v>
      </c>
      <c r="P46" s="88">
        <f t="shared" si="15"/>
        <v>0</v>
      </c>
      <c r="Q46" s="88">
        <f t="shared" si="15"/>
        <v>60200000</v>
      </c>
      <c r="R46" s="88">
        <f t="shared" si="15"/>
        <v>0</v>
      </c>
      <c r="S46" s="88">
        <f t="shared" si="15"/>
        <v>0</v>
      </c>
      <c r="T46" s="88">
        <f t="shared" si="15"/>
        <v>0</v>
      </c>
    </row>
    <row r="47" spans="1:20" s="33" customFormat="1" ht="31.5">
      <c r="A47" s="48" t="s">
        <v>411</v>
      </c>
      <c r="B47" s="49" t="s">
        <v>246</v>
      </c>
      <c r="C47" s="41" t="s">
        <v>412</v>
      </c>
      <c r="D47" s="41" t="s">
        <v>247</v>
      </c>
      <c r="E47" s="80">
        <f>SUM(F47:J47)</f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2">
        <f t="shared" ref="K47:K54" si="16">O47/$O$54*100</f>
        <v>0</v>
      </c>
      <c r="L47" s="81"/>
      <c r="M47" s="81"/>
      <c r="N47" s="80"/>
      <c r="O47" s="81">
        <f t="shared" ref="O47:O53" si="17">P47+Q47</f>
        <v>0</v>
      </c>
      <c r="P47" s="81">
        <v>0</v>
      </c>
      <c r="Q47" s="81">
        <v>0</v>
      </c>
      <c r="R47" s="81">
        <v>0</v>
      </c>
      <c r="S47" s="100">
        <v>0</v>
      </c>
      <c r="T47" s="100">
        <v>0</v>
      </c>
    </row>
    <row r="48" spans="1:20" s="33" customFormat="1" ht="11.25">
      <c r="A48" s="49"/>
      <c r="B48" s="41"/>
      <c r="C48" s="41"/>
      <c r="D48" s="41" t="s">
        <v>248</v>
      </c>
      <c r="E48" s="80">
        <f>SUM(F48:J48)</f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2">
        <f t="shared" si="16"/>
        <v>100</v>
      </c>
      <c r="L48" s="81"/>
      <c r="M48" s="81"/>
      <c r="N48" s="80" t="str">
        <f>VARIOS!C186</f>
        <v>2.3.2.3.3.01.5</v>
      </c>
      <c r="O48" s="81">
        <f t="shared" si="17"/>
        <v>600000</v>
      </c>
      <c r="P48" s="81">
        <v>0</v>
      </c>
      <c r="Q48" s="81">
        <f>VARIOS!E186</f>
        <v>600000</v>
      </c>
      <c r="R48" s="81">
        <v>0</v>
      </c>
      <c r="S48" s="100">
        <v>0</v>
      </c>
      <c r="T48" s="100">
        <v>0</v>
      </c>
    </row>
    <row r="49" spans="1:20" s="33" customFormat="1" ht="11.25">
      <c r="A49" s="49"/>
      <c r="B49" s="41"/>
      <c r="C49" s="41"/>
      <c r="D49" s="41" t="s">
        <v>249</v>
      </c>
      <c r="E49" s="80">
        <f>SUM(F49:J49)</f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2">
        <f t="shared" si="16"/>
        <v>0</v>
      </c>
      <c r="L49" s="81"/>
      <c r="M49" s="81"/>
      <c r="N49" s="80"/>
      <c r="O49" s="81">
        <f t="shared" si="17"/>
        <v>0</v>
      </c>
      <c r="P49" s="81">
        <v>0</v>
      </c>
      <c r="Q49" s="81">
        <v>0</v>
      </c>
      <c r="R49" s="81">
        <v>0</v>
      </c>
      <c r="S49" s="100">
        <v>0</v>
      </c>
      <c r="T49" s="100">
        <v>0</v>
      </c>
    </row>
    <row r="50" spans="1:20" s="33" customFormat="1" ht="22.5">
      <c r="A50" s="49"/>
      <c r="B50" s="41"/>
      <c r="C50" s="41"/>
      <c r="D50" s="41" t="s">
        <v>356</v>
      </c>
      <c r="E50" s="80">
        <f>SUM(F50:J50)</f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2">
        <f t="shared" si="16"/>
        <v>0</v>
      </c>
      <c r="L50" s="81"/>
      <c r="M50" s="81"/>
      <c r="N50" s="80"/>
      <c r="O50" s="81">
        <f t="shared" si="17"/>
        <v>0</v>
      </c>
      <c r="P50" s="81">
        <v>0</v>
      </c>
      <c r="Q50" s="81">
        <v>0</v>
      </c>
      <c r="R50" s="81">
        <v>0</v>
      </c>
      <c r="S50" s="100">
        <v>0</v>
      </c>
      <c r="T50" s="100">
        <v>0</v>
      </c>
    </row>
    <row r="51" spans="1:20" s="33" customFormat="1" ht="11.25">
      <c r="A51" s="49"/>
      <c r="B51" s="41"/>
      <c r="C51" s="41"/>
      <c r="D51" s="41" t="s">
        <v>372</v>
      </c>
      <c r="E51" s="80">
        <f>SUM(F51:J51)</f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2">
        <f t="shared" si="16"/>
        <v>0</v>
      </c>
      <c r="L51" s="81"/>
      <c r="M51" s="81"/>
      <c r="N51" s="80"/>
      <c r="O51" s="81">
        <f t="shared" si="17"/>
        <v>0</v>
      </c>
      <c r="P51" s="81">
        <v>0</v>
      </c>
      <c r="Q51" s="81">
        <v>0</v>
      </c>
      <c r="R51" s="81">
        <v>0</v>
      </c>
      <c r="S51" s="100">
        <v>0</v>
      </c>
      <c r="T51" s="100">
        <v>0</v>
      </c>
    </row>
    <row r="52" spans="1:20" s="33" customFormat="1" ht="22.5">
      <c r="A52" s="49"/>
      <c r="B52" s="41"/>
      <c r="C52" s="41"/>
      <c r="D52" s="41" t="s">
        <v>382</v>
      </c>
      <c r="E52" s="80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2">
        <f t="shared" si="16"/>
        <v>0</v>
      </c>
      <c r="L52" s="81"/>
      <c r="M52" s="81"/>
      <c r="N52" s="80"/>
      <c r="O52" s="81">
        <f t="shared" si="17"/>
        <v>0</v>
      </c>
      <c r="P52" s="81">
        <v>0</v>
      </c>
      <c r="Q52" s="81">
        <v>0</v>
      </c>
      <c r="R52" s="81">
        <v>0</v>
      </c>
      <c r="S52" s="100">
        <v>0</v>
      </c>
      <c r="T52" s="100">
        <v>0</v>
      </c>
    </row>
    <row r="53" spans="1:20" s="33" customFormat="1" ht="11.25">
      <c r="A53" s="49"/>
      <c r="B53" s="41"/>
      <c r="C53" s="41"/>
      <c r="D53" s="41" t="s">
        <v>383</v>
      </c>
      <c r="E53" s="80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2">
        <f t="shared" si="16"/>
        <v>0</v>
      </c>
      <c r="L53" s="81"/>
      <c r="M53" s="81"/>
      <c r="N53" s="80"/>
      <c r="O53" s="81">
        <f t="shared" si="17"/>
        <v>0</v>
      </c>
      <c r="P53" s="81">
        <v>0</v>
      </c>
      <c r="Q53" s="81">
        <v>0</v>
      </c>
      <c r="R53" s="81">
        <v>0</v>
      </c>
      <c r="S53" s="100">
        <v>0</v>
      </c>
      <c r="T53" s="100">
        <v>0</v>
      </c>
    </row>
    <row r="54" spans="1:20" s="32" customFormat="1" ht="11.25">
      <c r="A54" s="51"/>
      <c r="B54" s="51" t="s">
        <v>150</v>
      </c>
      <c r="C54" s="51"/>
      <c r="D54" s="51"/>
      <c r="E54" s="84">
        <f t="shared" ref="E54:J54" si="18">SUM(E47:E53)</f>
        <v>0</v>
      </c>
      <c r="F54" s="84">
        <f t="shared" si="18"/>
        <v>0</v>
      </c>
      <c r="G54" s="84">
        <f t="shared" si="18"/>
        <v>0</v>
      </c>
      <c r="H54" s="84">
        <f t="shared" si="18"/>
        <v>0</v>
      </c>
      <c r="I54" s="84">
        <f t="shared" si="18"/>
        <v>0</v>
      </c>
      <c r="J54" s="84">
        <f t="shared" si="18"/>
        <v>0</v>
      </c>
      <c r="K54" s="82">
        <f t="shared" si="16"/>
        <v>100</v>
      </c>
      <c r="L54" s="84"/>
      <c r="M54" s="84"/>
      <c r="N54" s="83"/>
      <c r="O54" s="84">
        <f t="shared" ref="O54:T54" si="19">SUM(O47:O53)</f>
        <v>600000</v>
      </c>
      <c r="P54" s="84">
        <f t="shared" si="19"/>
        <v>0</v>
      </c>
      <c r="Q54" s="84">
        <f t="shared" si="19"/>
        <v>600000</v>
      </c>
      <c r="R54" s="84">
        <f t="shared" si="19"/>
        <v>0</v>
      </c>
      <c r="S54" s="84">
        <f t="shared" si="19"/>
        <v>0</v>
      </c>
      <c r="T54" s="84">
        <f t="shared" si="19"/>
        <v>0</v>
      </c>
    </row>
    <row r="55" spans="1:20" s="98" customFormat="1" ht="21">
      <c r="A55" s="96"/>
      <c r="B55" s="96" t="s">
        <v>398</v>
      </c>
      <c r="C55" s="96"/>
      <c r="D55" s="96"/>
      <c r="E55" s="106">
        <f t="shared" ref="E55:J55" si="20">E54</f>
        <v>0</v>
      </c>
      <c r="F55" s="106">
        <f t="shared" si="20"/>
        <v>0</v>
      </c>
      <c r="G55" s="106">
        <f t="shared" si="20"/>
        <v>0</v>
      </c>
      <c r="H55" s="106">
        <f t="shared" si="20"/>
        <v>0</v>
      </c>
      <c r="I55" s="106">
        <f t="shared" si="20"/>
        <v>0</v>
      </c>
      <c r="J55" s="106">
        <f t="shared" si="20"/>
        <v>0</v>
      </c>
      <c r="K55" s="89">
        <f>O55/$O$56*100</f>
        <v>3.9307831927592712E-2</v>
      </c>
      <c r="L55" s="106"/>
      <c r="M55" s="106"/>
      <c r="N55" s="88"/>
      <c r="O55" s="106">
        <f t="shared" ref="O55:T55" si="21">O54</f>
        <v>600000</v>
      </c>
      <c r="P55" s="106">
        <f t="shared" si="21"/>
        <v>0</v>
      </c>
      <c r="Q55" s="106">
        <f t="shared" si="21"/>
        <v>600000</v>
      </c>
      <c r="R55" s="106">
        <f t="shared" si="21"/>
        <v>0</v>
      </c>
      <c r="S55" s="106">
        <f t="shared" si="21"/>
        <v>0</v>
      </c>
      <c r="T55" s="106">
        <f t="shared" si="21"/>
        <v>0</v>
      </c>
    </row>
    <row r="56" spans="1:20" s="32" customFormat="1" ht="42">
      <c r="A56" s="107"/>
      <c r="B56" s="107" t="s">
        <v>384</v>
      </c>
      <c r="C56" s="107"/>
      <c r="D56" s="107"/>
      <c r="E56" s="108">
        <f t="shared" ref="E56:J56" si="22">E18+E33+E46+E55</f>
        <v>763500</v>
      </c>
      <c r="F56" s="108">
        <f t="shared" si="22"/>
        <v>46500</v>
      </c>
      <c r="G56" s="108">
        <f t="shared" si="22"/>
        <v>269000</v>
      </c>
      <c r="H56" s="108">
        <f t="shared" si="22"/>
        <v>70000</v>
      </c>
      <c r="I56" s="108">
        <f t="shared" si="22"/>
        <v>91000</v>
      </c>
      <c r="J56" s="108">
        <f t="shared" si="22"/>
        <v>0</v>
      </c>
      <c r="K56" s="109">
        <v>100</v>
      </c>
      <c r="L56" s="108"/>
      <c r="M56" s="108"/>
      <c r="N56" s="308"/>
      <c r="O56" s="108">
        <f t="shared" ref="O56:T56" si="23">O18+O33+O46+O55</f>
        <v>1526413364.9122</v>
      </c>
      <c r="P56" s="108">
        <f t="shared" si="23"/>
        <v>35664285</v>
      </c>
      <c r="Q56" s="108">
        <f t="shared" si="23"/>
        <v>159955465.51999998</v>
      </c>
      <c r="R56" s="108">
        <f t="shared" si="23"/>
        <v>1027141997.5721999</v>
      </c>
      <c r="S56" s="108">
        <f t="shared" si="23"/>
        <v>303651616.81999999</v>
      </c>
      <c r="T56" s="108">
        <f t="shared" si="23"/>
        <v>0</v>
      </c>
    </row>
    <row r="57" spans="1:20" s="33" customFormat="1" ht="11.25">
      <c r="A57" s="110"/>
      <c r="B57" s="111"/>
      <c r="C57" s="111"/>
      <c r="D57" s="111"/>
      <c r="E57" s="112"/>
      <c r="F57" s="112"/>
      <c r="G57" s="112"/>
      <c r="H57" s="112"/>
      <c r="I57" s="112"/>
      <c r="J57" s="112"/>
    </row>
    <row r="58" spans="1:20">
      <c r="A58" s="3"/>
      <c r="B58" s="4"/>
      <c r="C58" s="4"/>
      <c r="D58" s="4"/>
      <c r="E58" s="22"/>
      <c r="F58" s="22"/>
      <c r="G58" s="22"/>
      <c r="H58" s="22"/>
      <c r="I58" s="22"/>
      <c r="J58" s="22"/>
    </row>
    <row r="59" spans="1:20">
      <c r="A59" s="3"/>
      <c r="B59" s="4"/>
      <c r="C59" s="4"/>
      <c r="D59" s="4"/>
      <c r="E59" s="22"/>
      <c r="F59" s="22"/>
      <c r="G59" s="22"/>
      <c r="H59" s="22"/>
      <c r="I59" s="22"/>
      <c r="J59" s="22"/>
    </row>
    <row r="60" spans="1:20">
      <c r="A60" s="3"/>
      <c r="B60" s="4"/>
      <c r="C60" s="4"/>
      <c r="D60" s="4"/>
      <c r="E60" s="22"/>
      <c r="F60" s="22"/>
      <c r="G60" s="22"/>
      <c r="H60" s="22"/>
      <c r="I60" s="22"/>
      <c r="J60" s="22"/>
    </row>
    <row r="61" spans="1:20" ht="11.25">
      <c r="A61" s="335" t="s">
        <v>1225</v>
      </c>
      <c r="B61" s="335"/>
      <c r="C61" s="335"/>
      <c r="D61" s="34"/>
      <c r="E61" s="34"/>
      <c r="F61" s="34"/>
      <c r="G61" s="34"/>
      <c r="H61" s="34"/>
      <c r="I61" s="142"/>
      <c r="J61" s="336" t="s">
        <v>1224</v>
      </c>
      <c r="K61" s="336"/>
      <c r="L61" s="336"/>
      <c r="M61" s="336"/>
      <c r="N61" s="336"/>
      <c r="O61" s="336"/>
      <c r="R61" s="336" t="s">
        <v>1279</v>
      </c>
      <c r="S61" s="336"/>
      <c r="T61" s="336"/>
    </row>
    <row r="62" spans="1:20" ht="11.25">
      <c r="A62" s="347" t="s">
        <v>1276</v>
      </c>
      <c r="B62" s="347"/>
      <c r="C62" s="347"/>
      <c r="D62" s="34"/>
      <c r="E62" s="34"/>
      <c r="F62" s="34"/>
      <c r="G62" s="34"/>
      <c r="H62" s="34"/>
      <c r="I62" s="142"/>
      <c r="J62" s="337" t="s">
        <v>1277</v>
      </c>
      <c r="K62" s="337"/>
      <c r="L62" s="337"/>
      <c r="M62" s="337"/>
      <c r="N62" s="337"/>
      <c r="O62" s="337"/>
      <c r="R62" s="337" t="s">
        <v>1278</v>
      </c>
      <c r="S62" s="337"/>
      <c r="T62" s="337"/>
    </row>
    <row r="63" spans="1:20">
      <c r="E63" s="22"/>
      <c r="F63" s="22"/>
      <c r="G63" s="22"/>
      <c r="H63" s="22"/>
      <c r="I63" s="22"/>
      <c r="J63" s="22"/>
    </row>
    <row r="64" spans="1:20">
      <c r="E64" s="22"/>
      <c r="F64" s="22"/>
      <c r="G64" s="22"/>
      <c r="H64" s="22"/>
      <c r="I64" s="22"/>
      <c r="J64" s="22"/>
    </row>
    <row r="65" spans="5:10">
      <c r="E65" s="22"/>
      <c r="F65" s="22"/>
      <c r="G65" s="22"/>
      <c r="H65" s="22"/>
      <c r="I65" s="22"/>
      <c r="J65" s="22"/>
    </row>
    <row r="66" spans="5:10">
      <c r="E66" s="22"/>
      <c r="F66" s="22"/>
      <c r="G66" s="22"/>
      <c r="H66" s="22"/>
      <c r="I66" s="22"/>
      <c r="J66" s="22"/>
    </row>
    <row r="67" spans="5:10">
      <c r="E67" s="22"/>
      <c r="F67" s="22"/>
      <c r="G67" s="22"/>
      <c r="H67" s="22"/>
      <c r="I67" s="22"/>
      <c r="J67" s="22"/>
    </row>
    <row r="68" spans="5:10">
      <c r="E68" s="22"/>
      <c r="F68" s="22"/>
      <c r="G68" s="22"/>
      <c r="H68" s="22"/>
      <c r="I68" s="22"/>
      <c r="J68" s="22"/>
    </row>
    <row r="69" spans="5:10">
      <c r="E69" s="22"/>
      <c r="F69" s="22"/>
      <c r="G69" s="22"/>
      <c r="H69" s="22"/>
      <c r="I69" s="22"/>
      <c r="J69" s="22"/>
    </row>
    <row r="70" spans="5:10">
      <c r="E70" s="22"/>
      <c r="F70" s="22"/>
      <c r="G70" s="22"/>
      <c r="H70" s="22"/>
      <c r="I70" s="22"/>
      <c r="J70" s="22"/>
    </row>
    <row r="71" spans="5:10">
      <c r="E71" s="22"/>
      <c r="F71" s="22"/>
      <c r="G71" s="22"/>
      <c r="H71" s="22"/>
      <c r="I71" s="22"/>
      <c r="J71" s="22"/>
    </row>
    <row r="72" spans="5:10">
      <c r="E72" s="22"/>
      <c r="F72" s="22"/>
      <c r="G72" s="22"/>
      <c r="H72" s="22"/>
      <c r="I72" s="22"/>
      <c r="J72" s="22"/>
    </row>
  </sheetData>
  <mergeCells count="12">
    <mergeCell ref="O5:T5"/>
    <mergeCell ref="R6:R7"/>
    <mergeCell ref="F5:J5"/>
    <mergeCell ref="H6:H7"/>
    <mergeCell ref="I6:J6"/>
    <mergeCell ref="S6:T6"/>
    <mergeCell ref="A61:C61"/>
    <mergeCell ref="R61:T61"/>
    <mergeCell ref="A62:C62"/>
    <mergeCell ref="R62:T62"/>
    <mergeCell ref="J61:O61"/>
    <mergeCell ref="J62:O62"/>
  </mergeCells>
  <phoneticPr fontId="0" type="noConversion"/>
  <pageMargins left="0.74803149606299213" right="0.19685039370078741" top="0.23622047244094491" bottom="0.39370078740157483" header="0" footer="0.23622047244094491"/>
  <pageSetup paperSize="258" scale="90" orientation="landscape" horizontalDpi="300" verticalDpi="300" r:id="rId1"/>
  <headerFooter alignWithMargins="0">
    <oddFooter>&amp;RPagina No.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186"/>
  <sheetViews>
    <sheetView workbookViewId="0">
      <selection activeCell="D9" sqref="D9"/>
    </sheetView>
  </sheetViews>
  <sheetFormatPr baseColWidth="10" defaultRowHeight="6.75"/>
  <cols>
    <col min="1" max="1" width="12" style="1" customWidth="1"/>
    <col min="2" max="2" width="12.28515625" style="2" customWidth="1"/>
    <col min="3" max="3" width="9.85546875" style="2" customWidth="1"/>
    <col min="4" max="4" width="25.5703125" style="2" customWidth="1"/>
    <col min="5" max="5" width="8.140625" style="2" hidden="1" customWidth="1"/>
    <col min="6" max="6" width="5.7109375" style="2" hidden="1" customWidth="1"/>
    <col min="7" max="7" width="4.85546875" style="2" hidden="1" customWidth="1"/>
    <col min="8" max="8" width="8.5703125" style="2" hidden="1" customWidth="1"/>
    <col min="9" max="9" width="4.5703125" style="2" hidden="1" customWidth="1"/>
    <col min="10" max="10" width="4.42578125" style="2" hidden="1" customWidth="1"/>
    <col min="11" max="11" width="9.28515625" style="2" customWidth="1"/>
    <col min="12" max="13" width="8" style="2" hidden="1" customWidth="1"/>
    <col min="14" max="14" width="23" style="2" customWidth="1"/>
    <col min="15" max="21" width="10.42578125" style="2" customWidth="1"/>
    <col min="22" max="16384" width="11.42578125" style="2"/>
  </cols>
  <sheetData>
    <row r="2" spans="1:21" ht="8.25">
      <c r="A2" s="174" t="str">
        <f>ECONOMICO!A2</f>
        <v>PLAN OPERATIVO ANUAL DE INVERSIONES 2011 LA CELIA RISARALDA.</v>
      </c>
      <c r="B2" s="175"/>
      <c r="D2" s="1"/>
      <c r="E2" s="1"/>
    </row>
    <row r="3" spans="1:21" ht="12">
      <c r="A3" s="174" t="s">
        <v>275</v>
      </c>
      <c r="B3" s="175"/>
      <c r="D3" s="1"/>
      <c r="E3" s="1"/>
      <c r="N3" s="309" t="s">
        <v>274</v>
      </c>
      <c r="O3" s="310">
        <v>2011</v>
      </c>
    </row>
    <row r="4" spans="1:21" ht="9">
      <c r="I4" s="193"/>
    </row>
    <row r="5" spans="1:21" ht="8.25">
      <c r="A5" s="176"/>
      <c r="B5" s="177"/>
      <c r="C5" s="177"/>
      <c r="D5" s="176"/>
      <c r="E5" s="176"/>
      <c r="F5" s="356" t="str">
        <f>ECONOMICO!F5</f>
        <v>PROGRAMACION</v>
      </c>
      <c r="G5" s="356"/>
      <c r="H5" s="356"/>
      <c r="I5" s="356"/>
      <c r="J5" s="356"/>
      <c r="K5" s="166"/>
      <c r="L5" s="166" t="s">
        <v>68</v>
      </c>
      <c r="M5" s="166"/>
      <c r="N5" s="169"/>
      <c r="O5" s="348" t="s">
        <v>179</v>
      </c>
      <c r="P5" s="348"/>
      <c r="Q5" s="348"/>
      <c r="R5" s="348"/>
      <c r="S5" s="348"/>
      <c r="T5" s="348"/>
      <c r="U5" s="353" t="s">
        <v>1274</v>
      </c>
    </row>
    <row r="6" spans="1:21" ht="24.75">
      <c r="A6" s="176" t="s">
        <v>138</v>
      </c>
      <c r="B6" s="176" t="s">
        <v>139</v>
      </c>
      <c r="C6" s="176" t="s">
        <v>140</v>
      </c>
      <c r="D6" s="176" t="s">
        <v>141</v>
      </c>
      <c r="E6" s="176" t="s">
        <v>142</v>
      </c>
      <c r="F6" s="173" t="s">
        <v>143</v>
      </c>
      <c r="G6" s="173" t="s">
        <v>144</v>
      </c>
      <c r="H6" s="357" t="s">
        <v>145</v>
      </c>
      <c r="I6" s="358" t="s">
        <v>146</v>
      </c>
      <c r="J6" s="358"/>
      <c r="K6" s="168" t="s">
        <v>66</v>
      </c>
      <c r="L6" s="166"/>
      <c r="M6" s="168" t="s">
        <v>430</v>
      </c>
      <c r="N6" s="170" t="s">
        <v>134</v>
      </c>
      <c r="O6" s="171" t="s">
        <v>69</v>
      </c>
      <c r="P6" s="172" t="s">
        <v>143</v>
      </c>
      <c r="Q6" s="172" t="s">
        <v>144</v>
      </c>
      <c r="R6" s="349" t="s">
        <v>145</v>
      </c>
      <c r="S6" s="352" t="s">
        <v>146</v>
      </c>
      <c r="T6" s="352"/>
      <c r="U6" s="354"/>
    </row>
    <row r="7" spans="1:21" ht="8.25">
      <c r="A7" s="176"/>
      <c r="B7" s="177"/>
      <c r="C7" s="177"/>
      <c r="D7" s="176"/>
      <c r="E7" s="176"/>
      <c r="F7" s="178"/>
      <c r="G7" s="178"/>
      <c r="H7" s="357"/>
      <c r="I7" s="178" t="s">
        <v>147</v>
      </c>
      <c r="J7" s="178" t="s">
        <v>148</v>
      </c>
      <c r="K7" s="166"/>
      <c r="L7" s="166" t="s">
        <v>99</v>
      </c>
      <c r="M7" s="166"/>
      <c r="N7" s="169"/>
      <c r="O7" s="171"/>
      <c r="P7" s="172"/>
      <c r="Q7" s="172"/>
      <c r="R7" s="349"/>
      <c r="S7" s="172" t="s">
        <v>147</v>
      </c>
      <c r="T7" s="172" t="s">
        <v>148</v>
      </c>
      <c r="U7" s="355"/>
    </row>
    <row r="8" spans="1:21" s="33" customFormat="1" ht="67.5">
      <c r="A8" s="48" t="s">
        <v>26</v>
      </c>
      <c r="B8" s="41" t="s">
        <v>282</v>
      </c>
      <c r="C8" s="41" t="s">
        <v>413</v>
      </c>
      <c r="D8" s="41" t="s">
        <v>283</v>
      </c>
      <c r="E8" s="80">
        <f>SUM(F8:J8)</f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13">
        <v>0</v>
      </c>
      <c r="L8" s="100"/>
      <c r="M8" s="100"/>
      <c r="N8" s="80"/>
      <c r="O8" s="81">
        <f t="shared" ref="O8:O16" si="0">P8+Q8+R8+S8+T8</f>
        <v>0</v>
      </c>
      <c r="P8" s="100">
        <v>0</v>
      </c>
      <c r="Q8" s="100">
        <v>0</v>
      </c>
      <c r="R8" s="100">
        <v>0</v>
      </c>
      <c r="S8" s="81">
        <v>0</v>
      </c>
      <c r="T8" s="81">
        <v>0</v>
      </c>
      <c r="U8" s="81">
        <v>0</v>
      </c>
    </row>
    <row r="9" spans="1:21" s="33" customFormat="1" ht="45">
      <c r="A9" s="49"/>
      <c r="B9" s="41"/>
      <c r="C9" s="41"/>
      <c r="D9" s="41" t="s">
        <v>284</v>
      </c>
      <c r="E9" s="80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113">
        <v>0</v>
      </c>
      <c r="L9" s="81"/>
      <c r="M9" s="81"/>
      <c r="N9" s="80"/>
      <c r="O9" s="81">
        <f t="shared" si="0"/>
        <v>0</v>
      </c>
      <c r="P9" s="137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</row>
    <row r="10" spans="1:21" s="33" customFormat="1" ht="22.5">
      <c r="A10" s="49"/>
      <c r="B10" s="41"/>
      <c r="C10" s="41"/>
      <c r="D10" s="41" t="s">
        <v>285</v>
      </c>
      <c r="E10" s="80">
        <f>SUM(F10:J10)</f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113">
        <v>0</v>
      </c>
      <c r="L10" s="81"/>
      <c r="M10" s="81"/>
      <c r="N10" s="80"/>
      <c r="O10" s="81">
        <f t="shared" si="0"/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</row>
    <row r="11" spans="1:21" s="33" customFormat="1" ht="33.75">
      <c r="A11" s="49"/>
      <c r="B11" s="41"/>
      <c r="C11" s="41" t="s">
        <v>414</v>
      </c>
      <c r="D11" s="41" t="s">
        <v>286</v>
      </c>
      <c r="E11" s="80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113">
        <v>0</v>
      </c>
      <c r="L11" s="81"/>
      <c r="M11" s="81"/>
      <c r="N11" s="80" t="str">
        <f>VARIOS!C245&amp;"  -  "&amp;VARIOS!C290&amp;"  -  "&amp;VARIOS!C328</f>
        <v>2.3.1.4.1.1  -  2.3.5.3.1.2.2.3.7  -  2.3.5.3.1.2.2.1.3</v>
      </c>
      <c r="O11" s="81">
        <f t="shared" si="0"/>
        <v>36531554.129999995</v>
      </c>
      <c r="P11" s="81">
        <f>VARIOS!E245</f>
        <v>4500000</v>
      </c>
      <c r="Q11" s="81">
        <v>0</v>
      </c>
      <c r="R11" s="81">
        <f>VARIOS!E290+VARIOS!E328</f>
        <v>32031554.129999999</v>
      </c>
      <c r="S11" s="81">
        <v>0</v>
      </c>
      <c r="T11" s="81">
        <v>0</v>
      </c>
      <c r="U11" s="81">
        <v>0</v>
      </c>
    </row>
    <row r="12" spans="1:21" s="33" customFormat="1" ht="11.25">
      <c r="A12" s="49"/>
      <c r="B12" s="41"/>
      <c r="C12" s="41"/>
      <c r="D12" s="41" t="s">
        <v>287</v>
      </c>
      <c r="E12" s="80">
        <f>SUM(F12:J12)</f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113">
        <v>0</v>
      </c>
      <c r="L12" s="81"/>
      <c r="M12" s="81"/>
      <c r="N12" s="80"/>
      <c r="O12" s="81">
        <f t="shared" si="0"/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</row>
    <row r="13" spans="1:21" s="33" customFormat="1" ht="33.75">
      <c r="A13" s="49"/>
      <c r="B13" s="41"/>
      <c r="C13" s="41" t="s">
        <v>415</v>
      </c>
      <c r="D13" s="41" t="s">
        <v>288</v>
      </c>
      <c r="E13" s="80">
        <f>SUM(F13:J13)</f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113">
        <v>0</v>
      </c>
      <c r="L13" s="81"/>
      <c r="M13" s="81"/>
      <c r="N13" s="80"/>
      <c r="O13" s="81">
        <f t="shared" si="0"/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</row>
    <row r="14" spans="1:21" s="33" customFormat="1" ht="33.75">
      <c r="A14" s="49"/>
      <c r="B14" s="41"/>
      <c r="C14" s="41"/>
      <c r="D14" s="41" t="s">
        <v>385</v>
      </c>
      <c r="E14" s="80">
        <f>SUM(F14:J14)</f>
        <v>0</v>
      </c>
      <c r="F14" s="81"/>
      <c r="G14" s="81"/>
      <c r="H14" s="81"/>
      <c r="I14" s="81"/>
      <c r="J14" s="81"/>
      <c r="K14" s="113">
        <v>0</v>
      </c>
      <c r="L14" s="81"/>
      <c r="M14" s="81"/>
      <c r="N14" s="80" t="str">
        <f>VARIOS!C286</f>
        <v>2.3.2.4.3.8</v>
      </c>
      <c r="O14" s="81">
        <f t="shared" si="0"/>
        <v>16000000</v>
      </c>
      <c r="P14" s="81">
        <v>0</v>
      </c>
      <c r="Q14" s="81">
        <f>VARIOS!E286</f>
        <v>16000000</v>
      </c>
      <c r="R14" s="81">
        <v>0</v>
      </c>
      <c r="S14" s="81">
        <v>0</v>
      </c>
      <c r="T14" s="81">
        <v>0</v>
      </c>
      <c r="U14" s="81">
        <v>0</v>
      </c>
    </row>
    <row r="15" spans="1:21" s="33" customFormat="1" ht="11.25">
      <c r="A15" s="49"/>
      <c r="B15" s="41"/>
      <c r="C15" s="41"/>
      <c r="D15" s="41" t="s">
        <v>363</v>
      </c>
      <c r="E15" s="80">
        <f>SUM(F15:J15)</f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113">
        <v>0</v>
      </c>
      <c r="L15" s="81"/>
      <c r="M15" s="81"/>
      <c r="N15" s="80" t="str">
        <f>VARIOS!C273&amp;"  -  "&amp;VARIOS!C275</f>
        <v>2.3.2.4.2.08  -  2.3.2.4.2.12</v>
      </c>
      <c r="O15" s="81">
        <f>P15+Q15+R15+S42+T42</f>
        <v>27604335.469999999</v>
      </c>
      <c r="P15" s="81">
        <v>0</v>
      </c>
      <c r="Q15" s="81">
        <f>VARIOS!E273+VARIOS!E275</f>
        <v>27604335.469999999</v>
      </c>
      <c r="R15" s="81">
        <v>0</v>
      </c>
      <c r="S15" s="81">
        <v>0</v>
      </c>
      <c r="T15" s="81">
        <v>0</v>
      </c>
      <c r="U15" s="81">
        <v>0</v>
      </c>
    </row>
    <row r="16" spans="1:21" s="33" customFormat="1" ht="22.5">
      <c r="A16" s="49"/>
      <c r="B16" s="41"/>
      <c r="C16" s="41"/>
      <c r="D16" s="41" t="s">
        <v>362</v>
      </c>
      <c r="E16" s="80">
        <f>SUM(F16:J16)</f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113">
        <v>0</v>
      </c>
      <c r="L16" s="81"/>
      <c r="M16" s="81"/>
      <c r="N16" s="80"/>
      <c r="O16" s="81">
        <f t="shared" si="0"/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</row>
    <row r="17" spans="1:21" s="32" customFormat="1" ht="10.5">
      <c r="A17" s="51"/>
      <c r="B17" s="51" t="s">
        <v>150</v>
      </c>
      <c r="C17" s="51"/>
      <c r="D17" s="51"/>
      <c r="E17" s="83">
        <f>SUM(E8:E16)</f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114">
        <f>O17/$O$36*100</f>
        <v>64.545982299259734</v>
      </c>
      <c r="L17" s="83"/>
      <c r="M17" s="83"/>
      <c r="N17" s="83"/>
      <c r="O17" s="83">
        <f t="shared" ref="O17:T17" si="1">SUM(O8:O16)</f>
        <v>80135889.599999994</v>
      </c>
      <c r="P17" s="83">
        <f t="shared" si="1"/>
        <v>4500000</v>
      </c>
      <c r="Q17" s="83">
        <f t="shared" si="1"/>
        <v>43604335.469999999</v>
      </c>
      <c r="R17" s="83">
        <f t="shared" si="1"/>
        <v>32031554.129999999</v>
      </c>
      <c r="S17" s="83">
        <f t="shared" si="1"/>
        <v>0</v>
      </c>
      <c r="T17" s="83">
        <f t="shared" si="1"/>
        <v>0</v>
      </c>
      <c r="U17" s="83"/>
    </row>
    <row r="18" spans="1:21" s="33" customFormat="1" ht="56.25">
      <c r="A18" s="32"/>
      <c r="B18" s="41" t="s">
        <v>289</v>
      </c>
      <c r="C18" s="41" t="s">
        <v>416</v>
      </c>
      <c r="D18" s="41" t="s">
        <v>291</v>
      </c>
      <c r="E18" s="80">
        <f>SUM(F18:J18)</f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113">
        <v>0</v>
      </c>
      <c r="L18" s="81"/>
      <c r="M18" s="81"/>
      <c r="N18" s="80"/>
      <c r="O18" s="81">
        <f>P18+Q18+R18+S18+T18</f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</row>
    <row r="19" spans="1:21" s="33" customFormat="1" ht="45">
      <c r="A19" s="49"/>
      <c r="B19" s="41"/>
      <c r="C19" s="41"/>
      <c r="D19" s="41" t="s">
        <v>292</v>
      </c>
      <c r="E19" s="80">
        <f>SUM(F19:J19)</f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113">
        <v>0</v>
      </c>
      <c r="L19" s="81"/>
      <c r="M19" s="81"/>
      <c r="N19" s="80"/>
      <c r="O19" s="81">
        <f>P19+Q19+R19+S19+T19</f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</row>
    <row r="20" spans="1:21" s="32" customFormat="1" ht="10.5">
      <c r="A20" s="51"/>
      <c r="B20" s="51" t="s">
        <v>150</v>
      </c>
      <c r="C20" s="51"/>
      <c r="D20" s="51"/>
      <c r="E20" s="83">
        <f>SUM(E18:E19)</f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114">
        <f>O20/$O$36*100</f>
        <v>0</v>
      </c>
      <c r="L20" s="83"/>
      <c r="M20" s="83"/>
      <c r="N20" s="83"/>
      <c r="O20" s="83">
        <f t="shared" ref="O20:T20" si="2">SUM(O18:O19)</f>
        <v>0</v>
      </c>
      <c r="P20" s="83">
        <f t="shared" si="2"/>
        <v>0</v>
      </c>
      <c r="Q20" s="83">
        <f t="shared" si="2"/>
        <v>0</v>
      </c>
      <c r="R20" s="83">
        <f t="shared" si="2"/>
        <v>0</v>
      </c>
      <c r="S20" s="83">
        <f t="shared" si="2"/>
        <v>0</v>
      </c>
      <c r="T20" s="83">
        <f t="shared" si="2"/>
        <v>0</v>
      </c>
      <c r="U20" s="83"/>
    </row>
    <row r="21" spans="1:21" s="33" customFormat="1" ht="56.25">
      <c r="A21" s="49"/>
      <c r="B21" s="41" t="s">
        <v>293</v>
      </c>
      <c r="C21" s="41" t="s">
        <v>417</v>
      </c>
      <c r="D21" s="41" t="s">
        <v>294</v>
      </c>
      <c r="E21" s="80">
        <f t="shared" ref="E21:E27" si="3">SUM(F21:J21)</f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113">
        <v>0</v>
      </c>
      <c r="L21" s="81"/>
      <c r="M21" s="81"/>
      <c r="N21" s="80"/>
      <c r="O21" s="81">
        <f t="shared" ref="O21:O27" si="4">P21+Q21+R21+S21+T21</f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</row>
    <row r="22" spans="1:21" s="33" customFormat="1" ht="33.75">
      <c r="A22" s="49"/>
      <c r="B22" s="41"/>
      <c r="C22" s="41"/>
      <c r="D22" s="41" t="s">
        <v>357</v>
      </c>
      <c r="E22" s="80">
        <f t="shared" si="3"/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113">
        <v>0</v>
      </c>
      <c r="L22" s="81"/>
      <c r="M22" s="81"/>
      <c r="N22" s="80"/>
      <c r="O22" s="81">
        <f t="shared" si="4"/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</row>
    <row r="23" spans="1:21" s="33" customFormat="1" ht="33.75">
      <c r="A23" s="49"/>
      <c r="B23" s="41"/>
      <c r="C23" s="41"/>
      <c r="D23" s="41" t="s">
        <v>295</v>
      </c>
      <c r="E23" s="80">
        <f t="shared" si="3"/>
        <v>20000</v>
      </c>
      <c r="F23" s="81">
        <v>0</v>
      </c>
      <c r="G23" s="81">
        <v>10000</v>
      </c>
      <c r="H23" s="81">
        <v>10000</v>
      </c>
      <c r="I23" s="81">
        <v>0</v>
      </c>
      <c r="J23" s="81">
        <v>0</v>
      </c>
      <c r="K23" s="113">
        <v>0</v>
      </c>
      <c r="L23" s="81"/>
      <c r="M23" s="81"/>
      <c r="N23" s="80" t="str">
        <f>VARIOS!C332</f>
        <v>2.3.5.3.2.2.2.1</v>
      </c>
      <c r="O23" s="81">
        <f t="shared" si="4"/>
        <v>7591290.4205</v>
      </c>
      <c r="P23" s="81">
        <v>0</v>
      </c>
      <c r="Q23" s="81">
        <v>0</v>
      </c>
      <c r="R23" s="81">
        <f>VARIOS!E332*1%</f>
        <v>7591290.4205</v>
      </c>
      <c r="S23" s="81">
        <v>0</v>
      </c>
      <c r="T23" s="81">
        <v>0</v>
      </c>
      <c r="U23" s="81">
        <v>0</v>
      </c>
    </row>
    <row r="24" spans="1:21" s="33" customFormat="1" ht="33.75">
      <c r="A24" s="49"/>
      <c r="B24" s="41"/>
      <c r="C24" s="41"/>
      <c r="D24" s="41" t="s">
        <v>296</v>
      </c>
      <c r="E24" s="80">
        <f t="shared" si="3"/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113">
        <v>0</v>
      </c>
      <c r="L24" s="81"/>
      <c r="M24" s="81"/>
      <c r="N24" s="80"/>
      <c r="O24" s="81">
        <f t="shared" si="4"/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</row>
    <row r="25" spans="1:21" s="33" customFormat="1" ht="33.75">
      <c r="A25" s="49"/>
      <c r="B25" s="41"/>
      <c r="C25" s="41"/>
      <c r="D25" s="41" t="s">
        <v>297</v>
      </c>
      <c r="E25" s="80">
        <f t="shared" si="3"/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113">
        <v>0</v>
      </c>
      <c r="L25" s="81"/>
      <c r="M25" s="81"/>
      <c r="N25" s="80"/>
      <c r="O25" s="81">
        <f t="shared" si="4"/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</row>
    <row r="26" spans="1:21" s="33" customFormat="1" ht="22.5">
      <c r="A26" s="49"/>
      <c r="B26" s="41"/>
      <c r="C26" s="41"/>
      <c r="D26" s="41" t="s">
        <v>370</v>
      </c>
      <c r="E26" s="80">
        <f t="shared" si="3"/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113">
        <v>0</v>
      </c>
      <c r="L26" s="81"/>
      <c r="M26" s="81"/>
      <c r="N26" s="80"/>
      <c r="O26" s="81">
        <f t="shared" si="4"/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</row>
    <row r="27" spans="1:21" s="33" customFormat="1" ht="22.5">
      <c r="A27" s="49"/>
      <c r="B27" s="41"/>
      <c r="C27" s="41"/>
      <c r="D27" s="42" t="s">
        <v>386</v>
      </c>
      <c r="E27" s="80">
        <f t="shared" si="3"/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113">
        <v>0</v>
      </c>
      <c r="L27" s="81"/>
      <c r="M27" s="81"/>
      <c r="N27" s="80"/>
      <c r="O27" s="81">
        <f t="shared" si="4"/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</row>
    <row r="28" spans="1:21" s="32" customFormat="1" ht="10.5">
      <c r="A28" s="51"/>
      <c r="B28" s="51" t="s">
        <v>150</v>
      </c>
      <c r="C28" s="51"/>
      <c r="D28" s="51"/>
      <c r="E28" s="83">
        <f>SUM(E21:E27)</f>
        <v>20000</v>
      </c>
      <c r="F28" s="83">
        <v>0</v>
      </c>
      <c r="G28" s="83">
        <v>10000</v>
      </c>
      <c r="H28" s="83">
        <v>10000</v>
      </c>
      <c r="I28" s="83">
        <v>0</v>
      </c>
      <c r="J28" s="83">
        <v>0</v>
      </c>
      <c r="K28" s="114">
        <f>O28/$O$36*100</f>
        <v>6.1144550781917451</v>
      </c>
      <c r="L28" s="83"/>
      <c r="M28" s="83"/>
      <c r="N28" s="83"/>
      <c r="O28" s="83">
        <f t="shared" ref="O28:T28" si="5">SUM(O21:O27)</f>
        <v>7591290.4205</v>
      </c>
      <c r="P28" s="83">
        <f t="shared" si="5"/>
        <v>0</v>
      </c>
      <c r="Q28" s="83">
        <f t="shared" si="5"/>
        <v>0</v>
      </c>
      <c r="R28" s="83">
        <f t="shared" si="5"/>
        <v>7591290.4205</v>
      </c>
      <c r="S28" s="83">
        <f t="shared" si="5"/>
        <v>0</v>
      </c>
      <c r="T28" s="83">
        <f t="shared" si="5"/>
        <v>0</v>
      </c>
      <c r="U28" s="83"/>
    </row>
    <row r="29" spans="1:21" s="33" customFormat="1" ht="42">
      <c r="A29" s="49" t="s">
        <v>298</v>
      </c>
      <c r="B29" s="41" t="s">
        <v>300</v>
      </c>
      <c r="C29" s="41" t="s">
        <v>299</v>
      </c>
      <c r="D29" s="41" t="s">
        <v>301</v>
      </c>
      <c r="E29" s="80">
        <f t="shared" ref="E29:E34" si="6">SUM(F29:J29)</f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113">
        <f t="shared" ref="K29:K34" si="7">O29/$O$35*100</f>
        <v>0</v>
      </c>
      <c r="L29" s="81"/>
      <c r="M29" s="81"/>
      <c r="N29" s="80"/>
      <c r="O29" s="81">
        <f t="shared" ref="O29:O34" si="8">P29+Q29+R29+S29+T29</f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</row>
    <row r="30" spans="1:21" s="33" customFormat="1" ht="22.5">
      <c r="A30" s="49"/>
      <c r="B30" s="41"/>
      <c r="C30" s="41"/>
      <c r="D30" s="41" t="s">
        <v>396</v>
      </c>
      <c r="E30" s="80">
        <f t="shared" si="6"/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113">
        <f t="shared" si="7"/>
        <v>5.4905836490418931</v>
      </c>
      <c r="L30" s="81"/>
      <c r="M30" s="81"/>
      <c r="N30" s="80" t="str">
        <f>VARIOS!C255</f>
        <v>2.3.2.3.3.09.07</v>
      </c>
      <c r="O30" s="81">
        <f t="shared" si="8"/>
        <v>2000000</v>
      </c>
      <c r="P30" s="81">
        <v>0</v>
      </c>
      <c r="Q30" s="81">
        <f>VARIOS!E255</f>
        <v>2000000</v>
      </c>
      <c r="R30" s="81">
        <v>0</v>
      </c>
      <c r="S30" s="81">
        <v>0</v>
      </c>
      <c r="T30" s="81">
        <v>0</v>
      </c>
      <c r="U30" s="81">
        <v>0</v>
      </c>
    </row>
    <row r="31" spans="1:21" s="33" customFormat="1" ht="22.5">
      <c r="A31" s="49"/>
      <c r="B31" s="41"/>
      <c r="C31" s="41"/>
      <c r="D31" s="41" t="s">
        <v>397</v>
      </c>
      <c r="E31" s="80">
        <f t="shared" si="6"/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113">
        <f t="shared" si="7"/>
        <v>0</v>
      </c>
      <c r="L31" s="81"/>
      <c r="M31" s="81"/>
      <c r="N31" s="80"/>
      <c r="O31" s="81">
        <f t="shared" si="8"/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</row>
    <row r="32" spans="1:21" s="33" customFormat="1" ht="22.5">
      <c r="A32" s="49"/>
      <c r="B32" s="41"/>
      <c r="C32" s="41"/>
      <c r="D32" s="41" t="s">
        <v>302</v>
      </c>
      <c r="E32" s="80">
        <f t="shared" si="6"/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113">
        <f t="shared" si="7"/>
        <v>16.471750947125681</v>
      </c>
      <c r="L32" s="81"/>
      <c r="M32" s="81"/>
      <c r="N32" s="80" t="str">
        <f>VARIOS!C256</f>
        <v>2.3.2.3.3.09.09</v>
      </c>
      <c r="O32" s="81">
        <f t="shared" si="8"/>
        <v>6000000</v>
      </c>
      <c r="P32" s="81">
        <v>0</v>
      </c>
      <c r="Q32" s="81">
        <f>VARIOS!E256</f>
        <v>6000000</v>
      </c>
      <c r="R32" s="81">
        <v>0</v>
      </c>
      <c r="S32" s="81">
        <v>0</v>
      </c>
      <c r="T32" s="81">
        <v>0</v>
      </c>
      <c r="U32" s="81">
        <v>0</v>
      </c>
    </row>
    <row r="33" spans="1:21" s="33" customFormat="1" ht="22.5">
      <c r="A33" s="49"/>
      <c r="B33" s="41"/>
      <c r="C33" s="41"/>
      <c r="D33" s="41" t="s">
        <v>303</v>
      </c>
      <c r="E33" s="80">
        <f t="shared" si="6"/>
        <v>37000</v>
      </c>
      <c r="F33" s="81">
        <v>0</v>
      </c>
      <c r="G33" s="81">
        <v>37000</v>
      </c>
      <c r="H33" s="81">
        <v>0</v>
      </c>
      <c r="I33" s="81">
        <v>0</v>
      </c>
      <c r="J33" s="81">
        <v>0</v>
      </c>
      <c r="K33" s="113">
        <f t="shared" si="7"/>
        <v>78.03766540383242</v>
      </c>
      <c r="L33" s="81"/>
      <c r="M33" s="81"/>
      <c r="N33" s="80" t="str">
        <f>VARIOS!C246&amp;"  -  "&amp;VARIOS!C258&amp;"  -  "&amp;VARIOS!C254</f>
        <v>2.3.1.4.4.06  -  2.3.2.3.3.09.12  -  2.3.2.3.3.09.06</v>
      </c>
      <c r="O33" s="81">
        <f t="shared" si="8"/>
        <v>28426000</v>
      </c>
      <c r="P33" s="81">
        <f>VARIOS!E246</f>
        <v>1426000</v>
      </c>
      <c r="Q33" s="81">
        <f>VARIOS!E258+VARIOS!E254</f>
        <v>27000000</v>
      </c>
      <c r="R33" s="81">
        <v>0</v>
      </c>
      <c r="S33" s="81">
        <v>0</v>
      </c>
      <c r="T33" s="81">
        <v>0</v>
      </c>
      <c r="U33" s="81">
        <v>0</v>
      </c>
    </row>
    <row r="34" spans="1:21" s="33" customFormat="1" ht="22.5">
      <c r="A34" s="49"/>
      <c r="B34" s="42" t="s">
        <v>304</v>
      </c>
      <c r="C34" s="41"/>
      <c r="D34" s="41" t="s">
        <v>305</v>
      </c>
      <c r="E34" s="80">
        <f t="shared" si="6"/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113">
        <f t="shared" si="7"/>
        <v>0</v>
      </c>
      <c r="L34" s="81"/>
      <c r="M34" s="81"/>
      <c r="N34" s="80"/>
      <c r="O34" s="81">
        <f t="shared" si="8"/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</row>
    <row r="35" spans="1:21" s="32" customFormat="1" ht="10.5">
      <c r="A35" s="51"/>
      <c r="B35" s="51" t="s">
        <v>150</v>
      </c>
      <c r="C35" s="51"/>
      <c r="D35" s="51"/>
      <c r="E35" s="83">
        <f>SUM(E29:E34)</f>
        <v>37000</v>
      </c>
      <c r="F35" s="83">
        <v>0</v>
      </c>
      <c r="G35" s="83">
        <v>37000</v>
      </c>
      <c r="H35" s="83">
        <v>0</v>
      </c>
      <c r="I35" s="83">
        <v>0</v>
      </c>
      <c r="J35" s="83">
        <v>0</v>
      </c>
      <c r="K35" s="114">
        <f>O35/$O$36*100</f>
        <v>29.339562622548527</v>
      </c>
      <c r="L35" s="83"/>
      <c r="M35" s="83"/>
      <c r="N35" s="83"/>
      <c r="O35" s="83">
        <f t="shared" ref="O35:T35" si="9">SUM(O29:O34)</f>
        <v>36426000</v>
      </c>
      <c r="P35" s="83">
        <f t="shared" si="9"/>
        <v>1426000</v>
      </c>
      <c r="Q35" s="83">
        <f t="shared" si="9"/>
        <v>35000000</v>
      </c>
      <c r="R35" s="83">
        <f t="shared" si="9"/>
        <v>0</v>
      </c>
      <c r="S35" s="83">
        <f t="shared" si="9"/>
        <v>0</v>
      </c>
      <c r="T35" s="83">
        <f t="shared" si="9"/>
        <v>0</v>
      </c>
      <c r="U35" s="83"/>
    </row>
    <row r="36" spans="1:21" s="98" customFormat="1" ht="42">
      <c r="A36" s="96"/>
      <c r="B36" s="96" t="s">
        <v>306</v>
      </c>
      <c r="C36" s="96"/>
      <c r="D36" s="115"/>
      <c r="E36" s="88">
        <f>E17+E20+E28+E35</f>
        <v>57000</v>
      </c>
      <c r="F36" s="88">
        <v>0</v>
      </c>
      <c r="G36" s="88">
        <v>47000</v>
      </c>
      <c r="H36" s="88">
        <v>10000</v>
      </c>
      <c r="I36" s="88">
        <v>0</v>
      </c>
      <c r="J36" s="88">
        <v>0</v>
      </c>
      <c r="K36" s="116">
        <f>O36/$O$49*100</f>
        <v>40.753864703132621</v>
      </c>
      <c r="L36" s="88"/>
      <c r="M36" s="88"/>
      <c r="N36" s="88"/>
      <c r="O36" s="88">
        <f t="shared" ref="O36:T36" si="10">O17+O20+O28+O35</f>
        <v>124153180.02049999</v>
      </c>
      <c r="P36" s="88">
        <f t="shared" si="10"/>
        <v>5926000</v>
      </c>
      <c r="Q36" s="88">
        <f t="shared" si="10"/>
        <v>78604335.469999999</v>
      </c>
      <c r="R36" s="88">
        <f t="shared" si="10"/>
        <v>39622844.550499998</v>
      </c>
      <c r="S36" s="88">
        <f t="shared" si="10"/>
        <v>0</v>
      </c>
      <c r="T36" s="88">
        <f t="shared" si="10"/>
        <v>0</v>
      </c>
      <c r="U36" s="88"/>
    </row>
    <row r="37" spans="1:21" s="33" customFormat="1" ht="78.75">
      <c r="A37" s="48" t="s">
        <v>311</v>
      </c>
      <c r="B37" s="49" t="s">
        <v>307</v>
      </c>
      <c r="C37" s="41" t="s">
        <v>418</v>
      </c>
      <c r="D37" s="325" t="s">
        <v>308</v>
      </c>
      <c r="E37" s="80">
        <f t="shared" ref="E37:E42" si="11">SUM(F37:J37)</f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113">
        <f>O37/O43*100</f>
        <v>59.605974345905608</v>
      </c>
      <c r="L37" s="81"/>
      <c r="M37" s="81"/>
      <c r="N37" s="80" t="str">
        <f>VARIOS!C264&amp;"  -  "&amp;VARIOS!C271&amp;"  -  "&amp;VARIOS!C336&amp;"  -  "&amp;VARIOS!C337</f>
        <v>2.3.2.4.1.07  -  2.3.2.4.2.02  -  2.3.3.03  -  2.3.5.3.1.2.2.4</v>
      </c>
      <c r="O37" s="81">
        <f>P37+Q37+R37+S37+T37+U37</f>
        <v>96852739.420000002</v>
      </c>
      <c r="P37" s="81">
        <v>0</v>
      </c>
      <c r="Q37" s="81">
        <f>VARIOS!E264+VARIOS!E271</f>
        <v>29445206.620000001</v>
      </c>
      <c r="R37" s="81">
        <v>0</v>
      </c>
      <c r="S37" s="81">
        <v>0</v>
      </c>
      <c r="T37" s="81">
        <v>0</v>
      </c>
      <c r="U37" s="81">
        <f>VARIOS!G337</f>
        <v>67407532.799999997</v>
      </c>
    </row>
    <row r="38" spans="1:21" s="33" customFormat="1" ht="33.75">
      <c r="A38" s="48"/>
      <c r="B38" s="49"/>
      <c r="C38" s="41"/>
      <c r="D38" s="41" t="s">
        <v>387</v>
      </c>
      <c r="E38" s="80">
        <f t="shared" si="11"/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113">
        <f>O38/O43*100</f>
        <v>9.8468623112332168</v>
      </c>
      <c r="L38" s="81"/>
      <c r="M38" s="81"/>
      <c r="N38" s="80" t="str">
        <f>VARIOS!C268&amp;"  -  "&amp;VARIOS!C269</f>
        <v>2.3.2.4.1.13  -  2.3.2.4.1.14</v>
      </c>
      <c r="O38" s="81">
        <f t="shared" ref="O38:O41" si="12">P38+Q38+R38+S38+T38</f>
        <v>16000000</v>
      </c>
      <c r="P38" s="81">
        <v>0</v>
      </c>
      <c r="Q38" s="81">
        <f>VARIOS!E268+VARIOS!E269</f>
        <v>16000000</v>
      </c>
      <c r="R38" s="81">
        <v>0</v>
      </c>
      <c r="S38" s="81">
        <v>0</v>
      </c>
      <c r="T38" s="81">
        <v>0</v>
      </c>
      <c r="U38" s="81">
        <v>0</v>
      </c>
    </row>
    <row r="39" spans="1:21" s="33" customFormat="1" ht="22.5">
      <c r="A39" s="48"/>
      <c r="B39" s="49"/>
      <c r="C39" s="41"/>
      <c r="D39" s="41" t="s">
        <v>388</v>
      </c>
      <c r="E39" s="80">
        <f t="shared" si="11"/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113">
        <f>O39/O43*100</f>
        <v>24.3928743983404</v>
      </c>
      <c r="L39" s="81"/>
      <c r="M39" s="81"/>
      <c r="N39" s="80" t="str">
        <f>VARIOS!C289&amp;"  -  "&amp;VARIOS!C292</f>
        <v>2.3.2.4.6  -  2.3.5.3.1.2.1.3</v>
      </c>
      <c r="O39" s="81">
        <f t="shared" si="12"/>
        <v>39635568.979999997</v>
      </c>
      <c r="P39" s="81">
        <v>0</v>
      </c>
      <c r="Q39" s="81">
        <f>VARIOS!E289</f>
        <v>39100000</v>
      </c>
      <c r="R39" s="81">
        <f>VARIOS!E292</f>
        <v>535568.98</v>
      </c>
      <c r="S39" s="81">
        <v>0</v>
      </c>
      <c r="T39" s="81">
        <v>0</v>
      </c>
      <c r="U39" s="81">
        <v>0</v>
      </c>
    </row>
    <row r="40" spans="1:21" s="33" customFormat="1" ht="22.5">
      <c r="A40" s="49"/>
      <c r="B40" s="41"/>
      <c r="C40" s="41"/>
      <c r="D40" s="41" t="s">
        <v>309</v>
      </c>
      <c r="E40" s="80">
        <f t="shared" si="11"/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113">
        <f>O40/O43*100</f>
        <v>6.1542889445207614</v>
      </c>
      <c r="L40" s="81"/>
      <c r="M40" s="81"/>
      <c r="N40" s="80" t="str">
        <f>VARIOS!C288</f>
        <v>2.3.2.4.5</v>
      </c>
      <c r="O40" s="81">
        <f t="shared" si="12"/>
        <v>10000000</v>
      </c>
      <c r="P40" s="81">
        <v>0</v>
      </c>
      <c r="Q40" s="81">
        <f>VARIOS!E288</f>
        <v>10000000</v>
      </c>
      <c r="R40" s="81">
        <v>0</v>
      </c>
      <c r="S40" s="81">
        <v>0</v>
      </c>
      <c r="T40" s="81">
        <v>0</v>
      </c>
      <c r="U40" s="81">
        <v>0</v>
      </c>
    </row>
    <row r="41" spans="1:21" s="33" customFormat="1" ht="22.5">
      <c r="A41" s="49"/>
      <c r="B41" s="41"/>
      <c r="C41" s="41"/>
      <c r="D41" s="41" t="s">
        <v>358</v>
      </c>
      <c r="E41" s="80">
        <f t="shared" si="11"/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113">
        <v>0</v>
      </c>
      <c r="L41" s="81"/>
      <c r="M41" s="81"/>
      <c r="N41" s="80"/>
      <c r="O41" s="81">
        <f t="shared" si="12"/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</row>
    <row r="42" spans="1:21" s="33" customFormat="1" ht="33.75">
      <c r="A42" s="49"/>
      <c r="B42" s="41"/>
      <c r="C42" s="41"/>
      <c r="D42" s="41" t="s">
        <v>359</v>
      </c>
      <c r="E42" s="80">
        <f t="shared" si="11"/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113">
        <v>0</v>
      </c>
      <c r="L42" s="81"/>
      <c r="M42" s="81"/>
      <c r="N42" s="80"/>
      <c r="O42" s="81">
        <f t="shared" ref="O42" si="13">P42+Q42+R42+S42+T42</f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</row>
    <row r="43" spans="1:21" s="32" customFormat="1" ht="10.5">
      <c r="A43" s="51"/>
      <c r="B43" s="51" t="s">
        <v>150</v>
      </c>
      <c r="C43" s="51"/>
      <c r="D43" s="51"/>
      <c r="E43" s="83">
        <f>SUM(E37:E42)</f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114">
        <v>0</v>
      </c>
      <c r="L43" s="83"/>
      <c r="M43" s="83"/>
      <c r="N43" s="83"/>
      <c r="O43" s="83">
        <f t="shared" ref="O43:T43" si="14">SUM(O37:O42)</f>
        <v>162488308.40000001</v>
      </c>
      <c r="P43" s="83">
        <f t="shared" si="14"/>
        <v>0</v>
      </c>
      <c r="Q43" s="83">
        <f t="shared" si="14"/>
        <v>94545206.620000005</v>
      </c>
      <c r="R43" s="83">
        <f t="shared" si="14"/>
        <v>535568.98</v>
      </c>
      <c r="S43" s="83">
        <f t="shared" si="14"/>
        <v>0</v>
      </c>
      <c r="T43" s="83">
        <f t="shared" si="14"/>
        <v>0</v>
      </c>
      <c r="U43" s="83"/>
    </row>
    <row r="44" spans="1:21" s="33" customFormat="1" ht="52.5">
      <c r="A44" s="49" t="s">
        <v>310</v>
      </c>
      <c r="B44" s="41"/>
      <c r="C44" s="41"/>
      <c r="D44" s="41" t="s">
        <v>374</v>
      </c>
      <c r="E44" s="80">
        <f>SUM(F44:J44)</f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113">
        <v>0</v>
      </c>
      <c r="L44" s="81"/>
      <c r="M44" s="81"/>
      <c r="N44" s="80"/>
      <c r="O44" s="81">
        <f>P44+Q44+R44+S44+T44</f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</row>
    <row r="45" spans="1:21" s="33" customFormat="1" ht="63">
      <c r="A45" s="49" t="s">
        <v>312</v>
      </c>
      <c r="B45" s="102"/>
      <c r="C45" s="102"/>
      <c r="D45" s="41" t="s">
        <v>313</v>
      </c>
      <c r="E45" s="80">
        <f>SUM(F45:J45)</f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113">
        <v>0</v>
      </c>
      <c r="L45" s="81"/>
      <c r="M45" s="81"/>
      <c r="N45" s="80" t="str">
        <f>VARIOS!C285&amp;"  -  "&amp;VARIOS!C283</f>
        <v>2.3.2.4.3.7  -  2.3.2.4.3.5</v>
      </c>
      <c r="O45" s="81">
        <f>P45+Q45+R45+S45+T45</f>
        <v>18000000</v>
      </c>
      <c r="P45" s="81">
        <v>0</v>
      </c>
      <c r="Q45" s="81">
        <f>VARIOS!E285+VARIOS!E283</f>
        <v>18000000</v>
      </c>
      <c r="R45" s="81">
        <v>0</v>
      </c>
      <c r="S45" s="81">
        <v>0</v>
      </c>
      <c r="T45" s="81">
        <v>0</v>
      </c>
      <c r="U45" s="81">
        <v>0</v>
      </c>
    </row>
    <row r="46" spans="1:21" s="33" customFormat="1" ht="11.25">
      <c r="A46" s="49"/>
      <c r="B46" s="102"/>
      <c r="C46" s="102"/>
      <c r="D46" s="41" t="s">
        <v>424</v>
      </c>
      <c r="E46" s="80">
        <f>SUM(F46:J46)</f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113">
        <v>0</v>
      </c>
      <c r="L46" s="81"/>
      <c r="M46" s="81"/>
      <c r="N46" s="80"/>
      <c r="O46" s="81">
        <f>P46+Q46+R46+S46+T46</f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</row>
    <row r="47" spans="1:21" s="32" customFormat="1" ht="10.5">
      <c r="A47" s="38"/>
      <c r="B47" s="68" t="s">
        <v>150</v>
      </c>
      <c r="C47" s="38"/>
      <c r="D47" s="38"/>
      <c r="E47" s="84">
        <f>SUM(E44:E46)</f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114">
        <v>0</v>
      </c>
      <c r="L47" s="84"/>
      <c r="M47" s="84"/>
      <c r="N47" s="83"/>
      <c r="O47" s="84">
        <f t="shared" ref="O47:T47" si="15">SUM(O44:O46)</f>
        <v>18000000</v>
      </c>
      <c r="P47" s="84">
        <f t="shared" si="15"/>
        <v>0</v>
      </c>
      <c r="Q47" s="84">
        <f t="shared" si="15"/>
        <v>18000000</v>
      </c>
      <c r="R47" s="84">
        <f t="shared" si="15"/>
        <v>0</v>
      </c>
      <c r="S47" s="84">
        <f t="shared" si="15"/>
        <v>0</v>
      </c>
      <c r="T47" s="84">
        <f t="shared" si="15"/>
        <v>0</v>
      </c>
      <c r="U47" s="84"/>
    </row>
    <row r="48" spans="1:21" s="98" customFormat="1" ht="52.5">
      <c r="A48" s="117"/>
      <c r="B48" s="96" t="s">
        <v>314</v>
      </c>
      <c r="C48" s="117"/>
      <c r="D48" s="117"/>
      <c r="E48" s="106">
        <f>E43+E47</f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16">
        <f>O48/$O$49*100</f>
        <v>59.246135296867386</v>
      </c>
      <c r="L48" s="106"/>
      <c r="M48" s="106"/>
      <c r="N48" s="88"/>
      <c r="O48" s="106">
        <f t="shared" ref="O48:T48" si="16">O43+O47</f>
        <v>180488308.40000001</v>
      </c>
      <c r="P48" s="106">
        <f t="shared" si="16"/>
        <v>0</v>
      </c>
      <c r="Q48" s="106">
        <f t="shared" si="16"/>
        <v>112545206.62</v>
      </c>
      <c r="R48" s="106">
        <f t="shared" si="16"/>
        <v>535568.98</v>
      </c>
      <c r="S48" s="106">
        <f t="shared" si="16"/>
        <v>0</v>
      </c>
      <c r="T48" s="106">
        <f t="shared" si="16"/>
        <v>0</v>
      </c>
      <c r="U48" s="106"/>
    </row>
    <row r="49" spans="1:21" s="32" customFormat="1" ht="21">
      <c r="A49" s="118"/>
      <c r="B49" s="107" t="s">
        <v>399</v>
      </c>
      <c r="C49" s="118"/>
      <c r="D49" s="118"/>
      <c r="E49" s="108">
        <f>E36+E48</f>
        <v>57000</v>
      </c>
      <c r="F49" s="108">
        <v>0</v>
      </c>
      <c r="G49" s="108">
        <v>47000</v>
      </c>
      <c r="H49" s="108">
        <v>10000</v>
      </c>
      <c r="I49" s="108">
        <v>0</v>
      </c>
      <c r="J49" s="108">
        <v>0</v>
      </c>
      <c r="K49" s="114">
        <v>100</v>
      </c>
      <c r="L49" s="108"/>
      <c r="M49" s="108"/>
      <c r="N49" s="308"/>
      <c r="O49" s="108">
        <f t="shared" ref="O49:T49" si="17">O36+O48</f>
        <v>304641488.42049998</v>
      </c>
      <c r="P49" s="108">
        <f t="shared" si="17"/>
        <v>5926000</v>
      </c>
      <c r="Q49" s="108">
        <f t="shared" si="17"/>
        <v>191149542.09</v>
      </c>
      <c r="R49" s="108">
        <f t="shared" si="17"/>
        <v>40158413.530499995</v>
      </c>
      <c r="S49" s="108">
        <f t="shared" si="17"/>
        <v>0</v>
      </c>
      <c r="T49" s="108">
        <f t="shared" si="17"/>
        <v>0</v>
      </c>
      <c r="U49" s="108"/>
    </row>
    <row r="50" spans="1:21">
      <c r="E50" s="22"/>
      <c r="F50" s="22"/>
      <c r="G50" s="22"/>
      <c r="H50" s="22"/>
      <c r="I50" s="22"/>
      <c r="J50" s="22"/>
    </row>
    <row r="51" spans="1:21">
      <c r="A51" s="5" t="s">
        <v>395</v>
      </c>
      <c r="B51" s="5"/>
      <c r="C51" s="5"/>
      <c r="D51" s="5"/>
      <c r="E51" s="22"/>
      <c r="F51" s="22"/>
      <c r="G51" s="22"/>
      <c r="H51" s="22"/>
      <c r="I51" s="22"/>
      <c r="J51" s="22"/>
    </row>
    <row r="52" spans="1:21">
      <c r="E52" s="22"/>
      <c r="F52" s="22"/>
      <c r="G52" s="22"/>
      <c r="H52" s="22"/>
      <c r="I52" s="22"/>
      <c r="J52" s="22"/>
    </row>
    <row r="53" spans="1:21">
      <c r="E53" s="22"/>
      <c r="F53" s="22"/>
      <c r="G53" s="22"/>
      <c r="H53" s="22"/>
      <c r="I53" s="22"/>
      <c r="J53" s="22"/>
    </row>
    <row r="54" spans="1:21">
      <c r="E54" s="22"/>
      <c r="F54" s="22"/>
      <c r="G54" s="22"/>
      <c r="H54" s="22"/>
      <c r="I54" s="22"/>
      <c r="J54" s="22"/>
    </row>
    <row r="55" spans="1:21">
      <c r="E55" s="22"/>
      <c r="F55" s="22"/>
      <c r="G55" s="22"/>
      <c r="H55" s="22"/>
      <c r="I55" s="22"/>
      <c r="J55" s="22"/>
    </row>
    <row r="56" spans="1:21" ht="11.25">
      <c r="B56" s="335" t="s">
        <v>1225</v>
      </c>
      <c r="C56" s="335"/>
      <c r="D56" s="33"/>
      <c r="E56" s="34"/>
      <c r="F56" s="34"/>
      <c r="G56" s="34"/>
      <c r="H56" s="34"/>
      <c r="I56" s="34"/>
      <c r="J56" s="142"/>
      <c r="K56" s="336" t="s">
        <v>1224</v>
      </c>
      <c r="L56" s="336"/>
      <c r="M56" s="336"/>
      <c r="N56" s="336"/>
      <c r="O56" s="336"/>
      <c r="P56" s="144"/>
      <c r="Q56" s="144"/>
      <c r="R56" s="336" t="s">
        <v>1279</v>
      </c>
      <c r="S56" s="336"/>
      <c r="T56" s="336"/>
    </row>
    <row r="57" spans="1:21" ht="11.25">
      <c r="B57" s="334" t="s">
        <v>1276</v>
      </c>
      <c r="C57" s="334"/>
      <c r="D57" s="33"/>
      <c r="E57" s="34"/>
      <c r="F57" s="34"/>
      <c r="G57" s="34"/>
      <c r="H57" s="34"/>
      <c r="I57" s="34"/>
      <c r="J57" s="142"/>
      <c r="K57" s="337" t="s">
        <v>1277</v>
      </c>
      <c r="L57" s="337"/>
      <c r="M57" s="337"/>
      <c r="N57" s="337"/>
      <c r="O57" s="337"/>
      <c r="P57" s="144"/>
      <c r="Q57" s="144"/>
      <c r="R57" s="337" t="s">
        <v>1278</v>
      </c>
      <c r="S57" s="337"/>
      <c r="T57" s="337"/>
    </row>
    <row r="58" spans="1:21">
      <c r="E58" s="22"/>
      <c r="F58" s="22"/>
      <c r="G58" s="22"/>
      <c r="H58" s="22"/>
      <c r="I58" s="22"/>
      <c r="J58" s="22"/>
    </row>
    <row r="59" spans="1:21">
      <c r="E59" s="22"/>
      <c r="F59" s="22"/>
      <c r="G59" s="22"/>
      <c r="H59" s="22"/>
      <c r="I59" s="22"/>
      <c r="J59" s="22"/>
    </row>
    <row r="60" spans="1:21">
      <c r="E60" s="22"/>
      <c r="F60" s="22"/>
      <c r="G60" s="22"/>
      <c r="H60" s="22"/>
      <c r="I60" s="22"/>
      <c r="J60" s="22"/>
    </row>
    <row r="61" spans="1:21">
      <c r="E61" s="22"/>
      <c r="F61" s="22"/>
      <c r="G61" s="22"/>
      <c r="H61" s="22"/>
      <c r="I61" s="22"/>
      <c r="J61" s="22"/>
    </row>
    <row r="62" spans="1:21">
      <c r="E62" s="22"/>
      <c r="F62" s="22"/>
      <c r="G62" s="22"/>
      <c r="H62" s="22"/>
      <c r="I62" s="22"/>
      <c r="J62" s="22"/>
    </row>
    <row r="63" spans="1:21">
      <c r="E63" s="22"/>
      <c r="F63" s="22"/>
      <c r="G63" s="22"/>
      <c r="H63" s="22"/>
      <c r="I63" s="22"/>
      <c r="J63" s="22"/>
    </row>
    <row r="186" spans="4:4">
      <c r="D186" s="2" t="s">
        <v>250</v>
      </c>
    </row>
  </sheetData>
  <mergeCells count="13">
    <mergeCell ref="U5:U7"/>
    <mergeCell ref="R6:R7"/>
    <mergeCell ref="S6:T6"/>
    <mergeCell ref="O5:T5"/>
    <mergeCell ref="F5:J5"/>
    <mergeCell ref="H6:H7"/>
    <mergeCell ref="I6:J6"/>
    <mergeCell ref="B56:C56"/>
    <mergeCell ref="K56:O56"/>
    <mergeCell ref="R56:T56"/>
    <mergeCell ref="B57:C57"/>
    <mergeCell ref="K57:O57"/>
    <mergeCell ref="R57:T57"/>
  </mergeCells>
  <phoneticPr fontId="0" type="noConversion"/>
  <pageMargins left="0.59055118110236227" right="0.15748031496062992" top="0.47244094488188981" bottom="0.47244094488188981" header="0.11811023622047245" footer="0.27559055118110237"/>
  <pageSetup paperSize="258" scale="90" orientation="landscape" horizontalDpi="300" verticalDpi="300" r:id="rId1"/>
  <headerFooter alignWithMargins="0">
    <oddFooter>&amp;RPagina No.&amp;P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60"/>
  <sheetViews>
    <sheetView workbookViewId="0">
      <selection activeCell="D8" sqref="D8"/>
    </sheetView>
  </sheetViews>
  <sheetFormatPr baseColWidth="10" defaultRowHeight="6.75"/>
  <cols>
    <col min="1" max="1" width="16.28515625" style="1" customWidth="1"/>
    <col min="2" max="2" width="14.85546875" style="2" customWidth="1"/>
    <col min="3" max="3" width="15.28515625" style="2" customWidth="1"/>
    <col min="4" max="4" width="26.140625" style="2" customWidth="1"/>
    <col min="5" max="5" width="8.28515625" style="2" hidden="1" customWidth="1"/>
    <col min="6" max="7" width="7.5703125" style="2" hidden="1" customWidth="1"/>
    <col min="8" max="8" width="7.42578125" style="2" hidden="1" customWidth="1"/>
    <col min="9" max="9" width="3.85546875" style="2" hidden="1" customWidth="1"/>
    <col min="10" max="10" width="8.140625" style="2" hidden="1" customWidth="1"/>
    <col min="11" max="11" width="10.140625" style="2" customWidth="1"/>
    <col min="12" max="13" width="8.42578125" style="2" hidden="1" customWidth="1"/>
    <col min="14" max="14" width="27.5703125" style="2" customWidth="1"/>
    <col min="15" max="20" width="10.5703125" style="2" customWidth="1"/>
    <col min="21" max="16384" width="11.42578125" style="2"/>
  </cols>
  <sheetData>
    <row r="1" spans="1:20" s="193" customFormat="1" ht="9">
      <c r="A1" s="192"/>
    </row>
    <row r="2" spans="1:20" s="193" customFormat="1" ht="9">
      <c r="A2" s="192" t="str">
        <f>AMBIENTAL!A2</f>
        <v>PLAN OPERATIVO ANUAL DE INVERSIONES 2011 LA CELIA RISARALDA.</v>
      </c>
      <c r="D2" s="192"/>
      <c r="E2" s="192"/>
    </row>
    <row r="3" spans="1:20" s="193" customFormat="1" ht="12">
      <c r="A3" s="192" t="s">
        <v>276</v>
      </c>
      <c r="D3" s="192"/>
      <c r="E3" s="192"/>
      <c r="N3" s="309" t="s">
        <v>274</v>
      </c>
      <c r="O3" s="309">
        <v>2011</v>
      </c>
    </row>
    <row r="4" spans="1:20" s="193" customFormat="1" ht="9">
      <c r="A4" s="192"/>
    </row>
    <row r="5" spans="1:20" s="174" customFormat="1" ht="8.25">
      <c r="A5" s="194"/>
      <c r="B5" s="194"/>
      <c r="C5" s="194"/>
      <c r="D5" s="194"/>
      <c r="E5" s="194"/>
      <c r="F5" s="360" t="str">
        <f>AMBIENTAL!F5</f>
        <v>PROGRAMACION</v>
      </c>
      <c r="G5" s="360"/>
      <c r="H5" s="360"/>
      <c r="I5" s="360"/>
      <c r="J5" s="360"/>
      <c r="K5" s="362" t="s">
        <v>66</v>
      </c>
      <c r="L5" s="196" t="s">
        <v>68</v>
      </c>
      <c r="M5" s="196"/>
      <c r="N5" s="197"/>
      <c r="O5" s="359" t="s">
        <v>179</v>
      </c>
      <c r="P5" s="359"/>
      <c r="Q5" s="359"/>
      <c r="R5" s="359"/>
      <c r="S5" s="359"/>
      <c r="T5" s="359"/>
    </row>
    <row r="6" spans="1:20" s="174" customFormat="1" ht="24.75">
      <c r="A6" s="194" t="s">
        <v>138</v>
      </c>
      <c r="B6" s="194" t="s">
        <v>139</v>
      </c>
      <c r="C6" s="194" t="s">
        <v>140</v>
      </c>
      <c r="D6" s="194" t="s">
        <v>141</v>
      </c>
      <c r="E6" s="194" t="s">
        <v>142</v>
      </c>
      <c r="F6" s="195" t="s">
        <v>143</v>
      </c>
      <c r="G6" s="195" t="s">
        <v>144</v>
      </c>
      <c r="H6" s="361" t="s">
        <v>145</v>
      </c>
      <c r="I6" s="360" t="s">
        <v>146</v>
      </c>
      <c r="J6" s="360"/>
      <c r="K6" s="363"/>
      <c r="L6" s="196"/>
      <c r="M6" s="198" t="s">
        <v>430</v>
      </c>
      <c r="N6" s="199" t="s">
        <v>134</v>
      </c>
      <c r="O6" s="200" t="s">
        <v>69</v>
      </c>
      <c r="P6" s="201" t="s">
        <v>143</v>
      </c>
      <c r="Q6" s="201" t="s">
        <v>144</v>
      </c>
      <c r="R6" s="344" t="s">
        <v>145</v>
      </c>
      <c r="S6" s="338" t="s">
        <v>146</v>
      </c>
      <c r="T6" s="338"/>
    </row>
    <row r="7" spans="1:20" s="174" customFormat="1" ht="8.25">
      <c r="A7" s="194"/>
      <c r="B7" s="194"/>
      <c r="C7" s="194"/>
      <c r="D7" s="194"/>
      <c r="E7" s="194"/>
      <c r="F7" s="195"/>
      <c r="G7" s="195"/>
      <c r="H7" s="361"/>
      <c r="I7" s="195" t="s">
        <v>147</v>
      </c>
      <c r="J7" s="195" t="s">
        <v>148</v>
      </c>
      <c r="K7" s="364"/>
      <c r="L7" s="196" t="s">
        <v>99</v>
      </c>
      <c r="M7" s="196"/>
      <c r="N7" s="197"/>
      <c r="O7" s="200"/>
      <c r="P7" s="201"/>
      <c r="Q7" s="201"/>
      <c r="R7" s="344"/>
      <c r="S7" s="201" t="s">
        <v>147</v>
      </c>
      <c r="T7" s="201" t="s">
        <v>148</v>
      </c>
    </row>
    <row r="8" spans="1:20" s="125" customFormat="1" ht="33.75">
      <c r="A8" s="48" t="s">
        <v>316</v>
      </c>
      <c r="B8" s="41" t="s">
        <v>315</v>
      </c>
      <c r="C8" s="42" t="s">
        <v>317</v>
      </c>
      <c r="D8" s="42" t="s">
        <v>318</v>
      </c>
      <c r="E8" s="80">
        <f>SUM(F8:J8)</f>
        <v>5000</v>
      </c>
      <c r="F8" s="100">
        <v>2000</v>
      </c>
      <c r="G8" s="100">
        <v>3000</v>
      </c>
      <c r="H8" s="100">
        <v>0</v>
      </c>
      <c r="I8" s="100">
        <v>0</v>
      </c>
      <c r="J8" s="100">
        <v>0</v>
      </c>
      <c r="K8" s="101">
        <f>O8/$O$11*100</f>
        <v>93.18122728867111</v>
      </c>
      <c r="L8" s="100"/>
      <c r="M8" s="100"/>
      <c r="N8" s="100" t="str">
        <f>VARIOS!C301&amp;"  -  "&amp;VARIOS!C307&amp;"  -  "&amp;VARIOS!C298</f>
        <v>2.3.2.3.3.06.01  -  2.3.2.3.3.06.09  -  2.3.1.4.4.05</v>
      </c>
      <c r="O8" s="100">
        <f>P8+Q8+R8+S8+T8</f>
        <v>40996187.099999994</v>
      </c>
      <c r="P8" s="100">
        <f>VARIOS!E298*70%</f>
        <v>24496187.099999998</v>
      </c>
      <c r="Q8" s="100">
        <f>VARIOS!E301+VARIOS!E307</f>
        <v>16500000</v>
      </c>
      <c r="R8" s="100">
        <v>0</v>
      </c>
      <c r="S8" s="81">
        <v>0</v>
      </c>
      <c r="T8" s="81">
        <v>0</v>
      </c>
    </row>
    <row r="9" spans="1:20" s="125" customFormat="1" ht="33.75">
      <c r="A9" s="48"/>
      <c r="B9" s="41"/>
      <c r="C9" s="42" t="s">
        <v>390</v>
      </c>
      <c r="D9" s="42" t="s">
        <v>390</v>
      </c>
      <c r="E9" s="80">
        <f>SUM(F9:J9)</f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1">
        <f>O9/$O$11*100</f>
        <v>6.8187727113288883</v>
      </c>
      <c r="L9" s="100"/>
      <c r="M9" s="100"/>
      <c r="N9" s="100" t="str">
        <f>VARIOS!C316</f>
        <v>2.3.1.4.4.08</v>
      </c>
      <c r="O9" s="100">
        <f>P9+Q9+R9+S9+T9</f>
        <v>3000000</v>
      </c>
      <c r="P9" s="100">
        <f>VARIOS!E316</f>
        <v>3000000</v>
      </c>
      <c r="Q9" s="100">
        <v>0</v>
      </c>
      <c r="R9" s="100">
        <v>0</v>
      </c>
      <c r="S9" s="81">
        <v>0</v>
      </c>
      <c r="T9" s="81">
        <v>0</v>
      </c>
    </row>
    <row r="10" spans="1:20" s="125" customFormat="1" ht="22.5">
      <c r="A10" s="48"/>
      <c r="B10" s="41"/>
      <c r="C10" s="42" t="s">
        <v>419</v>
      </c>
      <c r="D10" s="42" t="s">
        <v>393</v>
      </c>
      <c r="E10" s="80">
        <f>SUM(F10:J10)</f>
        <v>0</v>
      </c>
      <c r="F10" s="100"/>
      <c r="G10" s="100"/>
      <c r="H10" s="100"/>
      <c r="I10" s="100"/>
      <c r="J10" s="100"/>
      <c r="K10" s="101">
        <f>O10/$O$11*100</f>
        <v>23.861990304155249</v>
      </c>
      <c r="L10" s="100"/>
      <c r="M10" s="100"/>
      <c r="N10" s="100" t="str">
        <f>VARIOS!C298</f>
        <v>2.3.1.4.4.05</v>
      </c>
      <c r="O10" s="100">
        <f>P10+Q10+R10+S10+T10</f>
        <v>10498365.9</v>
      </c>
      <c r="P10" s="100">
        <f>VARIOS!E298*30%</f>
        <v>10498365.9</v>
      </c>
      <c r="Q10" s="100">
        <v>0</v>
      </c>
      <c r="R10" s="100">
        <v>0</v>
      </c>
      <c r="S10" s="81">
        <v>0</v>
      </c>
      <c r="T10" s="81">
        <v>0</v>
      </c>
    </row>
    <row r="11" spans="1:20" s="126" customFormat="1" ht="10.5">
      <c r="A11" s="51"/>
      <c r="B11" s="51" t="s">
        <v>150</v>
      </c>
      <c r="C11" s="44"/>
      <c r="D11" s="44"/>
      <c r="E11" s="83">
        <f>SUM(E8:E9)</f>
        <v>5000</v>
      </c>
      <c r="F11" s="83">
        <v>2000</v>
      </c>
      <c r="G11" s="83">
        <v>3000</v>
      </c>
      <c r="H11" s="83">
        <v>0</v>
      </c>
      <c r="I11" s="83">
        <v>0</v>
      </c>
      <c r="J11" s="83">
        <v>0</v>
      </c>
      <c r="K11" s="105">
        <f>O11/$O$36*100</f>
        <v>42.468676721238467</v>
      </c>
      <c r="L11" s="83"/>
      <c r="M11" s="83"/>
      <c r="N11" s="83"/>
      <c r="O11" s="83">
        <f t="shared" ref="O11:T11" si="0">SUM(O8:O9)</f>
        <v>43996187.099999994</v>
      </c>
      <c r="P11" s="83">
        <f t="shared" si="0"/>
        <v>27496187.099999998</v>
      </c>
      <c r="Q11" s="83">
        <f t="shared" si="0"/>
        <v>16500000</v>
      </c>
      <c r="R11" s="83">
        <f t="shared" si="0"/>
        <v>0</v>
      </c>
      <c r="S11" s="83">
        <f t="shared" si="0"/>
        <v>0</v>
      </c>
      <c r="T11" s="83">
        <f t="shared" si="0"/>
        <v>0</v>
      </c>
    </row>
    <row r="12" spans="1:20" s="125" customFormat="1" ht="33.75">
      <c r="A12" s="126"/>
      <c r="B12" s="41" t="s">
        <v>322</v>
      </c>
      <c r="C12" s="42" t="s">
        <v>323</v>
      </c>
      <c r="D12" s="41" t="s">
        <v>389</v>
      </c>
      <c r="E12" s="80">
        <f t="shared" ref="E12:E17" si="1">SUM(F12:J12)</f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1">
        <f t="shared" ref="K12:K17" si="2">O12/$O$18*100</f>
        <v>7.0680539088953287</v>
      </c>
      <c r="L12" s="100"/>
      <c r="M12" s="100"/>
      <c r="N12" s="100" t="str">
        <f>VARIOS!C309</f>
        <v>2.3.2.3.3.06.11</v>
      </c>
      <c r="O12" s="100">
        <f t="shared" ref="O12:O17" si="3">P12+Q12+R12+S12+T12</f>
        <v>2000000</v>
      </c>
      <c r="P12" s="100">
        <v>0</v>
      </c>
      <c r="Q12" s="100">
        <f>VARIOS!E309</f>
        <v>2000000</v>
      </c>
      <c r="R12" s="100">
        <v>0</v>
      </c>
      <c r="S12" s="81">
        <v>0</v>
      </c>
      <c r="T12" s="81">
        <v>0</v>
      </c>
    </row>
    <row r="13" spans="1:20" s="125" customFormat="1" ht="33.75">
      <c r="A13" s="126"/>
      <c r="B13" s="41" t="s">
        <v>420</v>
      </c>
      <c r="C13" s="42" t="s">
        <v>321</v>
      </c>
      <c r="D13" s="41" t="s">
        <v>319</v>
      </c>
      <c r="E13" s="80">
        <f t="shared" si="1"/>
        <v>6000</v>
      </c>
      <c r="F13" s="100">
        <v>1000</v>
      </c>
      <c r="G13" s="100">
        <v>5000</v>
      </c>
      <c r="H13" s="100">
        <v>0</v>
      </c>
      <c r="I13" s="100">
        <v>0</v>
      </c>
      <c r="J13" s="100">
        <v>0</v>
      </c>
      <c r="K13" s="101">
        <f t="shared" si="2"/>
        <v>0</v>
      </c>
      <c r="L13" s="100"/>
      <c r="M13" s="100"/>
      <c r="N13" s="100"/>
      <c r="O13" s="100">
        <f t="shared" si="3"/>
        <v>0</v>
      </c>
      <c r="P13" s="100">
        <v>0</v>
      </c>
      <c r="Q13" s="100">
        <v>0</v>
      </c>
      <c r="R13" s="100">
        <v>0</v>
      </c>
      <c r="S13" s="81">
        <v>0</v>
      </c>
      <c r="T13" s="81">
        <v>0</v>
      </c>
    </row>
    <row r="14" spans="1:20" s="125" customFormat="1" ht="22.5">
      <c r="A14" s="127"/>
      <c r="B14" s="41"/>
      <c r="C14" s="42"/>
      <c r="D14" s="41" t="s">
        <v>392</v>
      </c>
      <c r="E14" s="80">
        <f t="shared" si="1"/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1">
        <f t="shared" si="2"/>
        <v>0</v>
      </c>
      <c r="L14" s="100"/>
      <c r="M14" s="100"/>
      <c r="N14" s="100"/>
      <c r="O14" s="100">
        <f t="shared" si="3"/>
        <v>0</v>
      </c>
      <c r="P14" s="100">
        <v>0</v>
      </c>
      <c r="Q14" s="100">
        <v>0</v>
      </c>
      <c r="R14" s="100">
        <v>0</v>
      </c>
      <c r="S14" s="81">
        <v>0</v>
      </c>
      <c r="T14" s="81">
        <v>0</v>
      </c>
    </row>
    <row r="15" spans="1:20" s="125" customFormat="1" ht="33.75">
      <c r="A15" s="49"/>
      <c r="B15" s="42"/>
      <c r="C15" s="42"/>
      <c r="D15" s="42" t="s">
        <v>320</v>
      </c>
      <c r="E15" s="80">
        <f t="shared" si="1"/>
        <v>7500</v>
      </c>
      <c r="F15" s="100">
        <v>3500</v>
      </c>
      <c r="G15" s="100">
        <v>4000</v>
      </c>
      <c r="H15" s="100">
        <v>0</v>
      </c>
      <c r="I15" s="100">
        <v>0</v>
      </c>
      <c r="J15" s="100">
        <v>0</v>
      </c>
      <c r="K15" s="101">
        <f t="shared" si="2"/>
        <v>75.26181131886635</v>
      </c>
      <c r="L15" s="100"/>
      <c r="M15" s="100"/>
      <c r="N15" s="100" t="str">
        <f>VARIOS!C299&amp;"  -  "&amp;VARIOS!C305&amp;"  -  "&amp;VARIOS!C306</f>
        <v>2.3.1.4.4.09  -  2.3.2.3.3.06.07  -  2.3.2.3.3.06.08</v>
      </c>
      <c r="O15" s="100">
        <f t="shared" si="3"/>
        <v>21296332</v>
      </c>
      <c r="P15" s="100">
        <f>VARIOS!E299</f>
        <v>13396332</v>
      </c>
      <c r="Q15" s="100">
        <f>VARIOS!E305+VARIOS!E306</f>
        <v>7900000</v>
      </c>
      <c r="R15" s="100">
        <v>0</v>
      </c>
      <c r="S15" s="81">
        <v>0</v>
      </c>
      <c r="T15" s="81">
        <v>0</v>
      </c>
    </row>
    <row r="16" spans="1:20" s="125" customFormat="1" ht="22.5">
      <c r="A16" s="49"/>
      <c r="B16" s="42" t="s">
        <v>324</v>
      </c>
      <c r="C16" s="42" t="s">
        <v>421</v>
      </c>
      <c r="D16" s="42" t="s">
        <v>325</v>
      </c>
      <c r="E16" s="80">
        <f t="shared" si="1"/>
        <v>3000</v>
      </c>
      <c r="F16" s="100">
        <v>0</v>
      </c>
      <c r="G16" s="100">
        <v>3000</v>
      </c>
      <c r="H16" s="100">
        <v>0</v>
      </c>
      <c r="I16" s="100">
        <v>0</v>
      </c>
      <c r="J16" s="100">
        <v>0</v>
      </c>
      <c r="K16" s="101">
        <f t="shared" si="2"/>
        <v>0</v>
      </c>
      <c r="L16" s="100"/>
      <c r="M16" s="100"/>
      <c r="N16" s="100"/>
      <c r="O16" s="100">
        <f t="shared" si="3"/>
        <v>0</v>
      </c>
      <c r="P16" s="100">
        <v>0</v>
      </c>
      <c r="Q16" s="100">
        <v>0</v>
      </c>
      <c r="R16" s="100">
        <v>0</v>
      </c>
      <c r="S16" s="81">
        <v>0</v>
      </c>
      <c r="T16" s="81">
        <v>0</v>
      </c>
    </row>
    <row r="17" spans="1:20" s="125" customFormat="1" ht="22.5">
      <c r="A17" s="49"/>
      <c r="B17" s="42"/>
      <c r="C17" s="41"/>
      <c r="D17" s="42" t="s">
        <v>391</v>
      </c>
      <c r="E17" s="80">
        <f t="shared" si="1"/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1">
        <f t="shared" si="2"/>
        <v>17.670134772238324</v>
      </c>
      <c r="L17" s="100"/>
      <c r="M17" s="100"/>
      <c r="N17" s="100" t="str">
        <f>VARIOS!C308</f>
        <v>2.3.2.3.3.06.10</v>
      </c>
      <c r="O17" s="100">
        <f t="shared" si="3"/>
        <v>5000000</v>
      </c>
      <c r="P17" s="100">
        <v>0</v>
      </c>
      <c r="Q17" s="100">
        <f>VARIOS!E308</f>
        <v>5000000</v>
      </c>
      <c r="R17" s="100">
        <v>0</v>
      </c>
      <c r="S17" s="81">
        <v>0</v>
      </c>
      <c r="T17" s="81">
        <v>0</v>
      </c>
    </row>
    <row r="18" spans="1:20" s="126" customFormat="1" ht="10.5">
      <c r="A18" s="51"/>
      <c r="B18" s="44" t="s">
        <v>150</v>
      </c>
      <c r="C18" s="51"/>
      <c r="D18" s="44"/>
      <c r="E18" s="83">
        <f>SUM(E12:E17)</f>
        <v>16500</v>
      </c>
      <c r="F18" s="83">
        <v>4500</v>
      </c>
      <c r="G18" s="83">
        <v>12000</v>
      </c>
      <c r="H18" s="83">
        <v>0</v>
      </c>
      <c r="I18" s="83">
        <v>0</v>
      </c>
      <c r="J18" s="83">
        <v>0</v>
      </c>
      <c r="K18" s="105">
        <f>O18/$O$36*100</f>
        <v>27.313907302317915</v>
      </c>
      <c r="L18" s="83"/>
      <c r="M18" s="83"/>
      <c r="N18" s="83"/>
      <c r="O18" s="83">
        <f t="shared" ref="O18:T18" si="4">SUM(O12:O17)</f>
        <v>28296332</v>
      </c>
      <c r="P18" s="83">
        <f t="shared" si="4"/>
        <v>13396332</v>
      </c>
      <c r="Q18" s="83">
        <f t="shared" si="4"/>
        <v>14900000</v>
      </c>
      <c r="R18" s="83">
        <f t="shared" si="4"/>
        <v>0</v>
      </c>
      <c r="S18" s="83">
        <f t="shared" si="4"/>
        <v>0</v>
      </c>
      <c r="T18" s="83">
        <f t="shared" si="4"/>
        <v>0</v>
      </c>
    </row>
    <row r="19" spans="1:20" s="125" customFormat="1" ht="33.75">
      <c r="A19" s="49"/>
      <c r="B19" s="42" t="s">
        <v>326</v>
      </c>
      <c r="C19" s="42" t="s">
        <v>422</v>
      </c>
      <c r="D19" s="42" t="s">
        <v>327</v>
      </c>
      <c r="E19" s="80">
        <f>SUM(F19:J19)</f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1">
        <f>O19/$O$24*100</f>
        <v>0</v>
      </c>
      <c r="L19" s="100"/>
      <c r="M19" s="100"/>
      <c r="N19" s="100"/>
      <c r="O19" s="100">
        <f>P19+Q19+R19+S19+T19</f>
        <v>0</v>
      </c>
      <c r="P19" s="100">
        <v>0</v>
      </c>
      <c r="Q19" s="100">
        <v>0</v>
      </c>
      <c r="R19" s="100">
        <v>0</v>
      </c>
      <c r="S19" s="81">
        <v>0</v>
      </c>
      <c r="T19" s="81">
        <v>0</v>
      </c>
    </row>
    <row r="20" spans="1:20" s="125" customFormat="1" ht="11.25">
      <c r="A20" s="49"/>
      <c r="B20" s="42"/>
      <c r="C20" s="42"/>
      <c r="D20" s="42" t="s">
        <v>394</v>
      </c>
      <c r="E20" s="80">
        <f>SUM(F20:J20)</f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1">
        <f>O20/$O$24*100</f>
        <v>0</v>
      </c>
      <c r="L20" s="100"/>
      <c r="M20" s="100"/>
      <c r="N20" s="100"/>
      <c r="O20" s="100">
        <f>P20+Q20+R20+S20+T20</f>
        <v>0</v>
      </c>
      <c r="P20" s="100">
        <v>0</v>
      </c>
      <c r="Q20" s="100">
        <v>0</v>
      </c>
      <c r="R20" s="100">
        <v>0</v>
      </c>
      <c r="S20" s="81">
        <v>0</v>
      </c>
      <c r="T20" s="81">
        <v>0</v>
      </c>
    </row>
    <row r="21" spans="1:20" s="125" customFormat="1" ht="11.25">
      <c r="A21" s="49"/>
      <c r="B21" s="42"/>
      <c r="C21" s="42"/>
      <c r="D21" s="42" t="s">
        <v>328</v>
      </c>
      <c r="E21" s="80">
        <f>SUM(F21:J21)</f>
        <v>15000</v>
      </c>
      <c r="F21" s="100">
        <v>0</v>
      </c>
      <c r="G21" s="100">
        <v>15000</v>
      </c>
      <c r="H21" s="100">
        <v>0</v>
      </c>
      <c r="I21" s="100">
        <v>0</v>
      </c>
      <c r="J21" s="100">
        <v>0</v>
      </c>
      <c r="K21" s="101">
        <f>O21/$O$24*100</f>
        <v>50</v>
      </c>
      <c r="L21" s="100"/>
      <c r="M21" s="100"/>
      <c r="N21" s="100" t="str">
        <f>VARIOS!C321</f>
        <v>2.3.4.2.1</v>
      </c>
      <c r="O21" s="100">
        <f>P21+Q21+R21+S21+T21</f>
        <v>7853182.1610000003</v>
      </c>
      <c r="P21" s="100">
        <v>0</v>
      </c>
      <c r="Q21" s="100">
        <f>VARIOS!E321*30%</f>
        <v>7853182.1610000003</v>
      </c>
      <c r="R21" s="100">
        <v>0</v>
      </c>
      <c r="S21" s="81">
        <v>0</v>
      </c>
      <c r="T21" s="81">
        <v>0</v>
      </c>
    </row>
    <row r="22" spans="1:20" s="125" customFormat="1" ht="33.75">
      <c r="A22" s="49"/>
      <c r="B22" s="42"/>
      <c r="C22" s="42"/>
      <c r="D22" s="41" t="s">
        <v>329</v>
      </c>
      <c r="E22" s="80">
        <f>SUM(F22:J22)</f>
        <v>1500</v>
      </c>
      <c r="F22" s="100">
        <v>0</v>
      </c>
      <c r="G22" s="100">
        <v>1500</v>
      </c>
      <c r="H22" s="100">
        <v>0</v>
      </c>
      <c r="I22" s="100">
        <v>0</v>
      </c>
      <c r="J22" s="100">
        <v>0</v>
      </c>
      <c r="K22" s="101">
        <f>O22/$O$24*100</f>
        <v>50</v>
      </c>
      <c r="L22" s="100"/>
      <c r="M22" s="100"/>
      <c r="N22" s="100" t="str">
        <f>VARIOS!C321</f>
        <v>2.3.4.2.1</v>
      </c>
      <c r="O22" s="100">
        <f>P22+Q22+R22+S22+T22</f>
        <v>7853182.1610000003</v>
      </c>
      <c r="P22" s="100">
        <v>0</v>
      </c>
      <c r="Q22" s="100">
        <f>VARIOS!E321*30%</f>
        <v>7853182.1610000003</v>
      </c>
      <c r="R22" s="100">
        <v>0</v>
      </c>
      <c r="S22" s="81">
        <v>0</v>
      </c>
      <c r="T22" s="81">
        <v>0</v>
      </c>
    </row>
    <row r="23" spans="1:20" s="125" customFormat="1" ht="22.5">
      <c r="A23" s="49"/>
      <c r="B23" s="42"/>
      <c r="C23" s="42" t="s">
        <v>330</v>
      </c>
      <c r="D23" s="42" t="s">
        <v>331</v>
      </c>
      <c r="E23" s="80">
        <f>SUM(F23:J23)</f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1">
        <f>O23/$O$24*100</f>
        <v>0</v>
      </c>
      <c r="L23" s="100"/>
      <c r="M23" s="100"/>
      <c r="N23" s="100"/>
      <c r="O23" s="100">
        <f>P23+Q23+R23+S23+T23</f>
        <v>0</v>
      </c>
      <c r="P23" s="100">
        <v>0</v>
      </c>
      <c r="Q23" s="100">
        <v>0</v>
      </c>
      <c r="R23" s="100">
        <v>0</v>
      </c>
      <c r="S23" s="81">
        <v>0</v>
      </c>
      <c r="T23" s="81">
        <v>0</v>
      </c>
    </row>
    <row r="24" spans="1:20" s="126" customFormat="1" ht="10.5">
      <c r="A24" s="51"/>
      <c r="B24" s="51" t="s">
        <v>150</v>
      </c>
      <c r="C24" s="44"/>
      <c r="D24" s="44"/>
      <c r="E24" s="83">
        <f>SUM(E19:E23)</f>
        <v>16500</v>
      </c>
      <c r="F24" s="83">
        <v>0</v>
      </c>
      <c r="G24" s="83">
        <v>16500</v>
      </c>
      <c r="H24" s="83">
        <v>0</v>
      </c>
      <c r="I24" s="83">
        <v>0</v>
      </c>
      <c r="J24" s="83">
        <v>0</v>
      </c>
      <c r="K24" s="105">
        <f>O24/$O$36*100</f>
        <v>15.161052646241972</v>
      </c>
      <c r="L24" s="83"/>
      <c r="M24" s="83"/>
      <c r="N24" s="83"/>
      <c r="O24" s="83">
        <f t="shared" ref="O24:T24" si="5">SUM(O19:O23)</f>
        <v>15706364.322000001</v>
      </c>
      <c r="P24" s="83">
        <f t="shared" si="5"/>
        <v>0</v>
      </c>
      <c r="Q24" s="83">
        <f t="shared" si="5"/>
        <v>15706364.322000001</v>
      </c>
      <c r="R24" s="83">
        <f t="shared" si="5"/>
        <v>0</v>
      </c>
      <c r="S24" s="83">
        <f t="shared" si="5"/>
        <v>0</v>
      </c>
      <c r="T24" s="83">
        <f t="shared" si="5"/>
        <v>0</v>
      </c>
    </row>
    <row r="25" spans="1:20" s="125" customFormat="1" ht="33.75">
      <c r="A25" s="49"/>
      <c r="B25" s="42" t="s">
        <v>332</v>
      </c>
      <c r="C25" s="42"/>
      <c r="D25" s="42" t="s">
        <v>333</v>
      </c>
      <c r="E25" s="80">
        <f>SUM(F25:J25)</f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1">
        <f>O25/$O$27*100</f>
        <v>50</v>
      </c>
      <c r="L25" s="100"/>
      <c r="M25" s="100"/>
      <c r="N25" s="100" t="str">
        <f>VARIOS!C321</f>
        <v>2.3.4.2.1</v>
      </c>
      <c r="O25" s="100">
        <f>P25+Q25+R25+S25+T25</f>
        <v>5235454.7740000002</v>
      </c>
      <c r="P25" s="100">
        <v>0</v>
      </c>
      <c r="Q25" s="100">
        <f>VARIOS!E321*20%</f>
        <v>5235454.7740000002</v>
      </c>
      <c r="R25" s="100">
        <v>0</v>
      </c>
      <c r="S25" s="81">
        <v>0</v>
      </c>
      <c r="T25" s="81">
        <v>0</v>
      </c>
    </row>
    <row r="26" spans="1:20" s="125" customFormat="1" ht="11.25">
      <c r="A26" s="49"/>
      <c r="B26" s="42"/>
      <c r="C26" s="42"/>
      <c r="D26" s="42" t="s">
        <v>334</v>
      </c>
      <c r="E26" s="80">
        <f>SUM(F26:J26)</f>
        <v>2000</v>
      </c>
      <c r="F26" s="100">
        <v>0</v>
      </c>
      <c r="G26" s="100">
        <v>2000</v>
      </c>
      <c r="H26" s="100">
        <v>0</v>
      </c>
      <c r="I26" s="100">
        <v>0</v>
      </c>
      <c r="J26" s="100">
        <v>0</v>
      </c>
      <c r="K26" s="101">
        <f>O26/$O$27*100</f>
        <v>50</v>
      </c>
      <c r="L26" s="100"/>
      <c r="M26" s="100"/>
      <c r="N26" s="100" t="str">
        <f>VARIOS!C321</f>
        <v>2.3.4.2.1</v>
      </c>
      <c r="O26" s="100">
        <f>P26+Q26+R26+S26+T26</f>
        <v>5235454.7740000002</v>
      </c>
      <c r="P26" s="100">
        <v>0</v>
      </c>
      <c r="Q26" s="100">
        <f>VARIOS!E321*20%</f>
        <v>5235454.7740000002</v>
      </c>
      <c r="R26" s="100">
        <v>0</v>
      </c>
      <c r="S26" s="81">
        <v>0</v>
      </c>
      <c r="T26" s="81">
        <v>0</v>
      </c>
    </row>
    <row r="27" spans="1:20" s="126" customFormat="1" ht="10.5">
      <c r="A27" s="51"/>
      <c r="B27" s="51" t="s">
        <v>150</v>
      </c>
      <c r="C27" s="51"/>
      <c r="D27" s="44"/>
      <c r="E27" s="83">
        <f>SUM(E25:E26)</f>
        <v>2000</v>
      </c>
      <c r="F27" s="83">
        <v>0</v>
      </c>
      <c r="G27" s="83">
        <v>2000</v>
      </c>
      <c r="H27" s="83">
        <v>0</v>
      </c>
      <c r="I27" s="83">
        <v>0</v>
      </c>
      <c r="J27" s="83">
        <v>0</v>
      </c>
      <c r="K27" s="105">
        <f>O27/$O$36*100</f>
        <v>10.107368430827981</v>
      </c>
      <c r="L27" s="83"/>
      <c r="M27" s="83"/>
      <c r="N27" s="83"/>
      <c r="O27" s="83">
        <f t="shared" ref="O27:T27" si="6">SUM(O25:O26)</f>
        <v>10470909.548</v>
      </c>
      <c r="P27" s="83">
        <f t="shared" si="6"/>
        <v>0</v>
      </c>
      <c r="Q27" s="83">
        <f t="shared" si="6"/>
        <v>10470909.548</v>
      </c>
      <c r="R27" s="83">
        <f t="shared" si="6"/>
        <v>0</v>
      </c>
      <c r="S27" s="83">
        <f t="shared" si="6"/>
        <v>0</v>
      </c>
      <c r="T27" s="83">
        <f t="shared" si="6"/>
        <v>0</v>
      </c>
    </row>
    <row r="28" spans="1:20" s="125" customFormat="1" ht="56.25">
      <c r="A28" s="49"/>
      <c r="B28" s="42" t="s">
        <v>335</v>
      </c>
      <c r="C28" s="42" t="s">
        <v>336</v>
      </c>
      <c r="D28" s="42" t="s">
        <v>337</v>
      </c>
      <c r="E28" s="80">
        <f>SUM(F28:J28)</f>
        <v>2000</v>
      </c>
      <c r="F28" s="100">
        <v>0</v>
      </c>
      <c r="G28" s="100">
        <v>2000</v>
      </c>
      <c r="H28" s="100">
        <v>0</v>
      </c>
      <c r="I28" s="100">
        <v>0</v>
      </c>
      <c r="J28" s="100">
        <v>0</v>
      </c>
      <c r="K28" s="101">
        <f>O28/O29*100</f>
        <v>100</v>
      </c>
      <c r="L28" s="100"/>
      <c r="M28" s="100"/>
      <c r="N28" s="100" t="str">
        <f>VARIOS!C121&amp;"  -  "&amp;VARIOS!C125&amp;"  -  "&amp;VARIOS!C129</f>
        <v>2.3.2.3.3.05.08  -  2.3.2.3.3.05.13  -  2.3.2.3.3.05.17</v>
      </c>
      <c r="O28" s="100">
        <f>P28+Q28+R28+S28+T28</f>
        <v>5127000</v>
      </c>
      <c r="P28" s="100">
        <v>0</v>
      </c>
      <c r="Q28" s="100">
        <f>VARIOS!E121+VARIOS!E125+VARIOS!E129</f>
        <v>5127000</v>
      </c>
      <c r="R28" s="100">
        <v>0</v>
      </c>
      <c r="S28" s="81">
        <v>0</v>
      </c>
      <c r="T28" s="81">
        <v>0</v>
      </c>
    </row>
    <row r="29" spans="1:20" s="126" customFormat="1" ht="10.5">
      <c r="A29" s="51"/>
      <c r="B29" s="51" t="s">
        <v>150</v>
      </c>
      <c r="C29" s="44"/>
      <c r="D29" s="44"/>
      <c r="E29" s="83">
        <f>SUM(E28)</f>
        <v>2000</v>
      </c>
      <c r="F29" s="83">
        <v>0</v>
      </c>
      <c r="G29" s="83">
        <v>2000</v>
      </c>
      <c r="H29" s="83">
        <v>0</v>
      </c>
      <c r="I29" s="83">
        <v>0</v>
      </c>
      <c r="J29" s="83">
        <v>0</v>
      </c>
      <c r="K29" s="105">
        <f>O29/$O$36*100</f>
        <v>4.9489948993736697</v>
      </c>
      <c r="L29" s="83"/>
      <c r="M29" s="83"/>
      <c r="N29" s="83"/>
      <c r="O29" s="83">
        <f t="shared" ref="O29:T29" si="7">SUM(O28)</f>
        <v>5127000</v>
      </c>
      <c r="P29" s="83">
        <f t="shared" si="7"/>
        <v>0</v>
      </c>
      <c r="Q29" s="83">
        <f t="shared" si="7"/>
        <v>5127000</v>
      </c>
      <c r="R29" s="83">
        <f t="shared" si="7"/>
        <v>0</v>
      </c>
      <c r="S29" s="83">
        <f t="shared" si="7"/>
        <v>0</v>
      </c>
      <c r="T29" s="83">
        <f t="shared" si="7"/>
        <v>0</v>
      </c>
    </row>
    <row r="30" spans="1:20" s="125" customFormat="1" ht="45">
      <c r="A30" s="49"/>
      <c r="B30" s="42" t="s">
        <v>339</v>
      </c>
      <c r="C30" s="42"/>
      <c r="D30" s="42" t="s">
        <v>340</v>
      </c>
      <c r="E30" s="80">
        <f>SUM(F30:J30)</f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7">
        <v>0</v>
      </c>
      <c r="L30" s="80"/>
      <c r="M30" s="80"/>
      <c r="N30" s="100"/>
      <c r="O30" s="100">
        <f>P30+Q30+R30+S30+T30</f>
        <v>0</v>
      </c>
      <c r="P30" s="80">
        <v>0</v>
      </c>
      <c r="Q30" s="80">
        <v>0</v>
      </c>
      <c r="R30" s="80">
        <v>0</v>
      </c>
      <c r="S30" s="81">
        <v>0</v>
      </c>
      <c r="T30" s="81">
        <v>0</v>
      </c>
    </row>
    <row r="31" spans="1:20" s="125" customFormat="1" ht="22.5">
      <c r="A31" s="49"/>
      <c r="B31" s="42"/>
      <c r="C31" s="42"/>
      <c r="D31" s="42" t="s">
        <v>341</v>
      </c>
      <c r="E31" s="80">
        <f>SUM(F31:J31)</f>
        <v>15000</v>
      </c>
      <c r="F31" s="80">
        <v>5000</v>
      </c>
      <c r="G31" s="80">
        <v>10000</v>
      </c>
      <c r="H31" s="80">
        <v>0</v>
      </c>
      <c r="I31" s="80">
        <v>0</v>
      </c>
      <c r="J31" s="80">
        <v>0</v>
      </c>
      <c r="K31" s="87">
        <v>0</v>
      </c>
      <c r="L31" s="80"/>
      <c r="M31" s="80"/>
      <c r="N31" s="100"/>
      <c r="O31" s="100">
        <f>P31+Q31+R31+S31+T31</f>
        <v>0</v>
      </c>
      <c r="P31" s="80">
        <v>0</v>
      </c>
      <c r="Q31" s="80">
        <v>0</v>
      </c>
      <c r="R31" s="80">
        <v>0</v>
      </c>
      <c r="S31" s="81">
        <v>0</v>
      </c>
      <c r="T31" s="81">
        <v>0</v>
      </c>
    </row>
    <row r="32" spans="1:20" s="125" customFormat="1" ht="22.5">
      <c r="A32" s="49"/>
      <c r="B32" s="42"/>
      <c r="C32" s="42"/>
      <c r="D32" s="42" t="s">
        <v>364</v>
      </c>
      <c r="E32" s="80">
        <f>SUM(F32:J32)</f>
        <v>3000</v>
      </c>
      <c r="F32" s="80">
        <v>1000</v>
      </c>
      <c r="G32" s="80">
        <v>2000</v>
      </c>
      <c r="H32" s="80">
        <v>0</v>
      </c>
      <c r="I32" s="80">
        <v>0</v>
      </c>
      <c r="J32" s="80">
        <v>0</v>
      </c>
      <c r="K32" s="87">
        <v>0</v>
      </c>
      <c r="L32" s="80"/>
      <c r="M32" s="80"/>
      <c r="N32" s="100"/>
      <c r="O32" s="100">
        <f>P32+Q32+R32+S32+T32</f>
        <v>0</v>
      </c>
      <c r="P32" s="80">
        <v>0</v>
      </c>
      <c r="Q32" s="80">
        <v>0</v>
      </c>
      <c r="R32" s="80">
        <v>0</v>
      </c>
      <c r="S32" s="81">
        <v>0</v>
      </c>
      <c r="T32" s="81">
        <v>0</v>
      </c>
    </row>
    <row r="33" spans="1:21" s="125" customFormat="1" ht="45">
      <c r="A33" s="49"/>
      <c r="B33" s="42"/>
      <c r="C33" s="42"/>
      <c r="D33" s="42" t="s">
        <v>342</v>
      </c>
      <c r="E33" s="80">
        <f>SUM(F33:J33)</f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7">
        <v>0</v>
      </c>
      <c r="L33" s="80"/>
      <c r="M33" s="80"/>
      <c r="N33" s="100"/>
      <c r="O33" s="100">
        <f>P33+Q33+R33+S33+T33</f>
        <v>0</v>
      </c>
      <c r="P33" s="80">
        <v>0</v>
      </c>
      <c r="Q33" s="80">
        <v>0</v>
      </c>
      <c r="R33" s="80">
        <v>0</v>
      </c>
      <c r="S33" s="81">
        <v>0</v>
      </c>
      <c r="T33" s="81">
        <v>0</v>
      </c>
    </row>
    <row r="34" spans="1:21" s="128" customFormat="1" ht="56.25">
      <c r="A34" s="119"/>
      <c r="B34" s="120"/>
      <c r="C34" s="120"/>
      <c r="D34" s="42" t="s">
        <v>365</v>
      </c>
      <c r="E34" s="100">
        <f>SUM(F34:J34)</f>
        <v>0</v>
      </c>
      <c r="F34" s="121"/>
      <c r="G34" s="121"/>
      <c r="H34" s="121"/>
      <c r="I34" s="121"/>
      <c r="J34" s="121"/>
      <c r="K34" s="87">
        <v>0</v>
      </c>
      <c r="L34" s="121"/>
      <c r="M34" s="121"/>
      <c r="N34" s="100"/>
      <c r="O34" s="100">
        <f>P34+Q34+R34+S34+T34</f>
        <v>0</v>
      </c>
      <c r="P34" s="121">
        <v>0</v>
      </c>
      <c r="Q34" s="121">
        <v>0</v>
      </c>
      <c r="R34" s="121">
        <v>0</v>
      </c>
      <c r="S34" s="81">
        <v>0</v>
      </c>
      <c r="T34" s="81">
        <v>0</v>
      </c>
    </row>
    <row r="35" spans="1:21" s="126" customFormat="1" ht="10.5">
      <c r="A35" s="51"/>
      <c r="B35" s="129" t="s">
        <v>150</v>
      </c>
      <c r="C35" s="122"/>
      <c r="D35" s="44"/>
      <c r="E35" s="103">
        <f>SUM(E30:E34)</f>
        <v>18000</v>
      </c>
      <c r="F35" s="103">
        <v>6000</v>
      </c>
      <c r="G35" s="103">
        <v>12000</v>
      </c>
      <c r="H35" s="103">
        <v>0</v>
      </c>
      <c r="I35" s="103">
        <v>0</v>
      </c>
      <c r="J35" s="103">
        <v>0</v>
      </c>
      <c r="K35" s="105">
        <f>O35/$O$36*100</f>
        <v>0</v>
      </c>
      <c r="L35" s="103"/>
      <c r="M35" s="103"/>
      <c r="N35" s="103"/>
      <c r="O35" s="103">
        <f t="shared" ref="O35:T35" si="8">SUM(O30:O34)</f>
        <v>0</v>
      </c>
      <c r="P35" s="103">
        <f t="shared" si="8"/>
        <v>0</v>
      </c>
      <c r="Q35" s="103">
        <f t="shared" si="8"/>
        <v>0</v>
      </c>
      <c r="R35" s="103">
        <f t="shared" si="8"/>
        <v>0</v>
      </c>
      <c r="S35" s="103">
        <f t="shared" si="8"/>
        <v>0</v>
      </c>
      <c r="T35" s="103">
        <f t="shared" si="8"/>
        <v>0</v>
      </c>
    </row>
    <row r="36" spans="1:21" s="130" customFormat="1" ht="42">
      <c r="A36" s="123"/>
      <c r="B36" s="123" t="s">
        <v>338</v>
      </c>
      <c r="C36" s="123"/>
      <c r="D36" s="123" t="s">
        <v>366</v>
      </c>
      <c r="E36" s="124">
        <f>E35+E29+E27+E24+E18+E11</f>
        <v>60000</v>
      </c>
      <c r="F36" s="124">
        <v>12500</v>
      </c>
      <c r="G36" s="124">
        <v>47500</v>
      </c>
      <c r="H36" s="124">
        <v>0</v>
      </c>
      <c r="I36" s="124">
        <v>0</v>
      </c>
      <c r="J36" s="124">
        <v>0</v>
      </c>
      <c r="K36" s="89">
        <v>100</v>
      </c>
      <c r="L36" s="124"/>
      <c r="M36" s="124"/>
      <c r="N36" s="124"/>
      <c r="O36" s="124">
        <f t="shared" ref="O36:T36" si="9">O35+O29+O27+O24+O18+O11</f>
        <v>103596792.97</v>
      </c>
      <c r="P36" s="124">
        <f t="shared" si="9"/>
        <v>40892519.099999994</v>
      </c>
      <c r="Q36" s="124">
        <f t="shared" si="9"/>
        <v>62704273.870000005</v>
      </c>
      <c r="R36" s="124">
        <f t="shared" si="9"/>
        <v>0</v>
      </c>
      <c r="S36" s="124">
        <f t="shared" si="9"/>
        <v>0</v>
      </c>
      <c r="T36" s="124">
        <f t="shared" si="9"/>
        <v>0</v>
      </c>
    </row>
    <row r="37" spans="1:21">
      <c r="A37" s="3"/>
      <c r="B37" s="4"/>
      <c r="C37" s="4"/>
      <c r="D37" s="4"/>
      <c r="E37" s="23"/>
      <c r="F37" s="23"/>
      <c r="G37" s="23"/>
      <c r="H37" s="23"/>
      <c r="I37" s="23"/>
      <c r="J37" s="23"/>
      <c r="K37" s="92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1:21">
      <c r="A38" s="3"/>
      <c r="B38" s="4"/>
      <c r="C38" s="4"/>
      <c r="D38" s="4"/>
      <c r="E38" s="23"/>
      <c r="F38" s="23"/>
      <c r="G38" s="23"/>
      <c r="H38" s="23"/>
      <c r="I38" s="23"/>
      <c r="J38" s="23"/>
      <c r="K38" s="91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1:21">
      <c r="A39" s="3"/>
      <c r="B39" s="4"/>
      <c r="C39" s="4"/>
      <c r="D39" s="4"/>
      <c r="E39" s="23"/>
      <c r="F39" s="23"/>
      <c r="G39" s="23"/>
      <c r="H39" s="23"/>
      <c r="I39" s="23"/>
      <c r="J39" s="23"/>
      <c r="K39" s="91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1:21">
      <c r="A40" s="3"/>
      <c r="B40" s="4"/>
      <c r="C40" s="4"/>
      <c r="D40" s="4"/>
      <c r="E40" s="23"/>
      <c r="F40" s="23"/>
      <c r="G40" s="23"/>
      <c r="H40" s="23"/>
      <c r="I40" s="23"/>
      <c r="J40" s="23"/>
      <c r="K40" s="91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1:21" ht="11.25">
      <c r="A41" s="335" t="s">
        <v>1225</v>
      </c>
      <c r="B41" s="335"/>
      <c r="C41" s="335"/>
      <c r="D41" s="34"/>
      <c r="E41" s="34"/>
      <c r="F41" s="34"/>
      <c r="G41" s="34"/>
      <c r="H41" s="34"/>
      <c r="I41" s="142"/>
      <c r="J41" s="336" t="s">
        <v>1224</v>
      </c>
      <c r="K41" s="336"/>
      <c r="L41" s="336"/>
      <c r="M41" s="336"/>
      <c r="N41" s="336"/>
      <c r="O41" s="336"/>
      <c r="R41" s="336" t="s">
        <v>1279</v>
      </c>
      <c r="S41" s="336"/>
      <c r="T41" s="336"/>
      <c r="U41" s="90"/>
    </row>
    <row r="42" spans="1:21" ht="11.25">
      <c r="A42" s="347" t="s">
        <v>1276</v>
      </c>
      <c r="B42" s="347"/>
      <c r="C42" s="347"/>
      <c r="D42" s="34"/>
      <c r="E42" s="34"/>
      <c r="F42" s="34"/>
      <c r="G42" s="34"/>
      <c r="H42" s="34"/>
      <c r="I42" s="142"/>
      <c r="J42" s="337" t="s">
        <v>1277</v>
      </c>
      <c r="K42" s="337"/>
      <c r="L42" s="337"/>
      <c r="M42" s="337"/>
      <c r="N42" s="337"/>
      <c r="O42" s="337"/>
      <c r="R42" s="337" t="s">
        <v>1278</v>
      </c>
      <c r="S42" s="337"/>
      <c r="T42" s="337"/>
      <c r="U42" s="90"/>
    </row>
    <row r="43" spans="1:21">
      <c r="A43" s="3"/>
      <c r="B43" s="4"/>
      <c r="C43" s="4"/>
      <c r="D43" s="4"/>
      <c r="E43" s="23"/>
      <c r="F43" s="23"/>
      <c r="G43" s="23"/>
      <c r="H43" s="23"/>
      <c r="I43" s="23"/>
      <c r="J43" s="23"/>
      <c r="K43" s="91"/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 spans="1:21">
      <c r="A44" s="3"/>
      <c r="B44" s="4"/>
      <c r="C44" s="4"/>
      <c r="D44" s="4"/>
      <c r="E44" s="23"/>
      <c r="F44" s="23"/>
      <c r="G44" s="23"/>
      <c r="H44" s="23"/>
      <c r="I44" s="23"/>
      <c r="J44" s="23"/>
      <c r="K44" s="91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1:21">
      <c r="A45" s="3"/>
      <c r="B45" s="4"/>
      <c r="C45" s="4"/>
      <c r="D45" s="4"/>
      <c r="E45" s="23"/>
      <c r="F45" s="23"/>
      <c r="G45" s="23"/>
      <c r="H45" s="23"/>
      <c r="I45" s="23"/>
      <c r="J45" s="23"/>
      <c r="K45" s="91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spans="1:21">
      <c r="A46" s="3"/>
      <c r="B46" s="4"/>
      <c r="C46" s="4"/>
      <c r="D46" s="4"/>
      <c r="E46" s="23"/>
      <c r="F46" s="23"/>
      <c r="G46" s="23"/>
      <c r="H46" s="23"/>
      <c r="I46" s="23"/>
      <c r="J46" s="23"/>
      <c r="K46" s="91"/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 spans="1:21">
      <c r="A47" s="3"/>
      <c r="B47" s="4"/>
      <c r="C47" s="4"/>
      <c r="D47" s="4"/>
      <c r="E47" s="23"/>
      <c r="F47" s="23"/>
      <c r="G47" s="23"/>
      <c r="H47" s="23"/>
      <c r="I47" s="23"/>
      <c r="J47" s="23"/>
      <c r="K47" s="91"/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 spans="1:21">
      <c r="A48" s="3"/>
      <c r="B48" s="4"/>
      <c r="C48" s="4"/>
      <c r="D48" s="4"/>
      <c r="E48" s="22"/>
      <c r="F48" s="22"/>
      <c r="G48" s="22"/>
      <c r="H48" s="22"/>
      <c r="I48" s="22"/>
      <c r="J48" s="22"/>
      <c r="K48" s="91"/>
      <c r="L48" s="90"/>
      <c r="M48" s="90"/>
      <c r="N48" s="90"/>
      <c r="O48" s="90"/>
      <c r="P48" s="90"/>
      <c r="Q48" s="90"/>
      <c r="R48" s="90"/>
      <c r="S48" s="90"/>
      <c r="T48" s="90"/>
      <c r="U48" s="90"/>
    </row>
    <row r="49" spans="1:21">
      <c r="A49" s="3"/>
      <c r="B49" s="4"/>
      <c r="C49" s="4"/>
      <c r="D49" s="4"/>
      <c r="E49" s="22"/>
      <c r="F49" s="22"/>
      <c r="G49" s="22"/>
      <c r="H49" s="22"/>
      <c r="I49" s="22"/>
      <c r="J49" s="22"/>
      <c r="K49" s="91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1">
      <c r="A50" s="3"/>
      <c r="B50" s="4"/>
      <c r="C50" s="4"/>
      <c r="D50" s="4"/>
      <c r="E50" s="22"/>
      <c r="F50" s="22"/>
      <c r="G50" s="22"/>
      <c r="H50" s="22"/>
      <c r="I50" s="22"/>
      <c r="J50" s="22"/>
      <c r="K50" s="91"/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1" spans="1:21">
      <c r="A51" s="3"/>
      <c r="B51" s="4"/>
      <c r="C51" s="4"/>
      <c r="D51" s="4"/>
      <c r="E51" s="22"/>
      <c r="F51" s="22"/>
      <c r="G51" s="22"/>
      <c r="H51" s="22"/>
      <c r="I51" s="22"/>
      <c r="J51" s="22"/>
      <c r="K51" s="91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1:21">
      <c r="A52" s="3"/>
      <c r="B52" s="4"/>
      <c r="C52" s="4"/>
      <c r="D52" s="4"/>
      <c r="E52" s="22"/>
      <c r="F52" s="22"/>
      <c r="G52" s="22"/>
      <c r="H52" s="22"/>
      <c r="I52" s="22"/>
      <c r="J52" s="22"/>
      <c r="K52" s="91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1:21">
      <c r="A53" s="3"/>
      <c r="B53" s="4"/>
      <c r="C53" s="4"/>
      <c r="D53" s="4"/>
      <c r="E53" s="22"/>
      <c r="F53" s="22"/>
      <c r="G53" s="22"/>
      <c r="H53" s="22"/>
      <c r="I53" s="22"/>
      <c r="J53" s="22"/>
      <c r="K53" s="91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>
      <c r="A54" s="3"/>
      <c r="B54" s="4"/>
      <c r="C54" s="4"/>
      <c r="D54" s="4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1">
      <c r="A55" s="3"/>
      <c r="B55" s="4"/>
      <c r="C55" s="4"/>
      <c r="D55" s="4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1">
      <c r="A56" s="3"/>
      <c r="B56" s="4"/>
      <c r="C56" s="4"/>
      <c r="D56" s="4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>
      <c r="A57" s="3"/>
      <c r="B57" s="4"/>
      <c r="C57" s="4"/>
      <c r="D57" s="4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1:21">
      <c r="A58" s="3"/>
      <c r="B58" s="4"/>
      <c r="C58" s="4"/>
      <c r="D58" s="4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1:21">
      <c r="A59" s="3"/>
      <c r="B59" s="4"/>
      <c r="C59" s="4"/>
      <c r="D59" s="4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1:21"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1" spans="1:21"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1:21"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1:21"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1:21"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11:21"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</row>
    <row r="66" spans="11:21"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 spans="11:21"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11:21"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spans="11:21"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1:21"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1:21"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1:21"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1:21"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1:21"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1:21"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1:21"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1:21"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1:21"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1:21"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1:21"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1:21"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1:21"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1:21"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1:21"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1:21"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1:21"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1:21"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1:21"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1:21"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1:21"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1:21"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1:21"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1:21"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1:21"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1:21"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1:21"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1:21"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1:21"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1:21"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1:21"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1:21"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1:21"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1:21"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1:21"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1:21"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1:21"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1:21"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1:21"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1:21"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1:21"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1:21"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1:21"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1:21"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1:21"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1:21"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1:21"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1:21"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1:21"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1:21"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1:21"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1:21"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1:21"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1:21"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1:21"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1:21"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1:21"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1:21"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1:21"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1:21"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1:21"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1:21"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1:21"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1:21"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1:21"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1:21"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1:21"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1:21"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1:21"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1:21"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1:21"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1:21"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1:21"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1:21"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</row>
    <row r="144" spans="11:21"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</row>
    <row r="145" spans="11:21"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</row>
    <row r="146" spans="11:21"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</row>
    <row r="147" spans="11:21"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</row>
    <row r="148" spans="11:21"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</row>
    <row r="149" spans="11:21"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</row>
    <row r="150" spans="11:21"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</row>
    <row r="151" spans="11:21"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</row>
    <row r="152" spans="11:21"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</row>
    <row r="153" spans="11:21"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</row>
    <row r="154" spans="11:21"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</row>
    <row r="155" spans="11:21"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</row>
    <row r="156" spans="11:21"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</row>
    <row r="157" spans="11:21"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</row>
    <row r="158" spans="11:21"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</row>
    <row r="159" spans="11:21"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</row>
    <row r="160" spans="11:21"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</row>
  </sheetData>
  <mergeCells count="13">
    <mergeCell ref="O5:T5"/>
    <mergeCell ref="R6:R7"/>
    <mergeCell ref="S6:T6"/>
    <mergeCell ref="F5:J5"/>
    <mergeCell ref="H6:H7"/>
    <mergeCell ref="I6:J6"/>
    <mergeCell ref="K5:K7"/>
    <mergeCell ref="A41:C41"/>
    <mergeCell ref="J41:O41"/>
    <mergeCell ref="R41:T41"/>
    <mergeCell ref="A42:C42"/>
    <mergeCell ref="J42:O42"/>
    <mergeCell ref="R42:T42"/>
  </mergeCells>
  <phoneticPr fontId="0" type="noConversion"/>
  <pageMargins left="0.19685039370078741" right="0.15748031496062992" top="0.47244094488188981" bottom="0.47244094488188981" header="0" footer="0"/>
  <pageSetup paperSize="258" scale="90" orientation="landscape" horizontalDpi="300" verticalDpi="300" r:id="rId1"/>
  <headerFooter alignWithMargins="0">
    <oddFooter>&amp;RPagina No.&amp;P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R145"/>
  <sheetViews>
    <sheetView topLeftCell="A13" workbookViewId="0">
      <selection activeCell="D10" sqref="D10"/>
    </sheetView>
  </sheetViews>
  <sheetFormatPr baseColWidth="10" defaultRowHeight="8.25"/>
  <cols>
    <col min="1" max="1" width="11" style="6" customWidth="1"/>
    <col min="2" max="2" width="8.140625" style="7" customWidth="1"/>
    <col min="3" max="3" width="12" style="7" customWidth="1"/>
    <col min="4" max="4" width="30" style="7" customWidth="1"/>
    <col min="5" max="5" width="10.85546875" style="7" hidden="1" customWidth="1"/>
    <col min="6" max="6" width="9" style="7" hidden="1" customWidth="1"/>
    <col min="7" max="7" width="8.42578125" style="7" hidden="1" customWidth="1"/>
    <col min="8" max="9" width="9.140625" style="7" hidden="1" customWidth="1"/>
    <col min="10" max="10" width="11.42578125" style="7"/>
    <col min="11" max="11" width="12.85546875" style="7" hidden="1" customWidth="1"/>
    <col min="12" max="12" width="13" style="7" hidden="1" customWidth="1"/>
    <col min="13" max="13" width="31.7109375" style="7" customWidth="1"/>
    <col min="14" max="18" width="11.28515625" style="7" customWidth="1"/>
    <col min="19" max="16384" width="11.42578125" style="7"/>
  </cols>
  <sheetData>
    <row r="2" spans="1:18">
      <c r="A2" s="6" t="str">
        <f>CULTURAL!A2</f>
        <v>PLAN OPERATIVO ANUAL DE INVERSIONES 2011 LA CELIA RISARALDA.</v>
      </c>
      <c r="E2" s="6"/>
    </row>
    <row r="3" spans="1:18" ht="12.75">
      <c r="A3" s="8" t="s">
        <v>452</v>
      </c>
      <c r="M3" s="312" t="s">
        <v>274</v>
      </c>
      <c r="N3" s="313">
        <v>2011</v>
      </c>
    </row>
    <row r="4" spans="1:18">
      <c r="A4" s="8"/>
    </row>
    <row r="5" spans="1:18">
      <c r="A5" s="9"/>
      <c r="B5" s="10"/>
      <c r="C5" s="10"/>
      <c r="D5" s="10"/>
      <c r="E5" s="9"/>
      <c r="F5" s="366" t="str">
        <f>CULTURAL!E5</f>
        <v>PROGRAMACION</v>
      </c>
      <c r="G5" s="366"/>
      <c r="H5" s="366"/>
      <c r="I5" s="366"/>
      <c r="J5" s="14"/>
      <c r="K5" s="56" t="s">
        <v>68</v>
      </c>
      <c r="L5" s="56"/>
      <c r="M5" s="56"/>
      <c r="N5" s="373" t="s">
        <v>179</v>
      </c>
      <c r="O5" s="374"/>
      <c r="P5" s="374"/>
      <c r="Q5" s="374"/>
      <c r="R5" s="375"/>
    </row>
    <row r="6" spans="1:18">
      <c r="A6" s="12" t="s">
        <v>138</v>
      </c>
      <c r="B6" s="12" t="s">
        <v>139</v>
      </c>
      <c r="C6" s="12" t="s">
        <v>140</v>
      </c>
      <c r="D6" s="12" t="s">
        <v>141</v>
      </c>
      <c r="E6" s="13" t="s">
        <v>142</v>
      </c>
      <c r="F6" s="14" t="s">
        <v>143</v>
      </c>
      <c r="G6" s="14" t="s">
        <v>144</v>
      </c>
      <c r="H6" s="365" t="s">
        <v>432</v>
      </c>
      <c r="I6" s="14" t="s">
        <v>433</v>
      </c>
      <c r="J6" s="14" t="s">
        <v>199</v>
      </c>
      <c r="K6" s="60">
        <f>VARIOS!E167</f>
        <v>21249709.440000001</v>
      </c>
      <c r="L6" s="61" t="s">
        <v>474</v>
      </c>
      <c r="M6" s="72" t="s">
        <v>98</v>
      </c>
      <c r="N6" s="376" t="s">
        <v>142</v>
      </c>
      <c r="O6" s="378" t="s">
        <v>143</v>
      </c>
      <c r="P6" s="378" t="s">
        <v>144</v>
      </c>
      <c r="Q6" s="365" t="s">
        <v>1257</v>
      </c>
      <c r="R6" s="378" t="s">
        <v>433</v>
      </c>
    </row>
    <row r="7" spans="1:18" ht="16.5">
      <c r="A7" s="13"/>
      <c r="B7" s="15"/>
      <c r="C7" s="15"/>
      <c r="D7" s="15"/>
      <c r="E7" s="13"/>
      <c r="F7" s="11"/>
      <c r="G7" s="11"/>
      <c r="H7" s="365"/>
      <c r="I7" s="11"/>
      <c r="J7" s="11"/>
      <c r="K7" s="62" t="s">
        <v>99</v>
      </c>
      <c r="L7" s="62"/>
      <c r="M7" s="62"/>
      <c r="N7" s="377"/>
      <c r="O7" s="379"/>
      <c r="P7" s="379"/>
      <c r="Q7" s="365"/>
      <c r="R7" s="379"/>
    </row>
    <row r="8" spans="1:18" s="33" customFormat="1" ht="78.75">
      <c r="A8" s="48" t="s">
        <v>149</v>
      </c>
      <c r="B8" s="93" t="s">
        <v>434</v>
      </c>
      <c r="C8" s="93" t="s">
        <v>435</v>
      </c>
      <c r="D8" s="94" t="s">
        <v>436</v>
      </c>
      <c r="E8" s="80">
        <f>SUM(F8:I8)</f>
        <v>1297649</v>
      </c>
      <c r="F8" s="81">
        <v>39749</v>
      </c>
      <c r="G8" s="81">
        <v>730626</v>
      </c>
      <c r="H8" s="81">
        <v>480739</v>
      </c>
      <c r="I8" s="81">
        <v>46535</v>
      </c>
      <c r="J8" s="82">
        <v>100</v>
      </c>
      <c r="K8" s="140">
        <f>K9*J8%</f>
        <v>20501295.656403914</v>
      </c>
      <c r="L8" s="81">
        <f>K8-(E8*1000)</f>
        <v>-1277147704.343596</v>
      </c>
      <c r="M8" s="80" t="str">
        <f>VARIOS!C140&amp;"  -  "&amp;VARIOS!C141&amp;"  -  "&amp;VARIOS!C149&amp;"  -  "&amp;VARIOS!C150&amp;"  -  "&amp;VARIOS!C151&amp;"  -  "&amp;VARIOS!C152&amp;"  -  "&amp;VARIOS!C153&amp;"  -  "&amp;VARIOS!C145&amp;"  -  "&amp;VARIOS!C135&amp;"  -  "&amp;VARIOS!C136&amp;"  -  "&amp;VARIOS!C137&amp;"  -  "&amp;VARIOS!C138&amp;"  -  "&amp;VARIOS!C139</f>
        <v>2.3.3.01.2.1.06.1.01  -  2.3.3.01.2.1.06.1.02  -  2.3.3.01.2.1.06.3.1  -  2.3.3.01.2.1.06.3.2  -  2.3.3.01.2.1.06.3.3  -  2.3.3.01.2.1.06.3.4  -  2.3.3.01.2.1.06.3.5  -  2.3.3.01.2.1.06.1.06  -  2.3.3.01.2.1.01  -  2.3.3.01.2.1.02  -  2.3.3.01.2.1.03  -  2.3.3.01.2.1.04  -  2.3.3.01.2.1.05</v>
      </c>
      <c r="N8" s="81">
        <f>SUM(O8:R8)</f>
        <v>2350875187.2399998</v>
      </c>
      <c r="O8" s="81">
        <f>VARIOS!E140+VARIOS!E141+VARIOS!E149+VARIOS!E150+VARIOS!E151+VARIOS!E152+VARIOS!E153+VARIOS!E145</f>
        <v>606967797.46999991</v>
      </c>
      <c r="P8" s="81">
        <f>VARIOS!E135+VARIOS!E136</f>
        <v>1024970476.4</v>
      </c>
      <c r="Q8" s="81">
        <f>VARIOS!E137+VARIOS!E138</f>
        <v>591517042.39999998</v>
      </c>
      <c r="R8" s="81">
        <f>VARIOS!E139</f>
        <v>127419870.97</v>
      </c>
    </row>
    <row r="9" spans="1:18" s="32" customFormat="1" ht="10.5">
      <c r="A9" s="51"/>
      <c r="B9" s="44" t="s">
        <v>150</v>
      </c>
      <c r="C9" s="44"/>
      <c r="D9" s="44"/>
      <c r="E9" s="83">
        <f>E8</f>
        <v>1297649</v>
      </c>
      <c r="F9" s="84">
        <v>39749</v>
      </c>
      <c r="G9" s="84">
        <v>730626</v>
      </c>
      <c r="H9" s="84">
        <v>480739</v>
      </c>
      <c r="I9" s="85">
        <f>I8</f>
        <v>46535</v>
      </c>
      <c r="J9" s="86">
        <f>N9/$N$25*100</f>
        <v>96.478004625384244</v>
      </c>
      <c r="K9" s="85">
        <f>K$25*J9%</f>
        <v>20501295.656403914</v>
      </c>
      <c r="L9" s="85">
        <f t="shared" ref="L9:L25" si="0">K9-(E9*1000)</f>
        <v>-1277147704.343596</v>
      </c>
      <c r="M9" s="103"/>
      <c r="N9" s="85">
        <f t="shared" ref="N9:N23" si="1">SUM(O9:R9)</f>
        <v>2350875187.2399998</v>
      </c>
      <c r="O9" s="85">
        <f>O8</f>
        <v>606967797.46999991</v>
      </c>
      <c r="P9" s="85">
        <f>P8</f>
        <v>1024970476.4</v>
      </c>
      <c r="Q9" s="85">
        <f>Q8</f>
        <v>591517042.39999998</v>
      </c>
      <c r="R9" s="85">
        <f>R8</f>
        <v>127419870.97</v>
      </c>
    </row>
    <row r="10" spans="1:18" s="33" customFormat="1" ht="56.25">
      <c r="A10" s="49"/>
      <c r="B10" s="93" t="s">
        <v>434</v>
      </c>
      <c r="C10" s="93" t="s">
        <v>437</v>
      </c>
      <c r="D10" s="94" t="s">
        <v>438</v>
      </c>
      <c r="E10" s="80">
        <f>SUM(F10:I10)</f>
        <v>0</v>
      </c>
      <c r="F10" s="81">
        <v>0</v>
      </c>
      <c r="G10" s="81">
        <v>0</v>
      </c>
      <c r="H10" s="81">
        <v>0</v>
      </c>
      <c r="I10" s="81"/>
      <c r="J10" s="82">
        <v>100</v>
      </c>
      <c r="K10" s="140">
        <f>K11*J10%</f>
        <v>563101.27606412175</v>
      </c>
      <c r="L10" s="81">
        <f t="shared" si="0"/>
        <v>563101.27606412175</v>
      </c>
      <c r="M10" s="80" t="str">
        <f>VARIOS!C159&amp;"  -  "&amp;VARIOS!C158</f>
        <v>2.3.3.01.2.2.3.1  -  2.3.3.01.2.2.1</v>
      </c>
      <c r="N10" s="81">
        <f t="shared" si="1"/>
        <v>64570593</v>
      </c>
      <c r="O10" s="81">
        <f>VARIOS!E159</f>
        <v>130915</v>
      </c>
      <c r="P10" s="81">
        <f>VARIOS!E158</f>
        <v>64439678</v>
      </c>
      <c r="Q10" s="81">
        <v>0</v>
      </c>
      <c r="R10" s="81">
        <v>0</v>
      </c>
    </row>
    <row r="11" spans="1:18" s="32" customFormat="1" ht="10.5">
      <c r="A11" s="51"/>
      <c r="B11" s="44" t="s">
        <v>150</v>
      </c>
      <c r="C11" s="44"/>
      <c r="D11" s="44"/>
      <c r="E11" s="84">
        <f>SUM(E10)</f>
        <v>0</v>
      </c>
      <c r="F11" s="84">
        <v>0</v>
      </c>
      <c r="G11" s="84">
        <v>0</v>
      </c>
      <c r="H11" s="84">
        <v>0</v>
      </c>
      <c r="I11" s="84">
        <f>SUM(I10)</f>
        <v>0</v>
      </c>
      <c r="J11" s="86">
        <f>N11/$N$25*100</f>
        <v>2.6499245914588925</v>
      </c>
      <c r="K11" s="85">
        <f>K$25*J11%</f>
        <v>563101.27606412175</v>
      </c>
      <c r="L11" s="85">
        <f t="shared" si="0"/>
        <v>563101.27606412175</v>
      </c>
      <c r="M11" s="103"/>
      <c r="N11" s="85">
        <f t="shared" si="1"/>
        <v>64570593</v>
      </c>
      <c r="O11" s="85">
        <f>O10</f>
        <v>130915</v>
      </c>
      <c r="P11" s="85">
        <f>P10</f>
        <v>64439678</v>
      </c>
      <c r="Q11" s="85">
        <f>Q10</f>
        <v>0</v>
      </c>
      <c r="R11" s="85">
        <f>R10</f>
        <v>0</v>
      </c>
    </row>
    <row r="12" spans="1:18" s="33" customFormat="1" ht="22.5">
      <c r="A12" s="49"/>
      <c r="B12" s="367" t="s">
        <v>434</v>
      </c>
      <c r="C12" s="370" t="s">
        <v>439</v>
      </c>
      <c r="D12" s="94" t="s">
        <v>440</v>
      </c>
      <c r="E12" s="80">
        <f t="shared" ref="E12:E21" si="2">SUM(F12:I12)</f>
        <v>7000</v>
      </c>
      <c r="F12" s="81">
        <v>0</v>
      </c>
      <c r="G12" s="81">
        <v>7000</v>
      </c>
      <c r="H12" s="81">
        <v>0</v>
      </c>
      <c r="I12" s="81"/>
      <c r="J12" s="82">
        <f>E12/$E$22*100</f>
        <v>14.893617021276595</v>
      </c>
      <c r="K12" s="140">
        <f>K$22*J12%</f>
        <v>27599.73516433491</v>
      </c>
      <c r="L12" s="81">
        <f t="shared" si="0"/>
        <v>-6972400.264835665</v>
      </c>
      <c r="M12" s="80" t="str">
        <f>VARIOS!C165&amp;"  -  "&amp;VARIOS!C166&amp;"  -  "&amp;VARIOS!C163</f>
        <v>2.3.3.01.2.3.3  -  2.3.3.01.2.3.4  -  2.3.3.01.2.3.1</v>
      </c>
      <c r="N12" s="81">
        <f t="shared" si="1"/>
        <v>3164850.3421276598</v>
      </c>
      <c r="O12" s="81">
        <f>J12*O22%</f>
        <v>843868.05702127668</v>
      </c>
      <c r="P12" s="81">
        <f>J12*P22%</f>
        <v>1380859.1702127659</v>
      </c>
      <c r="Q12" s="81">
        <f>J12*Q22%</f>
        <v>940123.11489361711</v>
      </c>
      <c r="R12" s="81">
        <v>0</v>
      </c>
    </row>
    <row r="13" spans="1:18" s="33" customFormat="1" ht="22.5">
      <c r="A13" s="49"/>
      <c r="B13" s="368"/>
      <c r="C13" s="371"/>
      <c r="D13" s="94" t="s">
        <v>441</v>
      </c>
      <c r="E13" s="80">
        <f t="shared" si="2"/>
        <v>8000</v>
      </c>
      <c r="F13" s="81">
        <v>0</v>
      </c>
      <c r="G13" s="81">
        <v>8000</v>
      </c>
      <c r="H13" s="81">
        <v>0</v>
      </c>
      <c r="I13" s="81"/>
      <c r="J13" s="82">
        <f t="shared" ref="J13:J21" si="3">E13/$E$22*100</f>
        <v>17.021276595744681</v>
      </c>
      <c r="K13" s="140">
        <f t="shared" ref="K13:K20" si="4">K$22*J13%</f>
        <v>31542.554473525612</v>
      </c>
      <c r="L13" s="81">
        <f t="shared" si="0"/>
        <v>-7968457.4455264742</v>
      </c>
      <c r="M13" s="80" t="str">
        <f>VARIOS!C165&amp;"  -  "&amp;VARIOS!C166&amp;"  -  "&amp;VARIOS!C163</f>
        <v>2.3.3.01.2.3.3  -  2.3.3.01.2.3.4  -  2.3.3.01.2.3.1</v>
      </c>
      <c r="N13" s="81">
        <f t="shared" si="1"/>
        <v>3616971.8195744678</v>
      </c>
      <c r="O13" s="81">
        <f>J13*O22%</f>
        <v>964420.63659574476</v>
      </c>
      <c r="P13" s="81">
        <f>J13*P22%</f>
        <v>1578124.7659574468</v>
      </c>
      <c r="Q13" s="81">
        <f>J13*Q22%</f>
        <v>1074426.4170212767</v>
      </c>
      <c r="R13" s="81">
        <v>0</v>
      </c>
    </row>
    <row r="14" spans="1:18" s="33" customFormat="1" ht="22.5">
      <c r="A14" s="49"/>
      <c r="B14" s="368"/>
      <c r="C14" s="371"/>
      <c r="D14" s="94" t="s">
        <v>442</v>
      </c>
      <c r="E14" s="80">
        <f t="shared" si="2"/>
        <v>5000</v>
      </c>
      <c r="F14" s="81">
        <v>0</v>
      </c>
      <c r="G14" s="81">
        <v>5000</v>
      </c>
      <c r="H14" s="81">
        <v>0</v>
      </c>
      <c r="I14" s="81"/>
      <c r="J14" s="82">
        <f t="shared" si="3"/>
        <v>10.638297872340425</v>
      </c>
      <c r="K14" s="140">
        <f t="shared" si="4"/>
        <v>19714.096545953507</v>
      </c>
      <c r="L14" s="81">
        <f t="shared" si="0"/>
        <v>-4980285.9034540467</v>
      </c>
      <c r="M14" s="80" t="str">
        <f>VARIOS!C165&amp;"  -  "&amp;VARIOS!C166&amp;"  -  "&amp;VARIOS!C163</f>
        <v>2.3.3.01.2.3.3  -  2.3.3.01.2.3.4  -  2.3.3.01.2.3.1</v>
      </c>
      <c r="N14" s="81">
        <f t="shared" si="1"/>
        <v>2260607.3872340424</v>
      </c>
      <c r="O14" s="81">
        <f>J14*O22%</f>
        <v>602762.8978723404</v>
      </c>
      <c r="P14" s="81">
        <f>J14*P22%</f>
        <v>986327.97872340423</v>
      </c>
      <c r="Q14" s="81">
        <f>J14*Q22%</f>
        <v>671516.51063829788</v>
      </c>
      <c r="R14" s="81">
        <v>0</v>
      </c>
    </row>
    <row r="15" spans="1:18" s="33" customFormat="1" ht="22.5">
      <c r="A15" s="49"/>
      <c r="B15" s="368"/>
      <c r="C15" s="371"/>
      <c r="D15" s="94" t="s">
        <v>443</v>
      </c>
      <c r="E15" s="80">
        <f t="shared" si="2"/>
        <v>8000</v>
      </c>
      <c r="F15" s="81">
        <v>0</v>
      </c>
      <c r="G15" s="81">
        <v>8000</v>
      </c>
      <c r="H15" s="81">
        <v>0</v>
      </c>
      <c r="I15" s="81"/>
      <c r="J15" s="82">
        <f t="shared" si="3"/>
        <v>17.021276595744681</v>
      </c>
      <c r="K15" s="140">
        <f t="shared" si="4"/>
        <v>31542.554473525612</v>
      </c>
      <c r="L15" s="81">
        <f t="shared" si="0"/>
        <v>-7968457.4455264742</v>
      </c>
      <c r="M15" s="80" t="str">
        <f>VARIOS!C165&amp;"  -  "&amp;VARIOS!C166&amp;"  -  "&amp;VARIOS!C163</f>
        <v>2.3.3.01.2.3.3  -  2.3.3.01.2.3.4  -  2.3.3.01.2.3.1</v>
      </c>
      <c r="N15" s="81">
        <f t="shared" si="1"/>
        <v>3616971.8195744678</v>
      </c>
      <c r="O15" s="81">
        <f>J15*O22%</f>
        <v>964420.63659574476</v>
      </c>
      <c r="P15" s="81">
        <f>J15*P22%</f>
        <v>1578124.7659574468</v>
      </c>
      <c r="Q15" s="81">
        <f>J15*Q22%</f>
        <v>1074426.4170212767</v>
      </c>
      <c r="R15" s="81">
        <v>0</v>
      </c>
    </row>
    <row r="16" spans="1:18" s="33" customFormat="1" ht="22.5">
      <c r="A16" s="49"/>
      <c r="B16" s="368"/>
      <c r="C16" s="371"/>
      <c r="D16" s="94" t="s">
        <v>444</v>
      </c>
      <c r="E16" s="80">
        <f t="shared" si="2"/>
        <v>1000</v>
      </c>
      <c r="F16" s="81">
        <v>0</v>
      </c>
      <c r="G16" s="81">
        <v>1000</v>
      </c>
      <c r="H16" s="81">
        <v>0</v>
      </c>
      <c r="I16" s="81"/>
      <c r="J16" s="82">
        <f t="shared" si="3"/>
        <v>2.1276595744680851</v>
      </c>
      <c r="K16" s="140">
        <f t="shared" si="4"/>
        <v>3942.8193091907015</v>
      </c>
      <c r="L16" s="81">
        <f t="shared" si="0"/>
        <v>-996057.18069080927</v>
      </c>
      <c r="M16" s="80" t="str">
        <f>VARIOS!C165&amp;"  -  "&amp;VARIOS!C166&amp;"  -  "&amp;VARIOS!C163</f>
        <v>2.3.3.01.2.3.3  -  2.3.3.01.2.3.4  -  2.3.3.01.2.3.1</v>
      </c>
      <c r="N16" s="81">
        <f t="shared" si="1"/>
        <v>452121.47744680848</v>
      </c>
      <c r="O16" s="81">
        <f>J16*O22%</f>
        <v>120552.57957446809</v>
      </c>
      <c r="P16" s="81">
        <f>J16*P22%</f>
        <v>197265.59574468085</v>
      </c>
      <c r="Q16" s="81">
        <f>J16*Q22%</f>
        <v>134303.30212765958</v>
      </c>
      <c r="R16" s="81">
        <v>0</v>
      </c>
    </row>
    <row r="17" spans="1:18" s="33" customFormat="1" ht="22.5">
      <c r="A17" s="49"/>
      <c r="B17" s="368"/>
      <c r="C17" s="371"/>
      <c r="D17" s="94" t="s">
        <v>445</v>
      </c>
      <c r="E17" s="80">
        <f t="shared" si="2"/>
        <v>8000</v>
      </c>
      <c r="F17" s="81">
        <v>0</v>
      </c>
      <c r="G17" s="81">
        <v>8000</v>
      </c>
      <c r="H17" s="81">
        <v>0</v>
      </c>
      <c r="I17" s="81"/>
      <c r="J17" s="82">
        <f t="shared" si="3"/>
        <v>17.021276595744681</v>
      </c>
      <c r="K17" s="140">
        <f t="shared" si="4"/>
        <v>31542.554473525612</v>
      </c>
      <c r="L17" s="81">
        <f t="shared" si="0"/>
        <v>-7968457.4455264742</v>
      </c>
      <c r="M17" s="80" t="str">
        <f>VARIOS!C165&amp;"  -  "&amp;VARIOS!C166&amp;"  -  "&amp;VARIOS!C163</f>
        <v>2.3.3.01.2.3.3  -  2.3.3.01.2.3.4  -  2.3.3.01.2.3.1</v>
      </c>
      <c r="N17" s="81">
        <f t="shared" si="1"/>
        <v>3616971.8195744678</v>
      </c>
      <c r="O17" s="81">
        <f>J17*O22%</f>
        <v>964420.63659574476</v>
      </c>
      <c r="P17" s="81">
        <f>J17*P22%</f>
        <v>1578124.7659574468</v>
      </c>
      <c r="Q17" s="81">
        <f>J17*Q22%</f>
        <v>1074426.4170212767</v>
      </c>
      <c r="R17" s="81">
        <v>0</v>
      </c>
    </row>
    <row r="18" spans="1:18" s="33" customFormat="1" ht="22.5">
      <c r="A18" s="49"/>
      <c r="B18" s="368"/>
      <c r="C18" s="371"/>
      <c r="D18" s="94" t="s">
        <v>446</v>
      </c>
      <c r="E18" s="80">
        <f t="shared" si="2"/>
        <v>3000</v>
      </c>
      <c r="F18" s="81">
        <v>0</v>
      </c>
      <c r="G18" s="81">
        <v>3000</v>
      </c>
      <c r="H18" s="81">
        <v>0</v>
      </c>
      <c r="I18" s="81"/>
      <c r="J18" s="82">
        <f t="shared" si="3"/>
        <v>6.3829787234042552</v>
      </c>
      <c r="K18" s="140">
        <f t="shared" si="4"/>
        <v>11828.457927572103</v>
      </c>
      <c r="L18" s="81">
        <f t="shared" si="0"/>
        <v>-2988171.5420724279</v>
      </c>
      <c r="M18" s="80" t="str">
        <f>VARIOS!C165&amp;"  -  "&amp;VARIOS!C166&amp;"  -  "&amp;VARIOS!C163</f>
        <v>2.3.3.01.2.3.3  -  2.3.3.01.2.3.4  -  2.3.3.01.2.3.1</v>
      </c>
      <c r="N18" s="81">
        <f t="shared" si="1"/>
        <v>1356364.4323404254</v>
      </c>
      <c r="O18" s="81">
        <f>J18*O22%</f>
        <v>361657.7387234043</v>
      </c>
      <c r="P18" s="81">
        <f>J18*P22%</f>
        <v>591796.78723404254</v>
      </c>
      <c r="Q18" s="81">
        <f>J18*Q22%</f>
        <v>402909.90638297872</v>
      </c>
      <c r="R18" s="81">
        <v>0</v>
      </c>
    </row>
    <row r="19" spans="1:18" s="33" customFormat="1" ht="22.5">
      <c r="A19" s="49"/>
      <c r="B19" s="368"/>
      <c r="C19" s="371"/>
      <c r="D19" s="94" t="s">
        <v>447</v>
      </c>
      <c r="E19" s="80">
        <f t="shared" si="2"/>
        <v>1000</v>
      </c>
      <c r="F19" s="81">
        <v>0</v>
      </c>
      <c r="G19" s="81">
        <v>1000</v>
      </c>
      <c r="H19" s="81">
        <v>0</v>
      </c>
      <c r="I19" s="81"/>
      <c r="J19" s="82">
        <f t="shared" si="3"/>
        <v>2.1276595744680851</v>
      </c>
      <c r="K19" s="140">
        <f t="shared" si="4"/>
        <v>3942.8193091907015</v>
      </c>
      <c r="L19" s="81">
        <f t="shared" si="0"/>
        <v>-996057.18069080927</v>
      </c>
      <c r="M19" s="80" t="str">
        <f>VARIOS!C165&amp;"  -  "&amp;VARIOS!C166&amp;"  -  "&amp;VARIOS!C163</f>
        <v>2.3.3.01.2.3.3  -  2.3.3.01.2.3.4  -  2.3.3.01.2.3.1</v>
      </c>
      <c r="N19" s="81">
        <f t="shared" si="1"/>
        <v>452121.47744680848</v>
      </c>
      <c r="O19" s="81">
        <f>J19*O22%</f>
        <v>120552.57957446809</v>
      </c>
      <c r="P19" s="81">
        <f>J19*P22%</f>
        <v>197265.59574468085</v>
      </c>
      <c r="Q19" s="81">
        <f>J19*Q22%</f>
        <v>134303.30212765958</v>
      </c>
      <c r="R19" s="81">
        <v>0</v>
      </c>
    </row>
    <row r="20" spans="1:18" s="33" customFormat="1" ht="22.5">
      <c r="A20" s="49"/>
      <c r="B20" s="368"/>
      <c r="C20" s="371"/>
      <c r="D20" s="94" t="s">
        <v>448</v>
      </c>
      <c r="E20" s="80">
        <f t="shared" si="2"/>
        <v>1000</v>
      </c>
      <c r="F20" s="81">
        <v>0</v>
      </c>
      <c r="G20" s="81">
        <v>1000</v>
      </c>
      <c r="H20" s="81">
        <v>0</v>
      </c>
      <c r="I20" s="81"/>
      <c r="J20" s="82">
        <f t="shared" si="3"/>
        <v>2.1276595744680851</v>
      </c>
      <c r="K20" s="140">
        <f t="shared" si="4"/>
        <v>3942.8193091907015</v>
      </c>
      <c r="L20" s="81">
        <f t="shared" si="0"/>
        <v>-996057.18069080927</v>
      </c>
      <c r="M20" s="80" t="str">
        <f>VARIOS!C165&amp;"  -  "&amp;VARIOS!C166&amp;"  -  "&amp;VARIOS!C163</f>
        <v>2.3.3.01.2.3.3  -  2.3.3.01.2.3.4  -  2.3.3.01.2.3.1</v>
      </c>
      <c r="N20" s="81">
        <f t="shared" si="1"/>
        <v>452121.47744680848</v>
      </c>
      <c r="O20" s="81">
        <f>J20*O22%</f>
        <v>120552.57957446809</v>
      </c>
      <c r="P20" s="81">
        <f>J20*P22%</f>
        <v>197265.59574468085</v>
      </c>
      <c r="Q20" s="81">
        <f>J20*Q22%</f>
        <v>134303.30212765958</v>
      </c>
      <c r="R20" s="81">
        <v>0</v>
      </c>
    </row>
    <row r="21" spans="1:18" s="33" customFormat="1" ht="33.75">
      <c r="A21" s="49"/>
      <c r="B21" s="369"/>
      <c r="C21" s="372"/>
      <c r="D21" s="94" t="s">
        <v>449</v>
      </c>
      <c r="E21" s="80">
        <f t="shared" si="2"/>
        <v>5000</v>
      </c>
      <c r="F21" s="81">
        <v>0</v>
      </c>
      <c r="G21" s="81">
        <v>5000</v>
      </c>
      <c r="H21" s="81">
        <v>0</v>
      </c>
      <c r="I21" s="81"/>
      <c r="J21" s="82">
        <f t="shared" si="3"/>
        <v>10.638297872340425</v>
      </c>
      <c r="K21" s="140">
        <f>K22*J21%</f>
        <v>19714.096545953507</v>
      </c>
      <c r="L21" s="81">
        <f t="shared" si="0"/>
        <v>-4980285.9034540467</v>
      </c>
      <c r="M21" s="80" t="str">
        <f>VARIOS!C165&amp;"  -  "&amp;VARIOS!C166&amp;"  -  "&amp;VARIOS!C163</f>
        <v>2.3.3.01.2.3.3  -  2.3.3.01.2.3.4  -  2.3.3.01.2.3.1</v>
      </c>
      <c r="N21" s="81">
        <f t="shared" si="1"/>
        <v>2260607.3872340424</v>
      </c>
      <c r="O21" s="81">
        <f>J21*O22%</f>
        <v>602762.8978723404</v>
      </c>
      <c r="P21" s="81">
        <f>J21*P22%</f>
        <v>986327.97872340423</v>
      </c>
      <c r="Q21" s="81">
        <f>J21*Q22%</f>
        <v>671516.51063829788</v>
      </c>
      <c r="R21" s="81">
        <v>0</v>
      </c>
    </row>
    <row r="22" spans="1:18" s="32" customFormat="1" ht="10.5">
      <c r="A22" s="51"/>
      <c r="B22" s="44" t="s">
        <v>150</v>
      </c>
      <c r="C22" s="44"/>
      <c r="D22" s="44"/>
      <c r="E22" s="83">
        <f>SUM(E11:E21)</f>
        <v>47000</v>
      </c>
      <c r="F22" s="84">
        <v>0</v>
      </c>
      <c r="G22" s="84">
        <v>47000</v>
      </c>
      <c r="H22" s="84">
        <v>0</v>
      </c>
      <c r="I22" s="84">
        <f>SUM(I11:I21)</f>
        <v>0</v>
      </c>
      <c r="J22" s="86">
        <f>N22/$N$25*100</f>
        <v>0.87207078315684938</v>
      </c>
      <c r="K22" s="85">
        <f>K$25*J22%</f>
        <v>185312.50753196297</v>
      </c>
      <c r="L22" s="85">
        <f t="shared" si="0"/>
        <v>-46814687.492468037</v>
      </c>
      <c r="M22" s="103"/>
      <c r="N22" s="85">
        <f>SUM(N12:N21)</f>
        <v>21249709.440000001</v>
      </c>
      <c r="O22" s="85">
        <f>VARIOS!E165</f>
        <v>5665971.2400000002</v>
      </c>
      <c r="P22" s="85">
        <f>+VARIOS!E166</f>
        <v>9271483</v>
      </c>
      <c r="Q22" s="85">
        <f>VARIOS!E163</f>
        <v>6312255.2000000002</v>
      </c>
      <c r="R22" s="85">
        <v>0</v>
      </c>
    </row>
    <row r="23" spans="1:18" s="33" customFormat="1" ht="45">
      <c r="A23" s="49"/>
      <c r="B23" s="95" t="s">
        <v>434</v>
      </c>
      <c r="C23" s="93" t="s">
        <v>450</v>
      </c>
      <c r="D23" s="94" t="s">
        <v>451</v>
      </c>
      <c r="E23" s="80">
        <f>SUM(F23:I23)</f>
        <v>1000</v>
      </c>
      <c r="F23" s="80">
        <v>0</v>
      </c>
      <c r="G23" s="80">
        <v>1000</v>
      </c>
      <c r="H23" s="80">
        <v>0</v>
      </c>
      <c r="I23" s="80"/>
      <c r="J23" s="87">
        <v>0</v>
      </c>
      <c r="K23" s="140">
        <f>K24*J23%</f>
        <v>0</v>
      </c>
      <c r="L23" s="80">
        <f t="shared" si="0"/>
        <v>-1000000</v>
      </c>
      <c r="M23" s="80">
        <v>0</v>
      </c>
      <c r="N23" s="80">
        <f t="shared" si="1"/>
        <v>0</v>
      </c>
      <c r="O23" s="80">
        <v>0</v>
      </c>
      <c r="P23" s="80">
        <v>0</v>
      </c>
      <c r="Q23" s="80">
        <v>0</v>
      </c>
      <c r="R23" s="80">
        <v>0</v>
      </c>
    </row>
    <row r="24" spans="1:18" s="32" customFormat="1" ht="10.5">
      <c r="A24" s="51"/>
      <c r="B24" s="44" t="s">
        <v>150</v>
      </c>
      <c r="C24" s="44"/>
      <c r="D24" s="44"/>
      <c r="E24" s="83">
        <f>SUM(E23)</f>
        <v>1000</v>
      </c>
      <c r="F24" s="84">
        <v>0</v>
      </c>
      <c r="G24" s="84">
        <v>1000</v>
      </c>
      <c r="H24" s="84">
        <v>0</v>
      </c>
      <c r="I24" s="84">
        <f>SUM(I23)</f>
        <v>0</v>
      </c>
      <c r="J24" s="86">
        <f>N24/$N$25*100</f>
        <v>0</v>
      </c>
      <c r="K24" s="85">
        <f>K$25*J24%</f>
        <v>0</v>
      </c>
      <c r="L24" s="85">
        <f t="shared" si="0"/>
        <v>-1000000</v>
      </c>
      <c r="M24" s="83"/>
      <c r="N24" s="83">
        <f>SUM(N23)</f>
        <v>0</v>
      </c>
      <c r="O24" s="83">
        <f>SUM(O23)</f>
        <v>0</v>
      </c>
      <c r="P24" s="83">
        <f>SUM(P23)</f>
        <v>0</v>
      </c>
      <c r="Q24" s="83">
        <f>SUM(Q23)</f>
        <v>0</v>
      </c>
      <c r="R24" s="83">
        <f>SUM(R23)</f>
        <v>0</v>
      </c>
    </row>
    <row r="25" spans="1:18" s="98" customFormat="1" ht="21">
      <c r="A25" s="96"/>
      <c r="B25" s="97" t="s">
        <v>151</v>
      </c>
      <c r="C25" s="96"/>
      <c r="D25" s="96"/>
      <c r="E25" s="88">
        <f>E9+E11+E22+E24</f>
        <v>1345649</v>
      </c>
      <c r="F25" s="88">
        <v>39749</v>
      </c>
      <c r="G25" s="88">
        <v>778626</v>
      </c>
      <c r="H25" s="88">
        <v>480739</v>
      </c>
      <c r="I25" s="88">
        <f>I9+I11+I22+I24</f>
        <v>46535</v>
      </c>
      <c r="J25" s="89">
        <v>100</v>
      </c>
      <c r="K25" s="88">
        <f>K6</f>
        <v>21249709.440000001</v>
      </c>
      <c r="L25" s="88">
        <f t="shared" si="0"/>
        <v>-1324399290.5599999</v>
      </c>
      <c r="M25" s="88"/>
      <c r="N25" s="88">
        <f>N9+N11+N22+N24</f>
        <v>2436695489.6799998</v>
      </c>
      <c r="O25" s="88">
        <f>O9+O11+O22+O24</f>
        <v>612764683.70999992</v>
      </c>
      <c r="P25" s="88">
        <f>P9+P11+P22+P24</f>
        <v>1098681637.4000001</v>
      </c>
      <c r="Q25" s="88">
        <f>Q9+Q11+Q22+Q24</f>
        <v>597829297.60000002</v>
      </c>
      <c r="R25" s="88">
        <f>R9+R11+R22+R24</f>
        <v>127419870.97</v>
      </c>
    </row>
    <row r="26" spans="1:18">
      <c r="E26" s="21"/>
      <c r="F26" s="21"/>
      <c r="G26" s="21"/>
      <c r="H26" s="21"/>
      <c r="I26" s="21"/>
      <c r="J26" s="21"/>
    </row>
    <row r="27" spans="1:18">
      <c r="E27" s="21"/>
      <c r="F27" s="21"/>
      <c r="G27" s="21"/>
      <c r="H27" s="21"/>
      <c r="I27" s="21"/>
      <c r="J27" s="21"/>
    </row>
    <row r="28" spans="1:18">
      <c r="E28" s="21"/>
      <c r="F28" s="21"/>
      <c r="G28" s="21"/>
      <c r="H28" s="21"/>
      <c r="I28" s="21"/>
      <c r="J28" s="21"/>
    </row>
    <row r="29" spans="1:18" ht="11.25">
      <c r="A29" s="335" t="s">
        <v>1225</v>
      </c>
      <c r="B29" s="335"/>
      <c r="C29" s="335"/>
      <c r="D29" s="34"/>
      <c r="E29" s="34"/>
      <c r="F29" s="34"/>
      <c r="G29" s="34"/>
      <c r="H29" s="34"/>
      <c r="I29" s="142"/>
      <c r="J29" s="336" t="s">
        <v>1224</v>
      </c>
      <c r="K29" s="336"/>
      <c r="L29" s="336"/>
      <c r="M29" s="336"/>
      <c r="N29" s="336"/>
      <c r="O29" s="144"/>
      <c r="P29" s="336" t="s">
        <v>1279</v>
      </c>
      <c r="Q29" s="336"/>
      <c r="R29" s="336"/>
    </row>
    <row r="30" spans="1:18" ht="11.25">
      <c r="A30" s="347" t="s">
        <v>1276</v>
      </c>
      <c r="B30" s="347"/>
      <c r="C30" s="347"/>
      <c r="D30" s="34"/>
      <c r="E30" s="34"/>
      <c r="F30" s="34"/>
      <c r="G30" s="34"/>
      <c r="H30" s="34"/>
      <c r="I30" s="142"/>
      <c r="J30" s="337" t="s">
        <v>1277</v>
      </c>
      <c r="K30" s="337"/>
      <c r="L30" s="337"/>
      <c r="M30" s="337"/>
      <c r="N30" s="337"/>
      <c r="O30" s="144"/>
      <c r="P30" s="337" t="s">
        <v>1278</v>
      </c>
      <c r="Q30" s="337"/>
      <c r="R30" s="337"/>
    </row>
    <row r="31" spans="1:18">
      <c r="E31" s="21"/>
      <c r="F31" s="21"/>
      <c r="G31" s="21"/>
      <c r="H31" s="21"/>
      <c r="I31" s="21"/>
      <c r="J31" s="21"/>
    </row>
    <row r="32" spans="1:18">
      <c r="E32" s="21"/>
      <c r="F32" s="21"/>
      <c r="G32" s="21"/>
      <c r="H32" s="21"/>
      <c r="I32" s="21"/>
      <c r="J32" s="21"/>
    </row>
    <row r="33" spans="5:10">
      <c r="E33" s="21"/>
      <c r="F33" s="21"/>
      <c r="G33" s="21"/>
      <c r="H33" s="21"/>
      <c r="I33" s="21"/>
      <c r="J33" s="21"/>
    </row>
    <row r="34" spans="5:10">
      <c r="E34" s="21"/>
      <c r="F34" s="21"/>
      <c r="G34" s="21"/>
      <c r="H34" s="21"/>
      <c r="I34" s="21"/>
      <c r="J34" s="21"/>
    </row>
    <row r="35" spans="5:10">
      <c r="E35" s="21"/>
      <c r="F35" s="21"/>
      <c r="G35" s="21"/>
      <c r="H35" s="21"/>
      <c r="I35" s="21"/>
      <c r="J35" s="21"/>
    </row>
    <row r="36" spans="5:10">
      <c r="E36" s="21"/>
      <c r="F36" s="21"/>
      <c r="G36" s="21"/>
      <c r="H36" s="21"/>
      <c r="I36" s="21"/>
      <c r="J36" s="21"/>
    </row>
    <row r="37" spans="5:10">
      <c r="E37" s="21"/>
      <c r="F37" s="21"/>
      <c r="G37" s="21"/>
      <c r="H37" s="21"/>
      <c r="I37" s="21"/>
      <c r="J37" s="21"/>
    </row>
    <row r="38" spans="5:10">
      <c r="E38" s="21"/>
      <c r="F38" s="21"/>
      <c r="G38" s="21"/>
      <c r="H38" s="21"/>
      <c r="I38" s="21"/>
      <c r="J38" s="21"/>
    </row>
    <row r="39" spans="5:10">
      <c r="E39" s="21"/>
      <c r="F39" s="21"/>
      <c r="G39" s="21"/>
      <c r="H39" s="21"/>
      <c r="I39" s="21"/>
      <c r="J39" s="21"/>
    </row>
    <row r="40" spans="5:10">
      <c r="E40" s="21"/>
      <c r="F40" s="21"/>
      <c r="G40" s="21"/>
      <c r="H40" s="21"/>
      <c r="I40" s="21"/>
      <c r="J40" s="21"/>
    </row>
    <row r="41" spans="5:10">
      <c r="E41" s="21"/>
      <c r="F41" s="21"/>
      <c r="G41" s="21"/>
      <c r="H41" s="21"/>
      <c r="I41" s="21"/>
      <c r="J41" s="21"/>
    </row>
    <row r="42" spans="5:10">
      <c r="E42" s="21"/>
      <c r="F42" s="21"/>
      <c r="G42" s="21"/>
      <c r="H42" s="21"/>
      <c r="I42" s="21"/>
      <c r="J42" s="21"/>
    </row>
    <row r="43" spans="5:10">
      <c r="E43" s="21"/>
      <c r="F43" s="21"/>
      <c r="G43" s="21"/>
      <c r="H43" s="21"/>
      <c r="I43" s="21"/>
      <c r="J43" s="21"/>
    </row>
    <row r="44" spans="5:10">
      <c r="E44" s="21"/>
      <c r="F44" s="21"/>
      <c r="G44" s="21"/>
      <c r="H44" s="21"/>
      <c r="I44" s="21"/>
      <c r="J44" s="21"/>
    </row>
    <row r="45" spans="5:10">
      <c r="E45" s="21"/>
      <c r="F45" s="21"/>
      <c r="G45" s="21"/>
      <c r="H45" s="21"/>
      <c r="I45" s="21"/>
      <c r="J45" s="21"/>
    </row>
    <row r="46" spans="5:10">
      <c r="E46" s="21"/>
      <c r="F46" s="21"/>
      <c r="G46" s="21"/>
      <c r="H46" s="21"/>
      <c r="I46" s="21"/>
      <c r="J46" s="21"/>
    </row>
    <row r="47" spans="5:10">
      <c r="E47" s="21"/>
      <c r="F47" s="21"/>
      <c r="G47" s="21"/>
      <c r="H47" s="21"/>
      <c r="I47" s="21"/>
      <c r="J47" s="21"/>
    </row>
    <row r="48" spans="5:10">
      <c r="E48" s="21"/>
      <c r="F48" s="21"/>
      <c r="G48" s="21"/>
      <c r="H48" s="21"/>
      <c r="I48" s="21"/>
      <c r="J48" s="21"/>
    </row>
    <row r="49" spans="5:10">
      <c r="E49" s="21"/>
      <c r="F49" s="21"/>
      <c r="G49" s="21"/>
      <c r="H49" s="21"/>
      <c r="I49" s="21"/>
      <c r="J49" s="21"/>
    </row>
    <row r="50" spans="5:10">
      <c r="E50" s="21"/>
      <c r="F50" s="21"/>
      <c r="G50" s="21"/>
      <c r="H50" s="21"/>
      <c r="I50" s="21"/>
      <c r="J50" s="21"/>
    </row>
    <row r="51" spans="5:10">
      <c r="E51" s="21"/>
      <c r="F51" s="21"/>
      <c r="G51" s="21"/>
      <c r="H51" s="21"/>
      <c r="I51" s="21"/>
      <c r="J51" s="21"/>
    </row>
    <row r="52" spans="5:10">
      <c r="E52" s="21"/>
      <c r="F52" s="21"/>
      <c r="G52" s="21"/>
      <c r="H52" s="21"/>
      <c r="I52" s="21"/>
      <c r="J52" s="21"/>
    </row>
    <row r="53" spans="5:10">
      <c r="E53" s="21"/>
      <c r="F53" s="21"/>
      <c r="G53" s="21"/>
      <c r="H53" s="21"/>
      <c r="I53" s="21"/>
      <c r="J53" s="21"/>
    </row>
    <row r="54" spans="5:10">
      <c r="E54" s="21"/>
      <c r="F54" s="21"/>
      <c r="G54" s="21"/>
      <c r="H54" s="21"/>
      <c r="I54" s="21"/>
      <c r="J54" s="21"/>
    </row>
    <row r="55" spans="5:10">
      <c r="E55" s="21"/>
      <c r="F55" s="21"/>
      <c r="G55" s="21"/>
      <c r="H55" s="21"/>
      <c r="I55" s="21"/>
      <c r="J55" s="21"/>
    </row>
    <row r="56" spans="5:10">
      <c r="E56" s="21"/>
      <c r="F56" s="21"/>
      <c r="G56" s="21"/>
      <c r="H56" s="21"/>
      <c r="I56" s="21"/>
      <c r="J56" s="21"/>
    </row>
    <row r="57" spans="5:10">
      <c r="E57" s="21"/>
      <c r="F57" s="21"/>
      <c r="G57" s="21"/>
      <c r="H57" s="21"/>
      <c r="I57" s="21"/>
      <c r="J57" s="21"/>
    </row>
    <row r="58" spans="5:10">
      <c r="E58" s="21"/>
      <c r="F58" s="21"/>
      <c r="G58" s="21"/>
      <c r="H58" s="21"/>
      <c r="I58" s="21"/>
      <c r="J58" s="21"/>
    </row>
    <row r="59" spans="5:10">
      <c r="E59" s="21"/>
      <c r="F59" s="21"/>
      <c r="G59" s="21"/>
      <c r="H59" s="21"/>
      <c r="I59" s="21"/>
      <c r="J59" s="21"/>
    </row>
    <row r="60" spans="5:10">
      <c r="E60" s="21"/>
      <c r="F60" s="21"/>
      <c r="G60" s="21"/>
      <c r="H60" s="21"/>
      <c r="I60" s="21"/>
      <c r="J60" s="21"/>
    </row>
    <row r="61" spans="5:10">
      <c r="E61" s="21"/>
      <c r="F61" s="21"/>
      <c r="G61" s="21"/>
      <c r="H61" s="21"/>
      <c r="I61" s="21"/>
      <c r="J61" s="21"/>
    </row>
    <row r="62" spans="5:10">
      <c r="E62" s="21"/>
      <c r="F62" s="21"/>
      <c r="G62" s="21"/>
      <c r="H62" s="21"/>
      <c r="I62" s="21"/>
      <c r="J62" s="21"/>
    </row>
    <row r="63" spans="5:10">
      <c r="E63" s="21"/>
      <c r="F63" s="21"/>
      <c r="G63" s="21"/>
      <c r="H63" s="21"/>
      <c r="I63" s="21"/>
      <c r="J63" s="21"/>
    </row>
    <row r="64" spans="5:10">
      <c r="E64" s="21"/>
      <c r="F64" s="21"/>
      <c r="G64" s="21"/>
      <c r="H64" s="21"/>
      <c r="I64" s="21"/>
      <c r="J64" s="21"/>
    </row>
    <row r="65" spans="5:10">
      <c r="E65" s="21"/>
      <c r="F65" s="21"/>
      <c r="G65" s="21"/>
      <c r="H65" s="21"/>
      <c r="I65" s="21"/>
      <c r="J65" s="21"/>
    </row>
    <row r="66" spans="5:10">
      <c r="E66" s="21"/>
      <c r="F66" s="21"/>
      <c r="G66" s="21"/>
      <c r="H66" s="21"/>
      <c r="I66" s="21"/>
      <c r="J66" s="21"/>
    </row>
    <row r="67" spans="5:10">
      <c r="E67" s="21"/>
      <c r="F67" s="21"/>
      <c r="G67" s="21"/>
      <c r="H67" s="21"/>
      <c r="I67" s="21"/>
      <c r="J67" s="21"/>
    </row>
    <row r="68" spans="5:10">
      <c r="E68" s="21"/>
      <c r="F68" s="21"/>
      <c r="G68" s="21"/>
      <c r="H68" s="21"/>
      <c r="I68" s="21"/>
      <c r="J68" s="21"/>
    </row>
    <row r="69" spans="5:10">
      <c r="E69" s="21"/>
      <c r="F69" s="21"/>
      <c r="G69" s="21"/>
      <c r="H69" s="21"/>
      <c r="I69" s="21"/>
      <c r="J69" s="21"/>
    </row>
    <row r="70" spans="5:10">
      <c r="E70" s="21"/>
      <c r="F70" s="21"/>
      <c r="G70" s="21"/>
      <c r="H70" s="21"/>
      <c r="I70" s="21"/>
      <c r="J70" s="21"/>
    </row>
    <row r="71" spans="5:10">
      <c r="E71" s="21"/>
      <c r="F71" s="21"/>
      <c r="G71" s="21"/>
      <c r="H71" s="21"/>
      <c r="I71" s="21"/>
      <c r="J71" s="21"/>
    </row>
    <row r="72" spans="5:10">
      <c r="E72" s="21"/>
      <c r="F72" s="21"/>
      <c r="G72" s="21"/>
      <c r="H72" s="21"/>
      <c r="I72" s="21"/>
      <c r="J72" s="21"/>
    </row>
    <row r="73" spans="5:10">
      <c r="E73" s="21"/>
      <c r="F73" s="21"/>
      <c r="G73" s="21"/>
      <c r="H73" s="21"/>
      <c r="I73" s="21"/>
      <c r="J73" s="21"/>
    </row>
    <row r="74" spans="5:10">
      <c r="E74" s="21"/>
      <c r="F74" s="21"/>
      <c r="G74" s="21"/>
      <c r="H74" s="21"/>
      <c r="I74" s="21"/>
      <c r="J74" s="21"/>
    </row>
    <row r="75" spans="5:10">
      <c r="E75" s="21"/>
      <c r="F75" s="21"/>
      <c r="G75" s="21"/>
      <c r="H75" s="21"/>
      <c r="I75" s="21"/>
      <c r="J75" s="21"/>
    </row>
    <row r="76" spans="5:10">
      <c r="E76" s="21"/>
      <c r="F76" s="21"/>
      <c r="G76" s="21"/>
      <c r="H76" s="21"/>
      <c r="I76" s="21"/>
      <c r="J76" s="21"/>
    </row>
    <row r="77" spans="5:10">
      <c r="E77" s="21"/>
      <c r="F77" s="21"/>
      <c r="G77" s="21"/>
      <c r="H77" s="21"/>
      <c r="I77" s="21"/>
      <c r="J77" s="21"/>
    </row>
    <row r="78" spans="5:10">
      <c r="E78" s="21"/>
      <c r="F78" s="21"/>
      <c r="G78" s="21"/>
      <c r="H78" s="21"/>
      <c r="I78" s="21"/>
      <c r="J78" s="21"/>
    </row>
    <row r="79" spans="5:10">
      <c r="E79" s="21"/>
      <c r="F79" s="21"/>
      <c r="G79" s="21"/>
      <c r="H79" s="21"/>
      <c r="I79" s="21"/>
      <c r="J79" s="21"/>
    </row>
    <row r="80" spans="5:10">
      <c r="E80" s="21"/>
      <c r="F80" s="21"/>
      <c r="G80" s="21"/>
      <c r="H80" s="21"/>
      <c r="I80" s="21"/>
      <c r="J80" s="21"/>
    </row>
    <row r="81" spans="5:10">
      <c r="E81" s="21"/>
      <c r="F81" s="21"/>
      <c r="G81" s="21"/>
      <c r="H81" s="21"/>
      <c r="I81" s="21"/>
      <c r="J81" s="21"/>
    </row>
    <row r="82" spans="5:10">
      <c r="E82" s="21"/>
      <c r="F82" s="21"/>
      <c r="G82" s="21"/>
      <c r="H82" s="21"/>
      <c r="I82" s="21"/>
      <c r="J82" s="21"/>
    </row>
    <row r="83" spans="5:10">
      <c r="E83" s="21"/>
      <c r="F83" s="21"/>
      <c r="G83" s="21"/>
      <c r="H83" s="21"/>
      <c r="I83" s="21"/>
      <c r="J83" s="21"/>
    </row>
    <row r="84" spans="5:10">
      <c r="E84" s="21"/>
      <c r="F84" s="21"/>
      <c r="G84" s="21"/>
      <c r="H84" s="21"/>
      <c r="I84" s="21"/>
      <c r="J84" s="21"/>
    </row>
    <row r="85" spans="5:10">
      <c r="E85" s="21"/>
      <c r="F85" s="21"/>
      <c r="G85" s="21"/>
      <c r="H85" s="21"/>
      <c r="I85" s="21"/>
      <c r="J85" s="21"/>
    </row>
    <row r="86" spans="5:10">
      <c r="E86" s="21"/>
      <c r="F86" s="21"/>
      <c r="G86" s="21"/>
      <c r="H86" s="21"/>
      <c r="I86" s="21"/>
      <c r="J86" s="21"/>
    </row>
    <row r="87" spans="5:10">
      <c r="E87" s="21"/>
      <c r="F87" s="21"/>
      <c r="G87" s="21"/>
      <c r="H87" s="21"/>
      <c r="I87" s="21"/>
      <c r="J87" s="21"/>
    </row>
    <row r="88" spans="5:10">
      <c r="E88" s="21"/>
      <c r="F88" s="21"/>
      <c r="G88" s="21"/>
      <c r="H88" s="21"/>
      <c r="I88" s="21"/>
      <c r="J88" s="21"/>
    </row>
    <row r="89" spans="5:10">
      <c r="E89" s="21"/>
      <c r="F89" s="21"/>
      <c r="G89" s="21"/>
      <c r="H89" s="21"/>
      <c r="I89" s="21"/>
      <c r="J89" s="21"/>
    </row>
    <row r="90" spans="5:10">
      <c r="E90" s="21"/>
      <c r="F90" s="21"/>
      <c r="G90" s="21"/>
      <c r="H90" s="21"/>
      <c r="I90" s="21"/>
      <c r="J90" s="21"/>
    </row>
    <row r="91" spans="5:10">
      <c r="E91" s="21"/>
      <c r="F91" s="21"/>
      <c r="G91" s="21"/>
      <c r="H91" s="21"/>
      <c r="I91" s="21"/>
      <c r="J91" s="21"/>
    </row>
    <row r="92" spans="5:10">
      <c r="E92" s="21"/>
      <c r="F92" s="21"/>
      <c r="G92" s="21"/>
      <c r="H92" s="21"/>
      <c r="I92" s="21"/>
      <c r="J92" s="21"/>
    </row>
    <row r="93" spans="5:10">
      <c r="E93" s="21"/>
      <c r="F93" s="21"/>
      <c r="G93" s="21"/>
      <c r="H93" s="21"/>
      <c r="I93" s="21"/>
      <c r="J93" s="21"/>
    </row>
    <row r="94" spans="5:10">
      <c r="E94" s="21"/>
      <c r="F94" s="21"/>
      <c r="G94" s="21"/>
      <c r="H94" s="21"/>
      <c r="I94" s="21"/>
      <c r="J94" s="21"/>
    </row>
    <row r="95" spans="5:10">
      <c r="E95" s="21"/>
      <c r="F95" s="21"/>
      <c r="G95" s="21"/>
      <c r="H95" s="21"/>
      <c r="I95" s="21"/>
      <c r="J95" s="21"/>
    </row>
    <row r="96" spans="5:10">
      <c r="E96" s="21"/>
      <c r="F96" s="21"/>
      <c r="G96" s="21"/>
      <c r="H96" s="21"/>
      <c r="I96" s="21"/>
      <c r="J96" s="21"/>
    </row>
    <row r="97" spans="5:10">
      <c r="E97" s="21"/>
      <c r="F97" s="21"/>
      <c r="G97" s="21"/>
      <c r="H97" s="21"/>
      <c r="I97" s="21"/>
      <c r="J97" s="21"/>
    </row>
    <row r="98" spans="5:10">
      <c r="E98" s="21"/>
      <c r="F98" s="21"/>
      <c r="G98" s="21"/>
      <c r="H98" s="21"/>
      <c r="I98" s="21"/>
      <c r="J98" s="21"/>
    </row>
    <row r="99" spans="5:10">
      <c r="E99" s="21"/>
      <c r="F99" s="21"/>
      <c r="G99" s="21"/>
      <c r="H99" s="21"/>
      <c r="I99" s="21"/>
      <c r="J99" s="21"/>
    </row>
    <row r="100" spans="5:10">
      <c r="E100" s="21"/>
      <c r="F100" s="21"/>
      <c r="G100" s="21"/>
      <c r="H100" s="21"/>
      <c r="I100" s="21"/>
      <c r="J100" s="21"/>
    </row>
    <row r="101" spans="5:10">
      <c r="E101" s="21"/>
      <c r="F101" s="21"/>
      <c r="G101" s="21"/>
      <c r="H101" s="21"/>
      <c r="I101" s="21"/>
      <c r="J101" s="21"/>
    </row>
    <row r="102" spans="5:10">
      <c r="E102" s="21"/>
      <c r="F102" s="21"/>
      <c r="G102" s="21"/>
      <c r="H102" s="21"/>
      <c r="I102" s="21"/>
      <c r="J102" s="21"/>
    </row>
    <row r="103" spans="5:10">
      <c r="E103" s="21"/>
      <c r="F103" s="21"/>
      <c r="G103" s="21"/>
      <c r="H103" s="21"/>
      <c r="I103" s="21"/>
      <c r="J103" s="21"/>
    </row>
    <row r="104" spans="5:10">
      <c r="E104" s="21"/>
      <c r="F104" s="21"/>
      <c r="G104" s="21"/>
      <c r="H104" s="21"/>
      <c r="I104" s="21"/>
      <c r="J104" s="21"/>
    </row>
    <row r="105" spans="5:10">
      <c r="E105" s="21"/>
      <c r="F105" s="21"/>
      <c r="G105" s="21"/>
      <c r="H105" s="21"/>
      <c r="I105" s="21"/>
      <c r="J105" s="21"/>
    </row>
    <row r="106" spans="5:10">
      <c r="E106" s="21"/>
      <c r="F106" s="21"/>
      <c r="G106" s="21"/>
      <c r="H106" s="21"/>
      <c r="I106" s="21"/>
      <c r="J106" s="21"/>
    </row>
    <row r="107" spans="5:10">
      <c r="E107" s="21"/>
      <c r="F107" s="21"/>
      <c r="G107" s="21"/>
      <c r="H107" s="21"/>
      <c r="I107" s="21"/>
      <c r="J107" s="21"/>
    </row>
    <row r="108" spans="5:10">
      <c r="E108" s="21"/>
      <c r="F108" s="21"/>
      <c r="G108" s="21"/>
      <c r="H108" s="21"/>
      <c r="I108" s="21"/>
      <c r="J108" s="21"/>
    </row>
    <row r="109" spans="5:10">
      <c r="E109" s="21"/>
      <c r="F109" s="21"/>
      <c r="G109" s="21"/>
      <c r="H109" s="21"/>
      <c r="I109" s="21"/>
      <c r="J109" s="21"/>
    </row>
    <row r="110" spans="5:10">
      <c r="E110" s="21"/>
      <c r="F110" s="21"/>
      <c r="G110" s="21"/>
      <c r="H110" s="21"/>
      <c r="I110" s="21"/>
      <c r="J110" s="21"/>
    </row>
    <row r="111" spans="5:10">
      <c r="E111" s="21"/>
      <c r="F111" s="21"/>
      <c r="G111" s="21"/>
      <c r="H111" s="21"/>
      <c r="I111" s="21"/>
      <c r="J111" s="21"/>
    </row>
    <row r="112" spans="5:10">
      <c r="E112" s="21"/>
      <c r="F112" s="21"/>
      <c r="G112" s="21"/>
      <c r="H112" s="21"/>
      <c r="I112" s="21"/>
      <c r="J112" s="21"/>
    </row>
    <row r="113" spans="5:10">
      <c r="E113" s="21"/>
      <c r="F113" s="21"/>
      <c r="G113" s="21"/>
      <c r="H113" s="21"/>
      <c r="I113" s="21"/>
      <c r="J113" s="21"/>
    </row>
    <row r="114" spans="5:10">
      <c r="E114" s="21"/>
      <c r="F114" s="21"/>
      <c r="G114" s="21"/>
      <c r="H114" s="21"/>
      <c r="I114" s="21"/>
      <c r="J114" s="21"/>
    </row>
    <row r="115" spans="5:10">
      <c r="E115" s="21"/>
      <c r="F115" s="21"/>
      <c r="G115" s="21"/>
      <c r="H115" s="21"/>
      <c r="I115" s="21"/>
      <c r="J115" s="21"/>
    </row>
    <row r="116" spans="5:10">
      <c r="E116" s="21"/>
      <c r="F116" s="21"/>
      <c r="G116" s="21"/>
      <c r="H116" s="21"/>
      <c r="I116" s="21"/>
      <c r="J116" s="21"/>
    </row>
    <row r="117" spans="5:10">
      <c r="E117" s="21"/>
      <c r="F117" s="21"/>
      <c r="G117" s="21"/>
      <c r="H117" s="21"/>
      <c r="I117" s="21"/>
      <c r="J117" s="21"/>
    </row>
    <row r="118" spans="5:10">
      <c r="E118" s="21"/>
      <c r="F118" s="21"/>
      <c r="G118" s="21"/>
      <c r="H118" s="21"/>
      <c r="I118" s="21"/>
      <c r="J118" s="21"/>
    </row>
    <row r="119" spans="5:10">
      <c r="E119" s="21"/>
      <c r="F119" s="21"/>
      <c r="G119" s="21"/>
      <c r="H119" s="21"/>
      <c r="I119" s="21"/>
      <c r="J119" s="21"/>
    </row>
    <row r="120" spans="5:10">
      <c r="E120" s="21"/>
      <c r="F120" s="21"/>
      <c r="G120" s="21"/>
      <c r="H120" s="21"/>
      <c r="I120" s="21"/>
      <c r="J120" s="21"/>
    </row>
    <row r="121" spans="5:10">
      <c r="E121" s="21"/>
      <c r="F121" s="21"/>
      <c r="G121" s="21"/>
      <c r="H121" s="21"/>
      <c r="I121" s="21"/>
      <c r="J121" s="21"/>
    </row>
    <row r="122" spans="5:10">
      <c r="E122" s="21"/>
      <c r="F122" s="21"/>
      <c r="G122" s="21"/>
      <c r="H122" s="21"/>
      <c r="I122" s="21"/>
      <c r="J122" s="21"/>
    </row>
    <row r="123" spans="5:10">
      <c r="E123" s="21"/>
      <c r="F123" s="21"/>
      <c r="G123" s="21"/>
      <c r="H123" s="21"/>
      <c r="I123" s="21"/>
      <c r="J123" s="21"/>
    </row>
    <row r="124" spans="5:10">
      <c r="E124" s="21"/>
      <c r="F124" s="21"/>
      <c r="G124" s="21"/>
      <c r="H124" s="21"/>
      <c r="I124" s="21"/>
      <c r="J124" s="21"/>
    </row>
    <row r="125" spans="5:10">
      <c r="E125" s="21"/>
      <c r="F125" s="21"/>
      <c r="G125" s="21"/>
      <c r="H125" s="21"/>
      <c r="I125" s="21"/>
      <c r="J125" s="21"/>
    </row>
    <row r="126" spans="5:10">
      <c r="E126" s="21"/>
      <c r="F126" s="21"/>
      <c r="G126" s="21"/>
      <c r="H126" s="21"/>
      <c r="I126" s="21"/>
      <c r="J126" s="21"/>
    </row>
    <row r="127" spans="5:10">
      <c r="E127" s="21"/>
      <c r="F127" s="21"/>
      <c r="G127" s="21"/>
      <c r="H127" s="21"/>
      <c r="I127" s="21"/>
      <c r="J127" s="21"/>
    </row>
    <row r="128" spans="5:10">
      <c r="E128" s="21"/>
      <c r="F128" s="21"/>
      <c r="G128" s="21"/>
      <c r="H128" s="21"/>
      <c r="I128" s="21"/>
      <c r="J128" s="21"/>
    </row>
    <row r="129" spans="5:10">
      <c r="E129" s="21"/>
      <c r="F129" s="21"/>
      <c r="G129" s="21"/>
      <c r="H129" s="21"/>
      <c r="I129" s="21"/>
      <c r="J129" s="21"/>
    </row>
    <row r="130" spans="5:10">
      <c r="E130" s="21"/>
      <c r="F130" s="21"/>
      <c r="G130" s="21"/>
      <c r="H130" s="21"/>
      <c r="I130" s="21"/>
      <c r="J130" s="21"/>
    </row>
    <row r="131" spans="5:10">
      <c r="E131" s="21"/>
      <c r="F131" s="21"/>
      <c r="G131" s="21"/>
      <c r="H131" s="21"/>
      <c r="I131" s="21"/>
      <c r="J131" s="21"/>
    </row>
    <row r="132" spans="5:10">
      <c r="E132" s="21"/>
      <c r="F132" s="21"/>
      <c r="G132" s="21"/>
      <c r="H132" s="21"/>
      <c r="I132" s="21"/>
      <c r="J132" s="21"/>
    </row>
    <row r="133" spans="5:10">
      <c r="E133" s="21"/>
      <c r="F133" s="21"/>
      <c r="G133" s="21"/>
      <c r="H133" s="21"/>
      <c r="I133" s="21"/>
      <c r="J133" s="21"/>
    </row>
    <row r="134" spans="5:10">
      <c r="E134" s="21"/>
      <c r="F134" s="21"/>
      <c r="G134" s="21"/>
      <c r="H134" s="21"/>
      <c r="I134" s="21"/>
      <c r="J134" s="21"/>
    </row>
    <row r="135" spans="5:10">
      <c r="E135" s="21"/>
      <c r="F135" s="21"/>
      <c r="G135" s="21"/>
      <c r="H135" s="21"/>
      <c r="I135" s="21"/>
      <c r="J135" s="21"/>
    </row>
    <row r="136" spans="5:10">
      <c r="E136" s="21"/>
      <c r="F136" s="21"/>
      <c r="G136" s="21"/>
      <c r="H136" s="21"/>
      <c r="I136" s="21"/>
      <c r="J136" s="21"/>
    </row>
    <row r="137" spans="5:10">
      <c r="E137" s="21"/>
      <c r="F137" s="21"/>
      <c r="G137" s="21"/>
      <c r="H137" s="21"/>
      <c r="I137" s="21"/>
      <c r="J137" s="21"/>
    </row>
    <row r="138" spans="5:10">
      <c r="E138" s="21"/>
      <c r="F138" s="21"/>
      <c r="G138" s="21"/>
      <c r="H138" s="21"/>
      <c r="I138" s="21"/>
      <c r="J138" s="21"/>
    </row>
    <row r="139" spans="5:10">
      <c r="E139" s="21"/>
      <c r="F139" s="21"/>
      <c r="G139" s="21"/>
      <c r="H139" s="21"/>
      <c r="I139" s="21"/>
      <c r="J139" s="21"/>
    </row>
    <row r="140" spans="5:10">
      <c r="E140" s="21"/>
      <c r="F140" s="21"/>
      <c r="G140" s="21"/>
      <c r="H140" s="21"/>
      <c r="I140" s="21"/>
      <c r="J140" s="21"/>
    </row>
    <row r="141" spans="5:10">
      <c r="E141" s="21"/>
      <c r="F141" s="21"/>
      <c r="G141" s="21"/>
      <c r="H141" s="21"/>
      <c r="I141" s="21"/>
      <c r="J141" s="21"/>
    </row>
    <row r="142" spans="5:10">
      <c r="E142" s="21"/>
      <c r="F142" s="21"/>
      <c r="G142" s="21"/>
      <c r="H142" s="21"/>
      <c r="I142" s="21"/>
      <c r="J142" s="21"/>
    </row>
    <row r="143" spans="5:10">
      <c r="E143" s="21"/>
      <c r="F143" s="21"/>
      <c r="G143" s="21"/>
      <c r="H143" s="21"/>
      <c r="I143" s="21"/>
      <c r="J143" s="21"/>
    </row>
    <row r="144" spans="5:10">
      <c r="E144" s="21"/>
      <c r="F144" s="21"/>
      <c r="G144" s="21"/>
      <c r="H144" s="21"/>
      <c r="I144" s="21"/>
      <c r="J144" s="21"/>
    </row>
    <row r="145" spans="5:10">
      <c r="E145" s="21"/>
      <c r="F145" s="21"/>
      <c r="G145" s="21"/>
      <c r="H145" s="21"/>
      <c r="I145" s="21"/>
      <c r="J145" s="21"/>
    </row>
  </sheetData>
  <mergeCells count="16">
    <mergeCell ref="H6:H7"/>
    <mergeCell ref="F5:I5"/>
    <mergeCell ref="B12:B21"/>
    <mergeCell ref="C12:C21"/>
    <mergeCell ref="Q6:Q7"/>
    <mergeCell ref="N5:R5"/>
    <mergeCell ref="N6:N7"/>
    <mergeCell ref="O6:O7"/>
    <mergeCell ref="P6:P7"/>
    <mergeCell ref="R6:R7"/>
    <mergeCell ref="J29:N29"/>
    <mergeCell ref="P29:R29"/>
    <mergeCell ref="J30:N30"/>
    <mergeCell ref="P30:R30"/>
    <mergeCell ref="A29:C29"/>
    <mergeCell ref="A30:C30"/>
  </mergeCells>
  <phoneticPr fontId="0" type="noConversion"/>
  <pageMargins left="0.63" right="0" top="0.23" bottom="0" header="0" footer="0"/>
  <pageSetup paperSize="258" scale="85" orientation="landscape" horizontalDpi="300" verticalDpi="300" r:id="rId1"/>
  <headerFooter alignWithMargins="0">
    <oddFooter>&amp;RPagina No.&amp;P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26"/>
  <sheetViews>
    <sheetView topLeftCell="A310" zoomScale="85" workbookViewId="0">
      <selection activeCell="G337" sqref="G337"/>
    </sheetView>
  </sheetViews>
  <sheetFormatPr baseColWidth="10" defaultRowHeight="12.75"/>
  <cols>
    <col min="1" max="1" width="9.42578125" customWidth="1"/>
    <col min="2" max="2" width="18.7109375" customWidth="1"/>
    <col min="3" max="3" width="20" customWidth="1"/>
    <col min="4" max="4" width="57.28515625" customWidth="1"/>
    <col min="5" max="5" width="18.28515625" customWidth="1"/>
    <col min="6" max="6" width="17.42578125" bestFit="1" customWidth="1"/>
    <col min="7" max="7" width="16.42578125" bestFit="1" customWidth="1"/>
    <col min="8" max="8" width="17.42578125" bestFit="1" customWidth="1"/>
    <col min="9" max="9" width="14.7109375" bestFit="1" customWidth="1"/>
  </cols>
  <sheetData>
    <row r="1" spans="1:9" ht="18" customHeight="1">
      <c r="A1" s="380" t="s">
        <v>136</v>
      </c>
      <c r="B1" s="17" t="s">
        <v>459</v>
      </c>
      <c r="C1" s="18" t="str">
        <f>CULTURAL!E6</f>
        <v>COSTO TOTAL</v>
      </c>
      <c r="D1" s="19" t="str">
        <f>CULTURAL!F6</f>
        <v>RP.</v>
      </c>
      <c r="E1" s="19" t="str">
        <f>CULTURAL!G6</f>
        <v>SGP</v>
      </c>
      <c r="F1" s="18" t="str">
        <f>CULTURAL!H6</f>
        <v>OTROS RECUROS DE INV.</v>
      </c>
      <c r="G1" s="19" t="str">
        <f>CULTURAL!I6&amp;CULTURAL!I7</f>
        <v xml:space="preserve">    COFIN.DEP</v>
      </c>
      <c r="H1" s="19" t="str">
        <f>CULTURAL!I6&amp;CULTURAL!J7</f>
        <v xml:space="preserve">    COFIN.NAL</v>
      </c>
      <c r="I1" s="20"/>
    </row>
    <row r="2" spans="1:9" ht="18" customHeight="1">
      <c r="A2" s="380"/>
      <c r="B2" s="155" t="s">
        <v>454</v>
      </c>
      <c r="C2" s="16">
        <f>CULTURAL!E99</f>
        <v>490245</v>
      </c>
      <c r="D2" s="16">
        <f>CULTURAL!F99</f>
        <v>34500</v>
      </c>
      <c r="E2" s="16">
        <f>CULTURAL!G99</f>
        <v>361500</v>
      </c>
      <c r="F2" s="16">
        <f>CULTURAL!H99</f>
        <v>58500</v>
      </c>
      <c r="G2" s="16">
        <f>CULTURAL!I99</f>
        <v>10139</v>
      </c>
      <c r="H2" s="16">
        <f>CULTURAL!J99</f>
        <v>25606</v>
      </c>
      <c r="I2" s="16"/>
    </row>
    <row r="3" spans="1:9" ht="18" customHeight="1">
      <c r="A3" s="380"/>
      <c r="B3" s="156" t="s">
        <v>456</v>
      </c>
      <c r="C3" s="16">
        <f>ECONOMICO!E56</f>
        <v>763500</v>
      </c>
      <c r="D3" s="16">
        <f>ECONOMICO!F56</f>
        <v>46500</v>
      </c>
      <c r="E3" s="16">
        <f>ECONOMICO!G56</f>
        <v>269000</v>
      </c>
      <c r="F3" s="16">
        <f>ECONOMICO!H56</f>
        <v>70000</v>
      </c>
      <c r="G3" s="16">
        <f>ECONOMICO!I56</f>
        <v>91000</v>
      </c>
      <c r="H3" s="16">
        <f>ECONOMICO!J56</f>
        <v>0</v>
      </c>
      <c r="I3" s="16"/>
    </row>
    <row r="4" spans="1:9" ht="18" customHeight="1">
      <c r="A4" s="380"/>
      <c r="B4" s="151" t="s">
        <v>457</v>
      </c>
      <c r="C4" s="16">
        <f>AMBIENTAL!E49</f>
        <v>57000</v>
      </c>
      <c r="D4" s="16">
        <f>AMBIENTAL!F49</f>
        <v>0</v>
      </c>
      <c r="E4" s="16">
        <f>AMBIENTAL!G49</f>
        <v>47000</v>
      </c>
      <c r="F4" s="16">
        <f>AMBIENTAL!H49</f>
        <v>10000</v>
      </c>
      <c r="G4" s="16">
        <f>AMBIENTAL!I49</f>
        <v>0</v>
      </c>
      <c r="H4" s="16">
        <f>AMBIENTAL!J49</f>
        <v>0</v>
      </c>
      <c r="I4" s="16"/>
    </row>
    <row r="5" spans="1:9" ht="18" customHeight="1">
      <c r="A5" s="380"/>
      <c r="B5" s="150" t="s">
        <v>458</v>
      </c>
      <c r="C5" s="16">
        <f>INSTITUCIONAL!E36</f>
        <v>60000</v>
      </c>
      <c r="D5" s="16">
        <f>INSTITUCIONAL!F36</f>
        <v>12500</v>
      </c>
      <c r="E5" s="16">
        <f>INSTITUCIONAL!G36</f>
        <v>47500</v>
      </c>
      <c r="F5" s="16">
        <f>INSTITUCIONAL!H36</f>
        <v>0</v>
      </c>
      <c r="G5" s="16">
        <f>INSTITUCIONAL!I36</f>
        <v>0</v>
      </c>
      <c r="H5" s="16">
        <f>INSTITUCIONAL!J36</f>
        <v>0</v>
      </c>
      <c r="I5" s="16"/>
    </row>
    <row r="6" spans="1:9">
      <c r="A6" s="16"/>
      <c r="B6" s="16"/>
      <c r="C6" s="16">
        <f t="shared" ref="C6:H6" si="0">SUM(C2:C5)</f>
        <v>1370745</v>
      </c>
      <c r="D6" s="16">
        <f t="shared" si="0"/>
        <v>93500</v>
      </c>
      <c r="E6" s="16">
        <f t="shared" si="0"/>
        <v>725000</v>
      </c>
      <c r="F6" s="16">
        <f t="shared" si="0"/>
        <v>138500</v>
      </c>
      <c r="G6" s="16">
        <f t="shared" si="0"/>
        <v>101139</v>
      </c>
      <c r="H6" s="16">
        <f t="shared" si="0"/>
        <v>25606</v>
      </c>
      <c r="I6" s="16"/>
    </row>
    <row r="7" spans="1:9">
      <c r="A7" s="16"/>
      <c r="B7" s="16"/>
      <c r="C7" s="16"/>
      <c r="D7" s="16"/>
      <c r="E7" s="16"/>
      <c r="F7" s="16"/>
      <c r="G7" s="16"/>
      <c r="H7" s="16"/>
      <c r="I7" s="16"/>
    </row>
    <row r="8" spans="1:9">
      <c r="A8" s="16"/>
      <c r="B8" s="17" t="s">
        <v>459</v>
      </c>
      <c r="C8" s="18" t="str">
        <f>SALUD!E6</f>
        <v>COSTO TOTAL</v>
      </c>
      <c r="D8" s="19" t="str">
        <f>SALUD!F6</f>
        <v>RP.</v>
      </c>
      <c r="E8" s="19" t="str">
        <f>SALUD!G6</f>
        <v>SGP</v>
      </c>
      <c r="F8" s="18" t="str">
        <f>SALUD!H6</f>
        <v>FOSYGA</v>
      </c>
      <c r="G8" s="19" t="str">
        <f>SALUD!I6</f>
        <v>DEPARTAM</v>
      </c>
      <c r="H8" s="16"/>
      <c r="I8" s="16"/>
    </row>
    <row r="9" spans="1:9">
      <c r="A9" s="16"/>
      <c r="B9" s="153" t="s">
        <v>455</v>
      </c>
      <c r="C9" s="16">
        <f>SALUD!E25</f>
        <v>1345649</v>
      </c>
      <c r="D9" s="16">
        <f>SALUD!F25</f>
        <v>39749</v>
      </c>
      <c r="E9" s="16">
        <f>SALUD!G25</f>
        <v>778626</v>
      </c>
      <c r="F9" s="16">
        <f>SALUD!H25</f>
        <v>480739</v>
      </c>
      <c r="G9" s="16">
        <f>SALUD!I25</f>
        <v>46535</v>
      </c>
      <c r="H9" s="16"/>
      <c r="I9" s="16"/>
    </row>
    <row r="10" spans="1:9">
      <c r="A10" s="16"/>
      <c r="B10" s="16"/>
      <c r="C10" s="16">
        <f>SUM(C9)</f>
        <v>1345649</v>
      </c>
      <c r="D10" s="16">
        <f>SUM(D9)</f>
        <v>39749</v>
      </c>
      <c r="E10" s="16">
        <f>SUM(E9)</f>
        <v>778626</v>
      </c>
      <c r="F10" s="16">
        <f>SUM(F9)</f>
        <v>480739</v>
      </c>
      <c r="G10" s="16">
        <f>SUM(G9)</f>
        <v>46535</v>
      </c>
      <c r="H10" s="16"/>
      <c r="I10" s="16"/>
    </row>
    <row r="13" spans="1:9">
      <c r="B13" s="154" t="str">
        <f>B2</f>
        <v>EJE CULTURA</v>
      </c>
      <c r="C13" s="29" t="s">
        <v>152</v>
      </c>
      <c r="D13" s="29" t="s">
        <v>1229</v>
      </c>
      <c r="E13" s="29" t="s">
        <v>1228</v>
      </c>
    </row>
    <row r="14" spans="1:9">
      <c r="B14" s="74" t="s">
        <v>100</v>
      </c>
      <c r="C14" s="280" t="str">
        <f>gastos!A96</f>
        <v>2.3.1.1.1</v>
      </c>
      <c r="D14" s="280" t="str">
        <f>gastos!B96</f>
        <v>Gratuidad en la educación</v>
      </c>
      <c r="E14" s="289">
        <f>gastos!F96</f>
        <v>0</v>
      </c>
      <c r="F14" s="239"/>
      <c r="G14" s="239"/>
    </row>
    <row r="15" spans="1:9">
      <c r="B15" s="74"/>
      <c r="C15" s="241" t="str">
        <f>gastos!A97</f>
        <v>2.3.1.1.2</v>
      </c>
      <c r="D15" s="241" t="str">
        <f>gastos!B97</f>
        <v>Bachillerato en Bienestar Rural</v>
      </c>
      <c r="E15" s="290">
        <f>gastos!F97</f>
        <v>0</v>
      </c>
      <c r="F15" s="239"/>
      <c r="G15" s="239"/>
    </row>
    <row r="16" spans="1:9">
      <c r="B16" s="74"/>
      <c r="C16" s="74" t="str">
        <f>gastos!A98</f>
        <v>2.3.1.1.3</v>
      </c>
      <c r="D16" s="74" t="str">
        <f>gastos!B98</f>
        <v>Canasta Educativa</v>
      </c>
      <c r="E16" s="286">
        <f>gastos!F98</f>
        <v>11843605.9</v>
      </c>
      <c r="F16" s="239"/>
      <c r="G16" s="239"/>
    </row>
    <row r="17" spans="2:7">
      <c r="B17" s="74"/>
      <c r="C17" s="74" t="str">
        <f>gastos!A99</f>
        <v>2.3.1.1.4</v>
      </c>
      <c r="D17" s="74" t="str">
        <f>gastos!B99</f>
        <v>Educacion para la poblacion especial</v>
      </c>
      <c r="E17" s="286">
        <f>gastos!F99</f>
        <v>1000000</v>
      </c>
      <c r="F17" s="239"/>
      <c r="G17" s="239"/>
    </row>
    <row r="18" spans="2:7">
      <c r="B18" s="74"/>
      <c r="C18" s="280" t="str">
        <f>gastos!A100</f>
        <v>2.3.1.1.5</v>
      </c>
      <c r="D18" s="280" t="str">
        <f>gastos!B100</f>
        <v>Transporte escolar</v>
      </c>
      <c r="E18" s="289">
        <f>gastos!F100</f>
        <v>2000000</v>
      </c>
      <c r="F18" s="239"/>
      <c r="G18" s="239"/>
    </row>
    <row r="19" spans="2:7" ht="13.5" customHeight="1">
      <c r="B19" s="74"/>
      <c r="C19" s="280" t="str">
        <f>gastos!A101</f>
        <v>2.3.1.1.6</v>
      </c>
      <c r="D19" s="280" t="str">
        <f>gastos!B101</f>
        <v>Seguros estudiantes</v>
      </c>
      <c r="E19" s="289">
        <f>gastos!F101</f>
        <v>6500000</v>
      </c>
      <c r="F19" s="239"/>
      <c r="G19" s="239"/>
    </row>
    <row r="20" spans="2:7">
      <c r="B20" s="74"/>
      <c r="C20" s="280" t="str">
        <f>gastos!A103</f>
        <v>2.3.1.2.1</v>
      </c>
      <c r="D20" s="280" t="str">
        <f>gastos!B103</f>
        <v>Nutrición escolar</v>
      </c>
      <c r="E20" s="289">
        <f>gastos!F103</f>
        <v>2000000</v>
      </c>
      <c r="F20" s="239"/>
      <c r="G20" s="239"/>
    </row>
    <row r="21" spans="2:7">
      <c r="B21" s="75" t="s">
        <v>101</v>
      </c>
      <c r="C21" s="75" t="str">
        <f>gastos!A130</f>
        <v>2.3.2.1.1.02</v>
      </c>
      <c r="D21" s="75" t="str">
        <f>gastos!B130</f>
        <v>Construcción Ampliación Y Adecuación De Infraestructura Educativa</v>
      </c>
      <c r="E21" s="291">
        <f>gastos!C130</f>
        <v>22500000</v>
      </c>
      <c r="F21" s="28"/>
    </row>
    <row r="22" spans="2:7">
      <c r="B22" s="75"/>
      <c r="C22" s="75" t="str">
        <f>gastos!A131</f>
        <v>2.3.2.1.1.03</v>
      </c>
      <c r="D22" s="75" t="str">
        <f>gastos!B131</f>
        <v>Mantenimiento De Infraestructura Educativa</v>
      </c>
      <c r="E22" s="291">
        <f>gastos!C131</f>
        <v>39156884</v>
      </c>
      <c r="F22" s="28"/>
    </row>
    <row r="23" spans="2:7">
      <c r="B23" s="75"/>
      <c r="C23" s="75" t="str">
        <f>gastos!A132</f>
        <v>2.3.2.1.1.05</v>
      </c>
      <c r="D23" s="75" t="str">
        <f>gastos!B132</f>
        <v>Dotación Institucional De Material Y Medios Pedagógicos Para El Aprendizaje</v>
      </c>
      <c r="E23" s="291">
        <f>gastos!C132</f>
        <v>14000000</v>
      </c>
      <c r="F23" s="28"/>
    </row>
    <row r="24" spans="2:7">
      <c r="B24" s="75"/>
      <c r="C24" s="281" t="str">
        <f>gastos!A136</f>
        <v>2.3.2.1.1.07</v>
      </c>
      <c r="D24" s="281" t="str">
        <f>gastos!B136</f>
        <v>Transporte Escolar</v>
      </c>
      <c r="E24" s="292">
        <f>gastos!C136</f>
        <v>4191040</v>
      </c>
      <c r="F24" s="28"/>
    </row>
    <row r="25" spans="2:7">
      <c r="B25" s="75"/>
      <c r="C25" s="281" t="str">
        <f>gastos!A137</f>
        <v>2.3.2.1.1.08</v>
      </c>
      <c r="D25" s="281" t="str">
        <f>gastos!B137</f>
        <v>Alimentación Escolar</v>
      </c>
      <c r="E25" s="292">
        <f>gastos!C137</f>
        <v>15808960</v>
      </c>
      <c r="F25" s="28"/>
    </row>
    <row r="26" spans="2:7">
      <c r="B26" s="75"/>
      <c r="C26" s="281" t="str">
        <f>gastos!A138</f>
        <v>2.3.2.1.1.09</v>
      </c>
      <c r="D26" s="281" t="str">
        <f>gastos!B138</f>
        <v>Funcionamiento Básico De Los Establecimientos Educativos Estatales</v>
      </c>
      <c r="E26" s="292">
        <f>gastos!C138</f>
        <v>1000000</v>
      </c>
      <c r="F26" s="28"/>
    </row>
    <row r="27" spans="2:7">
      <c r="B27" s="75"/>
      <c r="C27" s="281" t="str">
        <f>gastos!A140</f>
        <v>2.3.2.1.2.07</v>
      </c>
      <c r="D27" s="281" t="str">
        <f>gastos!B140</f>
        <v>Funcionamiento Básico De Los Establecimientos Educativos Estatales, Excepto Servicios Públicos</v>
      </c>
      <c r="E27" s="292">
        <f>gastos!C140</f>
        <v>50642000</v>
      </c>
      <c r="F27" s="28"/>
    </row>
    <row r="28" spans="2:7">
      <c r="B28" s="75"/>
      <c r="C28" s="281" t="str">
        <f>gastos!A142</f>
        <v>2.3.2.1.7.1</v>
      </c>
      <c r="D28" s="281" t="str">
        <f>gastos!B142</f>
        <v>Bachillerato En Bienestar Rural</v>
      </c>
      <c r="E28" s="292">
        <f>gastos!C142</f>
        <v>8000000</v>
      </c>
      <c r="F28" s="28"/>
    </row>
    <row r="29" spans="2:7">
      <c r="B29" s="75"/>
      <c r="C29" s="241" t="str">
        <f>gastos!A143</f>
        <v>2.3.2.1.7.2</v>
      </c>
      <c r="D29" s="241" t="str">
        <f>gastos!B143</f>
        <v>Cofinanciación De Programas, Proyectos Y Convenios</v>
      </c>
      <c r="E29" s="290">
        <f>gastos!C143</f>
        <v>2000000</v>
      </c>
      <c r="F29" s="28"/>
    </row>
    <row r="30" spans="2:7">
      <c r="B30" s="75"/>
      <c r="C30" s="281" t="str">
        <f>gastos!A145</f>
        <v>2.3.2.2.1</v>
      </c>
      <c r="D30" s="281" t="str">
        <f>gastos!B145</f>
        <v>Prestación Directa Del Servicio</v>
      </c>
      <c r="E30" s="292">
        <f>gastos!C145</f>
        <v>4988620</v>
      </c>
      <c r="F30" s="28"/>
    </row>
    <row r="31" spans="2:7">
      <c r="B31" s="75"/>
      <c r="C31" s="281" t="str">
        <f>gastos!A146</f>
        <v>2.3.2.2.2</v>
      </c>
      <c r="D31" s="281" t="str">
        <f>gastos!B146</f>
        <v>Contratación Con Terceros Para La Provisión Integral Del Servicio De Alimentación Escolar</v>
      </c>
      <c r="E31" s="292">
        <f>gastos!C146</f>
        <v>14273792.4</v>
      </c>
      <c r="F31" s="28"/>
    </row>
    <row r="32" spans="2:7">
      <c r="B32" s="256" t="s">
        <v>1232</v>
      </c>
      <c r="C32" s="256" t="str">
        <f>gastos!A415</f>
        <v>2.3.5.3.1.2.1.1</v>
      </c>
      <c r="D32" s="256" t="str">
        <f>gastos!B415</f>
        <v>Recursos de forzosa inversión - Educación</v>
      </c>
      <c r="E32" s="293">
        <f>gastos!C415</f>
        <v>23432733.059999999</v>
      </c>
      <c r="F32" s="279" t="s">
        <v>1256</v>
      </c>
    </row>
    <row r="33" spans="2:6">
      <c r="B33" s="76"/>
      <c r="C33" s="76" t="str">
        <f>gastos!A416</f>
        <v>2.3.5.3.1.2.1.2</v>
      </c>
      <c r="D33" s="76" t="str">
        <f>gastos!B416</f>
        <v>Recursos de forzosa inversión - Alimentación Escolar</v>
      </c>
      <c r="E33" s="294">
        <f>gastos!C416</f>
        <v>1511380.54</v>
      </c>
    </row>
    <row r="34" spans="2:6">
      <c r="B34" s="257" t="s">
        <v>102</v>
      </c>
      <c r="C34" s="241" t="str">
        <f>gastos!A452</f>
        <v>2.3.5.3.2.2.1.1</v>
      </c>
      <c r="D34" s="241" t="str">
        <f>gastos!B452</f>
        <v>Recursos de forzosa inversión - Educación</v>
      </c>
      <c r="E34" s="290">
        <f>gastos!C452</f>
        <v>0</v>
      </c>
      <c r="F34" s="28"/>
    </row>
    <row r="35" spans="2:6">
      <c r="B35" s="77"/>
      <c r="C35" s="77" t="str">
        <f>gastos!A453</f>
        <v>2.3.5.3.2.2.1.2</v>
      </c>
      <c r="D35" s="77" t="str">
        <f>gastos!B453</f>
        <v>Recursos de forzosa inversión - Alimentación Escolar</v>
      </c>
      <c r="E35" s="295">
        <f>gastos!C453</f>
        <v>0</v>
      </c>
      <c r="F35" s="28"/>
    </row>
    <row r="36" spans="2:6">
      <c r="B36" s="251" t="s">
        <v>1230</v>
      </c>
      <c r="C36" s="248" t="str">
        <f>gastos!A467</f>
        <v>2.3.5.3.3.2.1.1</v>
      </c>
      <c r="D36" s="248" t="str">
        <f>gastos!B467</f>
        <v>Recursos de forzosa inversión - Educación</v>
      </c>
      <c r="E36" s="296">
        <f>gastos!C467</f>
        <v>108720</v>
      </c>
      <c r="F36" s="28"/>
    </row>
    <row r="37" spans="2:6">
      <c r="B37" s="251"/>
      <c r="C37" s="251" t="str">
        <f>gastos!A468</f>
        <v>2.3.5.3.3.2.1.2</v>
      </c>
      <c r="D37" s="251" t="str">
        <f>gastos!B468</f>
        <v>Recursos de forzosa inversión - Alimentación Escolar</v>
      </c>
      <c r="E37" s="297">
        <f>gastos!C468</f>
        <v>2869</v>
      </c>
      <c r="F37" s="28"/>
    </row>
    <row r="38" spans="2:6">
      <c r="C38" s="381" t="s">
        <v>137</v>
      </c>
      <c r="D38" s="381"/>
      <c r="E38" s="30">
        <f>SUM(E14:E37)</f>
        <v>224960604.90000001</v>
      </c>
      <c r="F38" s="188"/>
    </row>
    <row r="39" spans="2:6">
      <c r="C39" s="25"/>
      <c r="D39" s="25"/>
      <c r="E39" s="26"/>
      <c r="F39" s="28"/>
    </row>
    <row r="40" spans="2:6">
      <c r="C40" s="29" t="s">
        <v>171</v>
      </c>
      <c r="E40" s="16"/>
      <c r="F40" s="28"/>
    </row>
    <row r="41" spans="2:6">
      <c r="B41" s="74" t="s">
        <v>100</v>
      </c>
      <c r="C41" s="74" t="str">
        <f>gastos!A110</f>
        <v>2.3.1.4.3.1</v>
      </c>
      <c r="D41" s="74" t="str">
        <f>gastos!B110</f>
        <v>Promoción y desarrollo</v>
      </c>
      <c r="E41" s="286">
        <f>gastos!C110</f>
        <v>6000000</v>
      </c>
      <c r="F41" s="28"/>
    </row>
    <row r="42" spans="2:6">
      <c r="B42" s="255" t="s">
        <v>101</v>
      </c>
      <c r="C42" s="241" t="str">
        <f>gastos!A155</f>
        <v>2.3.2.3.2.1</v>
      </c>
      <c r="D42" s="241" t="str">
        <f>gastos!B155</f>
        <v>Fomento, Apoyo Y Difusion De Eventos Y Expresiones Artisticas Y Culturales</v>
      </c>
      <c r="E42" s="290">
        <f>gastos!C155</f>
        <v>21799827</v>
      </c>
      <c r="F42" s="28"/>
    </row>
    <row r="43" spans="2:6">
      <c r="B43" s="75"/>
      <c r="C43" s="241" t="str">
        <f>gastos!A156</f>
        <v>2.3.2.3.2.2</v>
      </c>
      <c r="D43" s="241" t="str">
        <f>gastos!B156</f>
        <v>Formacion, Capacitacion E Investigacion Artistica Y Cultural</v>
      </c>
      <c r="E43" s="290">
        <f>gastos!C156</f>
        <v>0</v>
      </c>
      <c r="F43" s="187"/>
    </row>
    <row r="44" spans="2:6">
      <c r="B44" s="75"/>
      <c r="C44" s="241" t="str">
        <f>gastos!A157</f>
        <v>2.3.2.3.2.3</v>
      </c>
      <c r="D44" s="241" t="str">
        <f>gastos!B157</f>
        <v>Proteccion Del Patrimonio Cultural</v>
      </c>
      <c r="E44" s="290">
        <f>gastos!C157</f>
        <v>0</v>
      </c>
      <c r="F44" s="187"/>
    </row>
    <row r="45" spans="2:6">
      <c r="B45" s="75"/>
      <c r="C45" s="241" t="str">
        <f>gastos!A158</f>
        <v>2.3.2.3.2.4</v>
      </c>
      <c r="D45" s="241" t="str">
        <f>gastos!B158</f>
        <v>Preinversion En Infraestructura</v>
      </c>
      <c r="E45" s="290">
        <f>gastos!C158</f>
        <v>0</v>
      </c>
      <c r="F45" s="28"/>
    </row>
    <row r="46" spans="2:6">
      <c r="B46" s="75"/>
      <c r="C46" s="241" t="str">
        <f>gastos!A159</f>
        <v>2.3.2.3.2.5</v>
      </c>
      <c r="D46" s="241" t="str">
        <f>gastos!B159</f>
        <v>Construccion, Mantenimiento Y Adecuacion De La Infraestructura Artistica Y Cultural</v>
      </c>
      <c r="E46" s="290">
        <f>gastos!C159</f>
        <v>0</v>
      </c>
      <c r="F46" s="28"/>
    </row>
    <row r="47" spans="2:6">
      <c r="B47" s="75"/>
      <c r="C47" s="241" t="str">
        <f>gastos!A160</f>
        <v>2.3.2.3.2.6</v>
      </c>
      <c r="D47" s="241" t="str">
        <f>gastos!B160</f>
        <v>Mantenimiento Y Dotacion De Bibliotecas Publicas</v>
      </c>
      <c r="E47" s="290">
        <f>gastos!C160</f>
        <v>0</v>
      </c>
      <c r="F47" s="28"/>
    </row>
    <row r="48" spans="2:6">
      <c r="B48" s="75"/>
      <c r="C48" s="241" t="str">
        <f>gastos!A161</f>
        <v>2.3.2.3.2.7</v>
      </c>
      <c r="D48" s="241" t="str">
        <f>gastos!B161</f>
        <v>Dotacion De La Infraestructura Artistica Y Cultural</v>
      </c>
      <c r="E48" s="290">
        <f>gastos!C161</f>
        <v>10000000</v>
      </c>
      <c r="F48" s="187"/>
    </row>
    <row r="49" spans="2:6">
      <c r="B49" s="75"/>
      <c r="C49" s="75" t="str">
        <f>gastos!A162</f>
        <v>2.3.2.3.2.8</v>
      </c>
      <c r="D49" s="75" t="str">
        <f>gastos!B162</f>
        <v>Pago De Instructores Contratados Para Las Bandas Musicales</v>
      </c>
      <c r="E49" s="291">
        <f>gastos!C162</f>
        <v>11197476</v>
      </c>
      <c r="F49" s="187"/>
    </row>
    <row r="50" spans="2:6">
      <c r="B50" s="255" t="s">
        <v>1231</v>
      </c>
      <c r="C50" s="241" t="str">
        <f>gastos!A288</f>
        <v>2.3.2.3.3.12.1</v>
      </c>
      <c r="D50" s="241" t="str">
        <f>gastos!B288</f>
        <v>Fomento, Apoyo Y Difusion De Eventos Y Expresiones Artisticas Y Culturales</v>
      </c>
      <c r="E50" s="290">
        <f>gastos!C288</f>
        <v>0</v>
      </c>
      <c r="F50" s="187"/>
    </row>
    <row r="51" spans="2:6">
      <c r="B51" s="79" t="s">
        <v>429</v>
      </c>
      <c r="C51" s="79" t="str">
        <f>gastos!A380</f>
        <v>2.3.4.1.1</v>
      </c>
      <c r="D51" s="79" t="str">
        <f>gastos!B380</f>
        <v>Promoción y desarrollo</v>
      </c>
      <c r="E51" s="298">
        <f>gastos!C380</f>
        <v>7630377.5999999996</v>
      </c>
      <c r="F51" s="28"/>
    </row>
    <row r="52" spans="2:6">
      <c r="B52" s="79"/>
      <c r="C52" s="79" t="str">
        <f>gastos!A381</f>
        <v>2.3.4.1.2</v>
      </c>
      <c r="D52" s="79" t="str">
        <f>gastos!B381</f>
        <v>Construcción adecuación mejoramiento y mant. infraestructura</v>
      </c>
      <c r="E52" s="298">
        <f>gastos!C381</f>
        <v>1907594.4</v>
      </c>
      <c r="F52" s="28"/>
    </row>
    <row r="53" spans="2:6">
      <c r="B53" s="79"/>
      <c r="C53" s="79" t="str">
        <f>gastos!A382</f>
        <v>2.3.4.1.3</v>
      </c>
      <c r="D53" s="79" t="str">
        <f>gastos!B382</f>
        <v>Formación y capacitación técnica y cultural del gestor cultural</v>
      </c>
      <c r="E53" s="298">
        <f>gastos!C382</f>
        <v>1907594.4</v>
      </c>
      <c r="F53" s="28"/>
    </row>
    <row r="54" spans="2:6">
      <c r="B54" s="79"/>
      <c r="C54" s="79" t="str">
        <f>gastos!A385</f>
        <v>2.3.4.1.6</v>
      </c>
      <c r="D54" s="79" t="str">
        <f>gastos!B385</f>
        <v>Apoyo a programas de expresión cultural, artística Art.17 Ley 397/97</v>
      </c>
      <c r="E54" s="298">
        <f>gastos!C385</f>
        <v>1907594.4</v>
      </c>
      <c r="F54" s="28"/>
    </row>
    <row r="55" spans="2:6">
      <c r="B55" s="256" t="s">
        <v>1232</v>
      </c>
      <c r="C55" s="256" t="str">
        <f>gastos!A420</f>
        <v>2.3.5.3.1.2.1.4.2</v>
      </c>
      <c r="D55" s="256" t="str">
        <f>gastos!B420</f>
        <v>Cultura</v>
      </c>
      <c r="E55" s="293">
        <f>gastos!C420</f>
        <v>13163636.6</v>
      </c>
      <c r="F55" s="28"/>
    </row>
    <row r="56" spans="2:6">
      <c r="B56" s="76"/>
      <c r="C56" s="76" t="str">
        <f>gastos!A436</f>
        <v>2.3.5.3.1.2.2.3.1.1</v>
      </c>
      <c r="D56" s="76" t="str">
        <f>gastos!B436</f>
        <v>Promoción y desarrollo</v>
      </c>
      <c r="E56" s="294">
        <f>gastos!C436</f>
        <v>6897143</v>
      </c>
      <c r="F56" s="28"/>
    </row>
    <row r="57" spans="2:6">
      <c r="B57" s="76"/>
      <c r="C57" s="76" t="str">
        <f>gastos!A437</f>
        <v>2.3.5.3.1.2.2.3.1.2</v>
      </c>
      <c r="D57" s="76" t="str">
        <f>gastos!B437</f>
        <v>Construcción adecuación mejoramiento y mant. infraestructura</v>
      </c>
      <c r="E57" s="294">
        <f>gastos!C437</f>
        <v>2127770.5299999998</v>
      </c>
      <c r="F57" s="28"/>
    </row>
    <row r="58" spans="2:6">
      <c r="B58" s="76"/>
      <c r="C58" s="76" t="str">
        <f>gastos!A438</f>
        <v>2.3.5.3.1.2.2.3.1.3</v>
      </c>
      <c r="D58" s="76" t="str">
        <f>gastos!B438</f>
        <v>Formación y capacitación técnica y cultural del gestor cultural</v>
      </c>
      <c r="E58" s="294">
        <f>gastos!C438</f>
        <v>2127770.5</v>
      </c>
      <c r="F58" s="28"/>
    </row>
    <row r="59" spans="2:6">
      <c r="B59" s="76"/>
      <c r="C59" s="76" t="str">
        <f>gastos!A441</f>
        <v>2.3.5.3.1.2.2.3.1.6</v>
      </c>
      <c r="D59" s="76" t="str">
        <f>gastos!B441</f>
        <v>Apoyo a programas de expresión cultural, artística Art.17 Ley 397/97</v>
      </c>
      <c r="E59" s="294">
        <f>gastos!C441</f>
        <v>2127770.5</v>
      </c>
      <c r="F59" s="28"/>
    </row>
    <row r="60" spans="2:6">
      <c r="B60" s="257" t="s">
        <v>102</v>
      </c>
      <c r="C60" s="241" t="str">
        <f>gastos!A457</f>
        <v>2.3.5.3.2.2.1.4.2</v>
      </c>
      <c r="D60" s="241" t="str">
        <f>gastos!B457</f>
        <v>Cultura</v>
      </c>
      <c r="E60" s="290">
        <f>gastos!C457</f>
        <v>0</v>
      </c>
      <c r="F60" s="28"/>
    </row>
    <row r="61" spans="2:6">
      <c r="B61" s="251" t="s">
        <v>1230</v>
      </c>
      <c r="C61" s="248" t="str">
        <f>gastos!A472</f>
        <v>2.3.5.3.3.2.1.4.2</v>
      </c>
      <c r="D61" s="248" t="str">
        <f>gastos!B472</f>
        <v>Cultura</v>
      </c>
      <c r="E61" s="296">
        <f>gastos!C472</f>
        <v>31332</v>
      </c>
      <c r="F61" s="28"/>
    </row>
    <row r="62" spans="2:6">
      <c r="C62" s="381" t="s">
        <v>137</v>
      </c>
      <c r="D62" s="381"/>
      <c r="E62" s="161">
        <f>SUM(E41:E61)</f>
        <v>88825886.929999992</v>
      </c>
      <c r="F62" s="28"/>
    </row>
    <row r="63" spans="2:6">
      <c r="F63" s="28"/>
    </row>
    <row r="64" spans="2:6">
      <c r="C64" s="29" t="s">
        <v>28</v>
      </c>
      <c r="F64" s="28"/>
    </row>
    <row r="65" spans="2:6">
      <c r="B65" s="74" t="s">
        <v>100</v>
      </c>
      <c r="C65" s="74" t="str">
        <f>gastos!A108</f>
        <v>2.3.1.4.2.1</v>
      </c>
      <c r="D65" s="74" t="str">
        <f>gastos!B108</f>
        <v>Promoción y desarrollo</v>
      </c>
      <c r="E65" s="74">
        <f>gastos!C108</f>
        <v>4000000</v>
      </c>
      <c r="F65" s="28"/>
    </row>
    <row r="66" spans="2:6">
      <c r="B66" s="75" t="s">
        <v>101</v>
      </c>
      <c r="C66" s="241" t="str">
        <f>gastos!A149</f>
        <v>2.3.2.3.1.1</v>
      </c>
      <c r="D66" s="241" t="str">
        <f>gastos!B149</f>
        <v>Fomento, Desarrollo Y Practica Del Deporte, La Recreacion Y El Aprovechamiento Del Tiempo Libre</v>
      </c>
      <c r="E66" s="241">
        <f>gastos!C149</f>
        <v>9000000</v>
      </c>
      <c r="F66" s="28"/>
    </row>
    <row r="67" spans="2:6">
      <c r="B67" s="75"/>
      <c r="C67" s="241" t="str">
        <f>gastos!A150</f>
        <v>2.3.2.3.1.2</v>
      </c>
      <c r="D67" s="241" t="str">
        <f>gastos!B150</f>
        <v>Construccion, Mantenimiento Y/O Adecuacion De Los Escenarios Deportivos Y Recreativos</v>
      </c>
      <c r="E67" s="241">
        <f>gastos!C150</f>
        <v>33399771</v>
      </c>
      <c r="F67" s="28"/>
    </row>
    <row r="68" spans="2:6">
      <c r="B68" s="75"/>
      <c r="C68" s="241" t="str">
        <f>gastos!A151</f>
        <v>2.3.2.3.1.3</v>
      </c>
      <c r="D68" s="241" t="str">
        <f>gastos!B151</f>
        <v>Dotacion De Escenarios Deportivos E Implementos Para La Practica Del Deporte</v>
      </c>
      <c r="E68" s="241">
        <f>gastos!C151</f>
        <v>0</v>
      </c>
      <c r="F68" s="28"/>
    </row>
    <row r="69" spans="2:6">
      <c r="B69" s="75"/>
      <c r="C69" s="241" t="str">
        <f>gastos!A152</f>
        <v>2.3.2.3.1.4</v>
      </c>
      <c r="D69" s="241" t="str">
        <f>gastos!B152</f>
        <v>Preinversion En Infraestructura</v>
      </c>
      <c r="E69" s="241">
        <f>gastos!C152</f>
        <v>0</v>
      </c>
      <c r="F69" s="28"/>
    </row>
    <row r="70" spans="2:6">
      <c r="B70" s="75"/>
      <c r="C70" s="75" t="str">
        <f>gastos!A153</f>
        <v>2.3.2.3.1.5</v>
      </c>
      <c r="D70" s="75" t="str">
        <f>gastos!B153</f>
        <v>Pago De Instructores Contratados Para La Practica Del Deporte Y La Recreacion</v>
      </c>
      <c r="E70" s="75">
        <f>gastos!C153</f>
        <v>14929969</v>
      </c>
      <c r="F70" s="28"/>
    </row>
    <row r="71" spans="2:6">
      <c r="B71" s="255" t="s">
        <v>1234</v>
      </c>
      <c r="C71" s="241" t="str">
        <f>gastos!A290</f>
        <v>2.3.2.3.3.13.1</v>
      </c>
      <c r="D71" s="241" t="str">
        <f>gastos!B290</f>
        <v>Fomento, Desarrollo Y Practica Del Deporte, La Recreacion Y El Aprovechamiento Del Tiempo Libre</v>
      </c>
      <c r="E71" s="241">
        <f>gastos!C290</f>
        <v>0</v>
      </c>
      <c r="F71" s="28"/>
    </row>
    <row r="72" spans="2:6">
      <c r="B72" s="79" t="s">
        <v>429</v>
      </c>
      <c r="C72" s="79" t="str">
        <f>gastos!A390</f>
        <v>2.3.4.3.1</v>
      </c>
      <c r="D72" s="79" t="str">
        <f>gastos!B390</f>
        <v>Promoción y Desarrollo del Deporte</v>
      </c>
      <c r="E72" s="79">
        <f>gastos!C390</f>
        <v>15149952</v>
      </c>
      <c r="F72" s="28"/>
    </row>
    <row r="73" spans="2:6">
      <c r="B73" s="79"/>
      <c r="C73" s="79" t="str">
        <f>gastos!A391</f>
        <v>2.3.4.3.2</v>
      </c>
      <c r="D73" s="79" t="str">
        <f>gastos!B391</f>
        <v>Adecuación, mantenimiento de escenarios deportivos</v>
      </c>
      <c r="E73" s="79">
        <f>gastos!C391</f>
        <v>6882048</v>
      </c>
      <c r="F73" s="28"/>
    </row>
    <row r="74" spans="2:6">
      <c r="B74" s="256" t="s">
        <v>1232</v>
      </c>
      <c r="C74" s="256" t="str">
        <f>gastos!A419</f>
        <v>2.3.5.3.1.2.1.4.1</v>
      </c>
      <c r="D74" s="256" t="str">
        <f>gastos!B419</f>
        <v>Deporte y recreación</v>
      </c>
      <c r="E74" s="256">
        <f>gastos!C419</f>
        <v>9936700.6099999994</v>
      </c>
      <c r="F74" s="28"/>
    </row>
    <row r="75" spans="2:6">
      <c r="B75" s="256"/>
      <c r="C75" s="256" t="str">
        <f>gastos!A442</f>
        <v>2.3.5.3.1.2.2.3.3</v>
      </c>
      <c r="D75" s="256" t="str">
        <f>gastos!B442</f>
        <v>Transferencia Del 30% Impuesto Al Cigarrillo Y Tabaco</v>
      </c>
      <c r="E75" s="256">
        <f>gastos!C442</f>
        <v>5971206.4100000001</v>
      </c>
      <c r="F75" s="28"/>
    </row>
    <row r="76" spans="2:6">
      <c r="B76" s="256"/>
      <c r="C76" s="256" t="str">
        <f>gastos!A444</f>
        <v>2.3.5.3.1.2.2.3.5</v>
      </c>
      <c r="D76" s="256" t="str">
        <f>gastos!B444</f>
        <v>Recursos -  sobretasa deportiva</v>
      </c>
      <c r="E76" s="256">
        <f>gastos!C444</f>
        <v>1665518.47</v>
      </c>
      <c r="F76" s="28"/>
    </row>
    <row r="77" spans="2:6">
      <c r="B77" s="257" t="s">
        <v>102</v>
      </c>
      <c r="C77" s="241" t="str">
        <f>gastos!A456</f>
        <v>2.3.5.3.2.2.1.4.1</v>
      </c>
      <c r="D77" s="241" t="str">
        <f>gastos!B456</f>
        <v>Deporte y recreación</v>
      </c>
      <c r="E77" s="241">
        <f>gastos!C456</f>
        <v>0</v>
      </c>
      <c r="F77" s="28"/>
    </row>
    <row r="78" spans="2:6">
      <c r="B78" s="251" t="s">
        <v>1233</v>
      </c>
      <c r="C78" s="248" t="str">
        <f>gastos!A471</f>
        <v>2.3.5.3.3.2.1.4.1</v>
      </c>
      <c r="D78" s="248" t="str">
        <f>gastos!B471</f>
        <v>Deporte y recreación</v>
      </c>
      <c r="E78" s="248">
        <f>gastos!C471</f>
        <v>25515</v>
      </c>
      <c r="F78" s="28"/>
    </row>
    <row r="79" spans="2:6">
      <c r="C79" s="381" t="s">
        <v>137</v>
      </c>
      <c r="D79" s="381"/>
      <c r="E79" s="30">
        <f>SUM(E65:E78)</f>
        <v>100960680.48999999</v>
      </c>
      <c r="F79" s="188"/>
    </row>
    <row r="80" spans="2:6">
      <c r="F80" s="28"/>
    </row>
    <row r="81" spans="2:6">
      <c r="F81" s="28"/>
    </row>
    <row r="82" spans="2:6">
      <c r="C82" s="29" t="s">
        <v>191</v>
      </c>
      <c r="F82" s="28"/>
    </row>
    <row r="83" spans="2:6">
      <c r="B83" s="75" t="s">
        <v>101</v>
      </c>
      <c r="C83" s="258" t="str">
        <f>gastos!A198</f>
        <v>2.3.2.3.3.05.04.1</v>
      </c>
      <c r="D83" s="258" t="str">
        <f>gastos!B198</f>
        <v>Construccion De Infraestructura</v>
      </c>
      <c r="E83" s="258">
        <f>gastos!C198</f>
        <v>0</v>
      </c>
      <c r="F83" s="28"/>
    </row>
    <row r="84" spans="2:6">
      <c r="B84" s="75"/>
      <c r="C84" s="75" t="str">
        <f>gastos!A199</f>
        <v>2.3.2.3.3.05.04.2</v>
      </c>
      <c r="D84" s="75" t="str">
        <f>gastos!B199</f>
        <v>Adecuacion De Infraestructura</v>
      </c>
      <c r="E84" s="75">
        <f>gastos!C199</f>
        <v>5000000</v>
      </c>
      <c r="F84" s="28"/>
    </row>
    <row r="85" spans="2:6">
      <c r="B85" s="75"/>
      <c r="C85" s="258" t="str">
        <f>gastos!A200</f>
        <v>2.3.2.3.3.05.04.3</v>
      </c>
      <c r="D85" s="258" t="str">
        <f>gastos!B200</f>
        <v>Contratacion Del Servicio</v>
      </c>
      <c r="E85" s="258">
        <f>gastos!C200</f>
        <v>0</v>
      </c>
      <c r="F85" s="28"/>
    </row>
    <row r="86" spans="2:6">
      <c r="B86" s="75"/>
      <c r="C86" s="75" t="str">
        <f>gastos!A201</f>
        <v>2.3.2.3.3.05.04.4</v>
      </c>
      <c r="D86" s="75" t="str">
        <f>gastos!B201</f>
        <v>Prestacion Directa Del Servicio</v>
      </c>
      <c r="E86" s="75">
        <f>gastos!C201</f>
        <v>13000000</v>
      </c>
      <c r="F86" s="28"/>
    </row>
    <row r="87" spans="2:6">
      <c r="C87" s="381" t="s">
        <v>137</v>
      </c>
      <c r="D87" s="381"/>
      <c r="E87" s="30">
        <f>SUM(E83:E86)</f>
        <v>18000000</v>
      </c>
      <c r="F87" s="28"/>
    </row>
    <row r="88" spans="2:6">
      <c r="F88" s="28"/>
    </row>
    <row r="89" spans="2:6">
      <c r="F89" s="28"/>
    </row>
    <row r="90" spans="2:6">
      <c r="C90" s="29" t="s">
        <v>63</v>
      </c>
      <c r="F90" s="28"/>
    </row>
    <row r="91" spans="2:6">
      <c r="B91" s="261" t="s">
        <v>101</v>
      </c>
      <c r="C91" s="261" t="str">
        <f>gastos!A205</f>
        <v>2.3.2.3.3.05.06</v>
      </c>
      <c r="D91" s="261" t="str">
        <f>gastos!B205</f>
        <v>Atencion Y Apoyo A La Poblacion Desplazada Por La Violencia</v>
      </c>
      <c r="E91" s="261">
        <f>gastos!C205</f>
        <v>9974622.1600000001</v>
      </c>
      <c r="F91" s="28"/>
    </row>
    <row r="92" spans="2:6">
      <c r="C92" s="381" t="s">
        <v>137</v>
      </c>
      <c r="D92" s="381"/>
      <c r="E92" s="161">
        <f>SUM(E91:E91)</f>
        <v>9974622.1600000001</v>
      </c>
      <c r="F92" s="28"/>
    </row>
    <row r="93" spans="2:6">
      <c r="F93" s="28"/>
    </row>
    <row r="94" spans="2:6">
      <c r="F94" s="28"/>
    </row>
    <row r="95" spans="2:6">
      <c r="C95" s="29" t="s">
        <v>1235</v>
      </c>
      <c r="F95" s="28"/>
    </row>
    <row r="96" spans="2:6">
      <c r="B96" s="75" t="s">
        <v>101</v>
      </c>
      <c r="C96" s="75" t="str">
        <f>gastos!A187</f>
        <v>2.3.2.3.3.05.01</v>
      </c>
      <c r="D96" s="75" t="str">
        <f>gastos!B187</f>
        <v>Proteccion Integral De La Primera Infancia</v>
      </c>
      <c r="E96" s="75">
        <f>gastos!C187</f>
        <v>3027311</v>
      </c>
      <c r="F96" s="28"/>
    </row>
    <row r="97" spans="2:6">
      <c r="C97" s="381" t="s">
        <v>137</v>
      </c>
      <c r="D97" s="381"/>
      <c r="E97" s="30">
        <f>E96</f>
        <v>3027311</v>
      </c>
      <c r="F97" s="28"/>
    </row>
    <row r="98" spans="2:6" s="27" customFormat="1">
      <c r="C98" s="262"/>
      <c r="D98" s="262"/>
      <c r="E98" s="263"/>
      <c r="F98" s="28"/>
    </row>
    <row r="99" spans="2:6" s="27" customFormat="1">
      <c r="C99" s="262"/>
      <c r="D99" s="262"/>
      <c r="E99" s="263"/>
      <c r="F99" s="28"/>
    </row>
    <row r="100" spans="2:6">
      <c r="C100" s="29" t="s">
        <v>64</v>
      </c>
      <c r="F100" s="28"/>
    </row>
    <row r="101" spans="2:6">
      <c r="B101" s="75" t="s">
        <v>101</v>
      </c>
      <c r="C101" s="75" t="str">
        <f>gastos!A190</f>
        <v>2.3.2.3.3.05.02</v>
      </c>
      <c r="D101" s="75" t="str">
        <f>gastos!B190</f>
        <v xml:space="preserve"> Proteccion Integral De La Niñez</v>
      </c>
      <c r="E101" s="75">
        <f>gastos!C190</f>
        <v>3500000</v>
      </c>
      <c r="F101" s="28"/>
    </row>
    <row r="102" spans="2:6">
      <c r="C102" s="381" t="s">
        <v>137</v>
      </c>
      <c r="D102" s="381"/>
      <c r="E102" s="30">
        <f>E101</f>
        <v>3500000</v>
      </c>
      <c r="F102" s="28"/>
    </row>
    <row r="103" spans="2:6">
      <c r="F103" s="28"/>
    </row>
    <row r="104" spans="2:6" s="27" customFormat="1">
      <c r="C104" s="262"/>
      <c r="D104" s="262"/>
      <c r="E104" s="263"/>
      <c r="F104" s="28"/>
    </row>
    <row r="105" spans="2:6">
      <c r="C105" s="29" t="s">
        <v>1237</v>
      </c>
      <c r="F105" s="28"/>
    </row>
    <row r="106" spans="2:6">
      <c r="B106" s="75" t="s">
        <v>101</v>
      </c>
      <c r="C106" s="75" t="str">
        <f>gastos!A232</f>
        <v>2.3.2.3.3.05.07</v>
      </c>
      <c r="D106" s="75" t="str">
        <f>gastos!B232</f>
        <v>Programas De Discapacidad</v>
      </c>
      <c r="E106" s="75">
        <f>gastos!C232</f>
        <v>6600000</v>
      </c>
      <c r="F106" s="28"/>
    </row>
    <row r="107" spans="2:6">
      <c r="C107" s="381" t="s">
        <v>137</v>
      </c>
      <c r="D107" s="381"/>
      <c r="E107" s="30">
        <f>E106</f>
        <v>6600000</v>
      </c>
      <c r="F107" s="28"/>
    </row>
    <row r="108" spans="2:6">
      <c r="F108" s="28"/>
    </row>
    <row r="109" spans="2:6" s="27" customFormat="1">
      <c r="C109" s="262"/>
      <c r="D109" s="262"/>
      <c r="E109" s="263"/>
      <c r="F109" s="28"/>
    </row>
    <row r="110" spans="2:6">
      <c r="C110" s="29" t="s">
        <v>1236</v>
      </c>
      <c r="F110" s="28"/>
    </row>
    <row r="111" spans="2:6">
      <c r="B111" s="75" t="s">
        <v>101</v>
      </c>
      <c r="C111" s="75" t="str">
        <f>gastos!A194</f>
        <v>2.3.2.3.3.05.03</v>
      </c>
      <c r="D111" s="75" t="str">
        <f>gastos!B194</f>
        <v>Proteccion Integral A La Adolescencia</v>
      </c>
      <c r="E111" s="75">
        <f>gastos!C194</f>
        <v>1000000</v>
      </c>
      <c r="F111" s="28"/>
    </row>
    <row r="112" spans="2:6">
      <c r="B112" s="75"/>
      <c r="C112" s="75" t="str">
        <f>gastos!A241</f>
        <v>2.3.2.3.3.05.18</v>
      </c>
      <c r="D112" s="75" t="str">
        <f>gastos!B241</f>
        <v>Proteccion Integral A La Juventud</v>
      </c>
      <c r="E112" s="75">
        <f>gastos!C241</f>
        <v>1000000</v>
      </c>
      <c r="F112" s="28"/>
    </row>
    <row r="113" spans="2:6">
      <c r="C113" s="381" t="s">
        <v>137</v>
      </c>
      <c r="D113" s="381"/>
      <c r="E113" s="30">
        <f>SUM(E111:E112)</f>
        <v>2000000</v>
      </c>
      <c r="F113" s="28"/>
    </row>
    <row r="114" spans="2:6">
      <c r="F114" s="28"/>
    </row>
    <row r="115" spans="2:6">
      <c r="F115" s="28"/>
    </row>
    <row r="116" spans="2:6">
      <c r="C116" s="29" t="s">
        <v>65</v>
      </c>
      <c r="F116" s="28"/>
    </row>
    <row r="117" spans="2:6">
      <c r="B117" s="75" t="s">
        <v>101</v>
      </c>
      <c r="C117" s="75" t="str">
        <f>gastos!A202</f>
        <v>2.3.2.3.3.05.05</v>
      </c>
      <c r="D117" s="75" t="str">
        <f>gastos!B202</f>
        <v>Atencion Y Apoyo A Madres/Padres Cabeza De Hogar</v>
      </c>
      <c r="E117" s="75">
        <f>gastos!C202</f>
        <v>1000000</v>
      </c>
      <c r="F117" s="28"/>
    </row>
    <row r="118" spans="2:6">
      <c r="C118" s="381" t="s">
        <v>137</v>
      </c>
      <c r="D118" s="381"/>
      <c r="E118" s="30">
        <f>SUM(E117:E117)</f>
        <v>1000000</v>
      </c>
      <c r="F118" s="28"/>
    </row>
    <row r="119" spans="2:6">
      <c r="F119" s="28"/>
    </row>
    <row r="120" spans="2:6">
      <c r="C120" s="29" t="s">
        <v>1238</v>
      </c>
      <c r="F120" s="28"/>
    </row>
    <row r="121" spans="2:6">
      <c r="B121" s="75" t="s">
        <v>101</v>
      </c>
      <c r="C121" s="75" t="str">
        <f>gastos!A236</f>
        <v>2.3.2.3.3.05.08</v>
      </c>
      <c r="D121" s="75" t="str">
        <f>gastos!B236</f>
        <v>Atencion Y Apoyo A La Poblacion Reinsertada</v>
      </c>
      <c r="E121" s="75">
        <f>gastos!C236</f>
        <v>500000</v>
      </c>
      <c r="F121" s="28"/>
    </row>
    <row r="122" spans="2:6">
      <c r="C122" s="381" t="s">
        <v>137</v>
      </c>
      <c r="D122" s="381"/>
      <c r="E122" s="30">
        <f>SUM(E121:E121)</f>
        <v>500000</v>
      </c>
      <c r="F122" s="28"/>
    </row>
    <row r="123" spans="2:6">
      <c r="F123" s="28"/>
    </row>
    <row r="124" spans="2:6">
      <c r="C124" s="29" t="s">
        <v>1240</v>
      </c>
      <c r="F124" s="28"/>
    </row>
    <row r="125" spans="2:6">
      <c r="B125" s="75" t="s">
        <v>101</v>
      </c>
      <c r="C125" s="75" t="str">
        <f>gastos!A237</f>
        <v>2.3.2.3.3.05.13</v>
      </c>
      <c r="D125" s="75" t="str">
        <f>gastos!B237</f>
        <v>Programas Diseñados Para La Superacion De La Pobreza Extrema En El Marco De La Red Juntos - Familias En Accion</v>
      </c>
      <c r="E125" s="75">
        <f>gastos!C237</f>
        <v>4627000</v>
      </c>
      <c r="F125" s="28"/>
    </row>
    <row r="126" spans="2:6">
      <c r="C126" s="381" t="s">
        <v>137</v>
      </c>
      <c r="D126" s="381"/>
      <c r="E126" s="30">
        <f>SUM(E125:E125)</f>
        <v>4627000</v>
      </c>
      <c r="F126" s="28"/>
    </row>
    <row r="127" spans="2:6">
      <c r="F127" s="28"/>
    </row>
    <row r="128" spans="2:6">
      <c r="C128" s="29" t="s">
        <v>1239</v>
      </c>
      <c r="F128" s="28"/>
    </row>
    <row r="129" spans="2:6">
      <c r="B129" s="75" t="s">
        <v>101</v>
      </c>
      <c r="C129" s="75" t="str">
        <f>gastos!A240</f>
        <v>2.3.2.3.3.05.17</v>
      </c>
      <c r="D129" s="75" t="str">
        <f>gastos!B240</f>
        <v>Atencion Y Apoyo A La Poblacion L.G.T.B.</v>
      </c>
      <c r="E129" s="75">
        <f>gastos!C240</f>
        <v>0</v>
      </c>
      <c r="F129" s="28"/>
    </row>
    <row r="130" spans="2:6">
      <c r="C130" s="381" t="s">
        <v>137</v>
      </c>
      <c r="D130" s="381"/>
      <c r="E130" s="30">
        <f>SUM(E129:E129)</f>
        <v>0</v>
      </c>
      <c r="F130" s="28"/>
    </row>
    <row r="131" spans="2:6">
      <c r="C131" s="385" t="s">
        <v>67</v>
      </c>
      <c r="D131" s="385"/>
      <c r="E131" s="31">
        <f>E38+E62+E79+E87+E92+E97+E102+E107+E113+E118+E122+E126+E130</f>
        <v>463976105.48000002</v>
      </c>
      <c r="F131" s="188"/>
    </row>
    <row r="132" spans="2:6">
      <c r="F132" s="28"/>
    </row>
    <row r="133" spans="2:6">
      <c r="B133" s="153" t="str">
        <f>B9</f>
        <v>EJE SALUD</v>
      </c>
      <c r="F133" s="28"/>
    </row>
    <row r="134" spans="2:6">
      <c r="C134" s="265" t="s">
        <v>1241</v>
      </c>
      <c r="F134" s="28"/>
    </row>
    <row r="135" spans="2:6">
      <c r="B135" s="266" t="s">
        <v>144</v>
      </c>
      <c r="C135" s="266" t="str">
        <f>gastos!A338</f>
        <v>2.3.3.01.2.1.01</v>
      </c>
      <c r="D135" s="266" t="str">
        <f>gastos!B338</f>
        <v>Régimen subsidiado continuidad S.G.P</v>
      </c>
      <c r="E135" s="266">
        <f>gastos!C338</f>
        <v>1024707043</v>
      </c>
      <c r="F135" s="28"/>
    </row>
    <row r="136" spans="2:6">
      <c r="B136" s="266"/>
      <c r="C136" s="266" t="str">
        <f>gastos!A339</f>
        <v>2.3.3.01.2.1.02</v>
      </c>
      <c r="D136" s="266" t="str">
        <f>gastos!B339</f>
        <v>Régimen subsidiado ampliación S.G.P</v>
      </c>
      <c r="E136" s="266">
        <f>gastos!C339</f>
        <v>263433.40000000002</v>
      </c>
      <c r="F136" s="28"/>
    </row>
    <row r="137" spans="2:6">
      <c r="B137" s="79" t="s">
        <v>429</v>
      </c>
      <c r="C137" s="79" t="str">
        <f>gastos!A340</f>
        <v>2.3.3.01.2.1.03</v>
      </c>
      <c r="D137" s="79" t="str">
        <f>gastos!B340</f>
        <v>Régimen subsidiado FOSYGA</v>
      </c>
      <c r="E137" s="79">
        <f>gastos!C340</f>
        <v>566419515.72000003</v>
      </c>
      <c r="F137" s="28"/>
    </row>
    <row r="138" spans="2:6">
      <c r="B138" s="79"/>
      <c r="C138" s="79" t="str">
        <f>gastos!A341</f>
        <v>2.3.3.01.2.1.04</v>
      </c>
      <c r="D138" s="79" t="str">
        <f>gastos!B341</f>
        <v>Régimen subsidiado ETESA</v>
      </c>
      <c r="E138" s="79">
        <f>gastos!C341</f>
        <v>25097526.68</v>
      </c>
      <c r="F138" s="28"/>
    </row>
    <row r="139" spans="2:6">
      <c r="B139" s="79"/>
      <c r="C139" s="79" t="str">
        <f>gastos!A342</f>
        <v>2.3.3.01.2.1.05</v>
      </c>
      <c r="D139" s="79" t="str">
        <f>gastos!B342</f>
        <v>Régimen subsidiado con rentas cedidas</v>
      </c>
      <c r="E139" s="79">
        <f>gastos!C342</f>
        <v>127419870.97</v>
      </c>
      <c r="F139" s="28"/>
    </row>
    <row r="140" spans="2:6">
      <c r="B140" s="256" t="s">
        <v>1232</v>
      </c>
      <c r="C140" s="256" t="str">
        <f>gastos!A345</f>
        <v>2.3.3.01.2.1.06.1.01</v>
      </c>
      <c r="D140" s="256" t="str">
        <f>gastos!B345</f>
        <v>FOSYGA</v>
      </c>
      <c r="E140" s="256">
        <f>gastos!C345</f>
        <v>1819.31</v>
      </c>
      <c r="F140" s="28"/>
    </row>
    <row r="141" spans="2:6">
      <c r="B141" s="256"/>
      <c r="C141" s="256" t="str">
        <f>gastos!A346</f>
        <v>2.3.3.01.2.1.06.1.02</v>
      </c>
      <c r="D141" s="256" t="str">
        <f>gastos!B346</f>
        <v>ETESA</v>
      </c>
      <c r="E141" s="256">
        <f>gastos!C346</f>
        <v>5936611.8600000003</v>
      </c>
      <c r="F141" s="28"/>
    </row>
    <row r="142" spans="2:6">
      <c r="B142" s="256"/>
      <c r="C142" s="241" t="str">
        <f>gastos!A347</f>
        <v>2.3.3.01.2.1.06.1.03</v>
      </c>
      <c r="D142" s="241" t="str">
        <f>gastos!B347</f>
        <v>Promoción y prevención régimen subsidiado</v>
      </c>
      <c r="E142" s="241">
        <f>gastos!C347</f>
        <v>0</v>
      </c>
      <c r="F142" s="28"/>
    </row>
    <row r="143" spans="2:6">
      <c r="B143" s="256"/>
      <c r="C143" s="241" t="str">
        <f>gastos!A348</f>
        <v>2.3.3.01.2.1.06.1.04</v>
      </c>
      <c r="D143" s="241" t="str">
        <f>gastos!B348</f>
        <v>Rentas cedidas régimen subsidiado</v>
      </c>
      <c r="E143" s="241">
        <f>gastos!C348</f>
        <v>0</v>
      </c>
      <c r="F143" s="28"/>
    </row>
    <row r="144" spans="2:6">
      <c r="B144" s="256"/>
      <c r="C144" s="241" t="str">
        <f>gastos!A349</f>
        <v>2.3.3.01.2.1.06.1.05</v>
      </c>
      <c r="D144" s="241" t="str">
        <f>gastos!B349</f>
        <v>Convenios departamentales</v>
      </c>
      <c r="E144" s="241">
        <f>gastos!C349</f>
        <v>0</v>
      </c>
      <c r="F144" s="28"/>
    </row>
    <row r="145" spans="2:6">
      <c r="B145" s="256"/>
      <c r="C145" s="256" t="str">
        <f>gastos!A350</f>
        <v>2.3.3.01.2.1.06.1.06</v>
      </c>
      <c r="D145" s="256" t="str">
        <f>gastos!B350</f>
        <v>Régimen Subsidiado Continuidad SGP</v>
      </c>
      <c r="E145" s="256">
        <f>gastos!C350</f>
        <v>587902564.29999995</v>
      </c>
      <c r="F145" s="28"/>
    </row>
    <row r="146" spans="2:6">
      <c r="B146" s="256"/>
      <c r="C146" s="241" t="str">
        <f>gastos!A351</f>
        <v>2.3.3.01.2.1.06.1.07</v>
      </c>
      <c r="D146" s="241" t="str">
        <f>gastos!B351</f>
        <v>Régimen Subsidiado Ampliación SGP</v>
      </c>
      <c r="E146" s="241">
        <f>gastos!C351</f>
        <v>0</v>
      </c>
      <c r="F146" s="28"/>
    </row>
    <row r="147" spans="2:6">
      <c r="B147" s="256"/>
      <c r="C147" s="241" t="str">
        <f>gastos!A352</f>
        <v>2.3.3.01.2.1.06.1.08</v>
      </c>
      <c r="D147" s="241" t="str">
        <f>gastos!B352</f>
        <v>Otros subsidios a la demanda</v>
      </c>
      <c r="E147" s="241">
        <f>gastos!C352</f>
        <v>0</v>
      </c>
      <c r="F147" s="28"/>
    </row>
    <row r="148" spans="2:6">
      <c r="B148" s="251" t="s">
        <v>1233</v>
      </c>
      <c r="C148" s="241" t="str">
        <f>gastos!A353</f>
        <v>2.3.3.01.2.1.06.2</v>
      </c>
      <c r="D148" s="241" t="str">
        <f>gastos!B353</f>
        <v>Rendimientos financieros</v>
      </c>
      <c r="E148" s="241">
        <f>gastos!C353</f>
        <v>1795288</v>
      </c>
      <c r="F148" s="28"/>
    </row>
    <row r="149" spans="2:6">
      <c r="B149" s="269" t="s">
        <v>102</v>
      </c>
      <c r="C149" s="269" t="str">
        <f>gastos!A355</f>
        <v>2.3.3.01.2.1.06.3.1</v>
      </c>
      <c r="D149" s="269" t="str">
        <f>gastos!B355</f>
        <v>Régimen subsidiado continuidad S.G.P</v>
      </c>
      <c r="E149" s="269">
        <f>gastos!C355</f>
        <v>5051636.82</v>
      </c>
      <c r="F149" s="28"/>
    </row>
    <row r="150" spans="2:6">
      <c r="B150" s="269"/>
      <c r="C150" s="269" t="str">
        <f>gastos!A356</f>
        <v>2.3.3.01.2.1.06.3.2</v>
      </c>
      <c r="D150" s="269" t="str">
        <f>gastos!B356</f>
        <v>Régimen subsidiado FOSYGA</v>
      </c>
      <c r="E150" s="269">
        <f>gastos!C356</f>
        <v>6634774.2000000002</v>
      </c>
      <c r="F150" s="28"/>
    </row>
    <row r="151" spans="2:6">
      <c r="B151" s="269"/>
      <c r="C151" s="269" t="str">
        <f>gastos!A357</f>
        <v>2.3.3.01.2.1.06.3.3</v>
      </c>
      <c r="D151" s="269" t="str">
        <f>gastos!B357</f>
        <v>Régimen subsidiado con rentas cedidas</v>
      </c>
      <c r="E151" s="269">
        <f>gastos!C357</f>
        <v>846927.3</v>
      </c>
      <c r="F151" s="28"/>
    </row>
    <row r="152" spans="2:6">
      <c r="B152" s="269"/>
      <c r="C152" s="269" t="str">
        <f>gastos!A358</f>
        <v>2.3.3.01.2.1.06.3.4</v>
      </c>
      <c r="D152" s="269" t="str">
        <f>gastos!B358</f>
        <v>Régimen Subsidiado Continuidad SGP - anterior</v>
      </c>
      <c r="E152" s="269">
        <f>gastos!C358</f>
        <v>445097.78</v>
      </c>
      <c r="F152" s="28"/>
    </row>
    <row r="153" spans="2:6">
      <c r="B153" s="269"/>
      <c r="C153" s="269" t="str">
        <f>gastos!A359</f>
        <v>2.3.3.01.2.1.06.3.5</v>
      </c>
      <c r="D153" s="269" t="str">
        <f>gastos!B359</f>
        <v>Empres Territorial para la salud (ETESA) - anterior</v>
      </c>
      <c r="E153" s="269">
        <f>gastos!C359</f>
        <v>148365.9</v>
      </c>
      <c r="F153" s="28"/>
    </row>
    <row r="154" spans="2:6">
      <c r="B154" s="239"/>
      <c r="C154" s="202" t="s">
        <v>137</v>
      </c>
      <c r="D154" s="202"/>
      <c r="E154" s="30">
        <f>SUM(E135:E153)</f>
        <v>2352670475.2400002</v>
      </c>
      <c r="F154" s="28"/>
    </row>
    <row r="155" spans="2:6">
      <c r="B155" s="239"/>
      <c r="C155" s="239"/>
      <c r="D155" s="239"/>
      <c r="E155" s="239"/>
      <c r="F155" s="28"/>
    </row>
    <row r="156" spans="2:6">
      <c r="B156" s="27"/>
      <c r="C156" s="78"/>
      <c r="D156" s="78"/>
      <c r="E156" s="185"/>
      <c r="F156" s="28"/>
    </row>
    <row r="157" spans="2:6">
      <c r="B157" s="27"/>
      <c r="C157" s="265" t="s">
        <v>1242</v>
      </c>
      <c r="D157" s="157"/>
      <c r="E157" s="158"/>
      <c r="F157" s="28"/>
    </row>
    <row r="158" spans="2:6">
      <c r="B158" s="266" t="s">
        <v>144</v>
      </c>
      <c r="C158" s="266" t="str">
        <f>gastos!A363</f>
        <v>2.3.3.01.2.2.1</v>
      </c>
      <c r="D158" s="266" t="str">
        <f>gastos!B363</f>
        <v>Acciones y Programas en Salud Pública</v>
      </c>
      <c r="E158" s="266">
        <f>gastos!C363</f>
        <v>64439678</v>
      </c>
      <c r="F158" s="28"/>
    </row>
    <row r="159" spans="2:6">
      <c r="B159" s="256" t="s">
        <v>1232</v>
      </c>
      <c r="C159" s="256" t="str">
        <f>gastos!A365</f>
        <v>2.3.3.01.2.2.3.1</v>
      </c>
      <c r="D159" s="256" t="str">
        <f>gastos!B365</f>
        <v>Del balance salud pública</v>
      </c>
      <c r="E159" s="256">
        <f>gastos!C365</f>
        <v>130915</v>
      </c>
      <c r="F159" s="28"/>
    </row>
    <row r="160" spans="2:6">
      <c r="C160" s="382" t="s">
        <v>137</v>
      </c>
      <c r="D160" s="382"/>
      <c r="E160" s="145">
        <f>SUM(E158:E159)</f>
        <v>64570593</v>
      </c>
      <c r="F160" s="188"/>
    </row>
    <row r="161" spans="2:6">
      <c r="B161" s="159"/>
      <c r="C161" s="159"/>
      <c r="D161" s="159"/>
      <c r="E161" s="160"/>
      <c r="F161" s="28"/>
    </row>
    <row r="162" spans="2:6">
      <c r="B162" s="27"/>
      <c r="C162" s="265" t="s">
        <v>1243</v>
      </c>
      <c r="D162" s="157"/>
      <c r="E162" s="158"/>
      <c r="F162" s="28"/>
    </row>
    <row r="163" spans="2:6">
      <c r="B163" s="79" t="s">
        <v>429</v>
      </c>
      <c r="C163" s="79" t="str">
        <f>gastos!A367</f>
        <v>2.3.3.01.2.3.1</v>
      </c>
      <c r="D163" s="79" t="str">
        <f>gastos!B367</f>
        <v>Empres Territorial para la salud (ETESA)</v>
      </c>
      <c r="E163" s="79">
        <f>gastos!C367</f>
        <v>6312255.2000000002</v>
      </c>
      <c r="F163" s="28"/>
    </row>
    <row r="164" spans="2:6">
      <c r="B164" s="74" t="s">
        <v>100</v>
      </c>
      <c r="C164" s="248" t="str">
        <f>gastos!A368</f>
        <v>2.3.3.01.2.3.2</v>
      </c>
      <c r="D164" s="248" t="str">
        <f>gastos!B368</f>
        <v>Gastos con otros Ingresos municipales</v>
      </c>
      <c r="E164" s="248">
        <f>gastos!C368</f>
        <v>0</v>
      </c>
      <c r="F164" s="28"/>
    </row>
    <row r="165" spans="2:6">
      <c r="B165" s="256" t="s">
        <v>1232</v>
      </c>
      <c r="C165" s="256" t="str">
        <f>gastos!A369</f>
        <v>2.3.3.01.2.3.3</v>
      </c>
      <c r="D165" s="256" t="str">
        <f>gastos!B369</f>
        <v>Gastos por recursos de capital OTROS GASTOS</v>
      </c>
      <c r="E165" s="256">
        <f>gastos!C369</f>
        <v>5665971.2400000002</v>
      </c>
      <c r="F165" s="28"/>
    </row>
    <row r="166" spans="2:6">
      <c r="B166" s="266" t="s">
        <v>144</v>
      </c>
      <c r="C166" s="266" t="str">
        <f>gastos!A370</f>
        <v>2.3.3.01.2.3.4</v>
      </c>
      <c r="D166" s="266" t="str">
        <f>gastos!B370</f>
        <v>Recursos destinados a financiar programas de prevención de eventos en salud de las personas afectadas por la emergencia invernal-salud pública decreto ley 017 de 2011</v>
      </c>
      <c r="E166" s="266">
        <f>gastos!C370</f>
        <v>9271483</v>
      </c>
      <c r="F166" s="28"/>
    </row>
    <row r="167" spans="2:6">
      <c r="C167" s="382" t="s">
        <v>137</v>
      </c>
      <c r="D167" s="382"/>
      <c r="E167" s="145">
        <f>SUM(E163:E166)</f>
        <v>21249709.440000001</v>
      </c>
      <c r="F167" s="188"/>
    </row>
    <row r="168" spans="2:6">
      <c r="F168" s="28"/>
    </row>
    <row r="169" spans="2:6">
      <c r="F169" s="28"/>
    </row>
    <row r="170" spans="2:6">
      <c r="B170" s="152" t="str">
        <f>B3</f>
        <v>EJE ECONOMICO</v>
      </c>
      <c r="D170" s="24"/>
      <c r="E170" s="24"/>
      <c r="F170" s="28"/>
    </row>
    <row r="171" spans="2:6">
      <c r="B171" s="25"/>
      <c r="C171" s="29" t="s">
        <v>215</v>
      </c>
      <c r="D171" s="159"/>
      <c r="E171" s="180"/>
      <c r="F171" s="28"/>
    </row>
    <row r="172" spans="2:6">
      <c r="B172" s="74" t="s">
        <v>100</v>
      </c>
      <c r="C172" s="74" t="str">
        <f>gastos!A115</f>
        <v>2.3.1.4.4.04</v>
      </c>
      <c r="D172" s="74" t="str">
        <f>gastos!B115</f>
        <v>Vivienda</v>
      </c>
      <c r="E172" s="74">
        <f>gastos!C115</f>
        <v>3000000</v>
      </c>
      <c r="F172" s="28"/>
    </row>
    <row r="173" spans="2:6">
      <c r="B173" s="266" t="s">
        <v>144</v>
      </c>
      <c r="C173" s="276" t="str">
        <f>gastos!A180</f>
        <v>2.3.2.3.3.04.3</v>
      </c>
      <c r="D173" s="276" t="str">
        <f>gastos!B180</f>
        <v>Planes Y Proyectos De Mejoramiento De Vivienda Y Saneamiento Basico</v>
      </c>
      <c r="E173" s="276">
        <f>gastos!C180</f>
        <v>2100000</v>
      </c>
      <c r="F173" s="28"/>
    </row>
    <row r="174" spans="2:6">
      <c r="B174" s="266"/>
      <c r="C174" s="266" t="str">
        <f>gastos!A181</f>
        <v>2.3.2.3.3.04.4</v>
      </c>
      <c r="D174" s="266" t="str">
        <f>gastos!B181</f>
        <v>Planes Y Proyectos De Construccion De Vivienda En Sitio Propio</v>
      </c>
      <c r="E174" s="266">
        <f>gastos!C181</f>
        <v>1482465.52</v>
      </c>
      <c r="F174" s="28"/>
    </row>
    <row r="175" spans="2:6">
      <c r="B175" s="266"/>
      <c r="C175" s="276" t="str">
        <f>gastos!A182</f>
        <v>2.3.2.3.3.04.5</v>
      </c>
      <c r="D175" s="276" t="str">
        <f>gastos!B182</f>
        <v>Planes Y Proyectos Para La Adquisicion Y/O Construccion De Vivienda</v>
      </c>
      <c r="E175" s="276">
        <f>gastos!C182</f>
        <v>0</v>
      </c>
      <c r="F175" s="28"/>
    </row>
    <row r="176" spans="2:6">
      <c r="B176" s="266"/>
      <c r="C176" s="276" t="str">
        <f>gastos!A183</f>
        <v>2.3.2.3.3.04.6</v>
      </c>
      <c r="D176" s="276" t="str">
        <f>gastos!B183</f>
        <v>Subsidios Para Reubicacion De Viviendas Asentadas En Zonas Alto Riesgo</v>
      </c>
      <c r="E176" s="276">
        <f>gastos!C183</f>
        <v>0</v>
      </c>
      <c r="F176" s="28"/>
    </row>
    <row r="177" spans="2:6">
      <c r="B177" s="266"/>
      <c r="C177" s="276" t="str">
        <f>gastos!A184</f>
        <v>2.3.2.3.3.04.7</v>
      </c>
      <c r="D177" s="276" t="str">
        <f>gastos!B184</f>
        <v>Proyectos De Titulacion Y Legalizacion De Predios</v>
      </c>
      <c r="E177" s="276">
        <f>gastos!C184</f>
        <v>0</v>
      </c>
      <c r="F177" s="28"/>
    </row>
    <row r="178" spans="2:6">
      <c r="B178" s="266"/>
      <c r="C178" s="266" t="str">
        <f>gastos!A185</f>
        <v>2.3.2.3.3.04.8</v>
      </c>
      <c r="D178" s="266" t="str">
        <f>gastos!B185</f>
        <v>Preinversion En Infraestructura</v>
      </c>
      <c r="E178" s="266">
        <f>gastos!C185</f>
        <v>4000000</v>
      </c>
      <c r="F178" s="28"/>
    </row>
    <row r="179" spans="2:6">
      <c r="B179" s="79" t="s">
        <v>429</v>
      </c>
      <c r="C179" s="79" t="str">
        <f>gastos!A373</f>
        <v>2.3.3.04</v>
      </c>
      <c r="D179" s="79" t="str">
        <f>gastos!B373</f>
        <v>Fondo Municipal de Vivienda</v>
      </c>
      <c r="E179" s="79">
        <f>gastos!C373</f>
        <v>2145412</v>
      </c>
      <c r="F179" s="28"/>
    </row>
    <row r="180" spans="2:6">
      <c r="B180" s="256" t="s">
        <v>1232</v>
      </c>
      <c r="C180" s="256" t="str">
        <f>gastos!A432</f>
        <v>2.3.5.3.1.2.2.2.2</v>
      </c>
      <c r="D180" s="256" t="str">
        <f>gastos!B432</f>
        <v>Fondo de Vivienda Municipal</v>
      </c>
      <c r="E180" s="256">
        <f>gastos!C432</f>
        <v>494038.86</v>
      </c>
      <c r="F180" s="28"/>
    </row>
    <row r="181" spans="2:6">
      <c r="B181" s="277" t="s">
        <v>1244</v>
      </c>
      <c r="C181" s="159"/>
      <c r="D181" s="159"/>
      <c r="E181" s="180"/>
      <c r="F181" s="28"/>
    </row>
    <row r="182" spans="2:6">
      <c r="C182" s="388" t="s">
        <v>137</v>
      </c>
      <c r="D182" s="388"/>
      <c r="E182" s="148">
        <f>SUM(E172:E181)</f>
        <v>13221916.379999999</v>
      </c>
      <c r="F182" s="188"/>
    </row>
    <row r="183" spans="2:6">
      <c r="C183" s="146"/>
      <c r="D183" s="146"/>
      <c r="E183" s="147"/>
      <c r="F183" s="28"/>
    </row>
    <row r="184" spans="2:6">
      <c r="C184" s="146"/>
      <c r="D184" s="146"/>
      <c r="E184" s="146"/>
      <c r="F184" s="28"/>
    </row>
    <row r="185" spans="2:6">
      <c r="C185" s="29" t="s">
        <v>131</v>
      </c>
      <c r="D185" s="146"/>
      <c r="E185" s="146"/>
      <c r="F185" s="28"/>
    </row>
    <row r="186" spans="2:6" s="27" customFormat="1">
      <c r="B186" s="266" t="s">
        <v>144</v>
      </c>
      <c r="C186" s="266" t="str">
        <f>gastos!A167</f>
        <v>2.3.2.3.3.01.5</v>
      </c>
      <c r="D186" s="266" t="str">
        <f>gastos!B167</f>
        <v>Promocion Del Desarrollo Turistico</v>
      </c>
      <c r="E186" s="266">
        <f>gastos!C167</f>
        <v>600000</v>
      </c>
      <c r="F186" s="28"/>
    </row>
    <row r="187" spans="2:6">
      <c r="C187" s="388" t="s">
        <v>137</v>
      </c>
      <c r="D187" s="388"/>
      <c r="E187" s="148">
        <f>E186</f>
        <v>600000</v>
      </c>
      <c r="F187" s="28"/>
    </row>
    <row r="188" spans="2:6">
      <c r="C188" s="146"/>
      <c r="D188" s="146"/>
      <c r="E188" s="146"/>
      <c r="F188" s="28"/>
    </row>
    <row r="189" spans="2:6">
      <c r="C189" s="29" t="s">
        <v>27</v>
      </c>
      <c r="D189" s="146"/>
      <c r="E189" s="146"/>
      <c r="F189" s="28"/>
    </row>
    <row r="190" spans="2:6">
      <c r="B190" s="266" t="s">
        <v>144</v>
      </c>
      <c r="C190" s="266" t="str">
        <f>gastos!A255</f>
        <v>2.3.2.3.3.07.1</v>
      </c>
      <c r="D190" s="266" t="str">
        <f>gastos!B255</f>
        <v>Preinversion En Infraestructura</v>
      </c>
      <c r="E190" s="266">
        <f>gastos!C255</f>
        <v>2000000</v>
      </c>
      <c r="F190" s="28"/>
    </row>
    <row r="191" spans="2:6">
      <c r="B191" s="266"/>
      <c r="C191" s="266" t="str">
        <f>gastos!A256</f>
        <v>2.3.2.3.3.07.2</v>
      </c>
      <c r="D191" s="266" t="str">
        <f>gastos!B256</f>
        <v>Montaje, Dotacion Y Mantenimiento De Granjas Experimentales</v>
      </c>
      <c r="E191" s="266">
        <f>gastos!C256</f>
        <v>0</v>
      </c>
      <c r="F191" s="28"/>
    </row>
    <row r="192" spans="2:6">
      <c r="B192" s="266"/>
      <c r="C192" s="266" t="str">
        <f>gastos!A257</f>
        <v>2.3.2.3.3.07.4</v>
      </c>
      <c r="D192" s="266" t="str">
        <f>gastos!B257</f>
        <v>Promocion De Alianzas, Asociaciones U Otras Formas Asociativas De Productores</v>
      </c>
      <c r="E192" s="266">
        <f>gastos!C257</f>
        <v>0</v>
      </c>
      <c r="F192" s="28"/>
    </row>
    <row r="193" spans="1:6">
      <c r="B193" s="266"/>
      <c r="C193" s="266" t="str">
        <f>gastos!A258</f>
        <v>2.3.2.3.3.07.5</v>
      </c>
      <c r="D193" s="266" t="str">
        <f>gastos!B258</f>
        <v>Programas Y Proyectos De Asistencia Tecnica Directa Rural</v>
      </c>
      <c r="E193" s="266">
        <f>gastos!C258</f>
        <v>6200000</v>
      </c>
      <c r="F193" s="28"/>
    </row>
    <row r="194" spans="1:6">
      <c r="B194" s="266"/>
      <c r="C194" s="266" t="str">
        <f>gastos!A259</f>
        <v>2.3.2.3.3.07.6</v>
      </c>
      <c r="D194" s="266" t="str">
        <f>gastos!B259</f>
        <v>Pago Del Personal Tecnico Vinculado A La Prestacion Del Servicio De Asistencia Tecnica Directa Rural</v>
      </c>
      <c r="E194" s="266">
        <f>gastos!C259</f>
        <v>45000000</v>
      </c>
      <c r="F194" s="28"/>
    </row>
    <row r="195" spans="1:6">
      <c r="B195" s="266"/>
      <c r="C195" s="276" t="str">
        <f>gastos!A260</f>
        <v>2.3.2.3.3.07.7</v>
      </c>
      <c r="D195" s="276" t="str">
        <f>gastos!B260</f>
        <v>Contratos Celebrados Con Entidades Prestadoras Del Servicio De Asistencia Tecnica Directa Rural</v>
      </c>
      <c r="E195" s="276">
        <f>gastos!C260</f>
        <v>0</v>
      </c>
      <c r="F195" s="28"/>
    </row>
    <row r="196" spans="1:6">
      <c r="B196" s="266"/>
      <c r="C196" s="266" t="str">
        <f>gastos!A261</f>
        <v>2.3.2.3.3.07.8</v>
      </c>
      <c r="D196" s="266" t="str">
        <f>gastos!B261</f>
        <v>Desarrollo De Programas Y Proyectos Productivos En El Marco Del Plan Agropecuario</v>
      </c>
      <c r="E196" s="266">
        <f>gastos!C261</f>
        <v>7000000</v>
      </c>
      <c r="F196" s="28"/>
    </row>
    <row r="197" spans="1:6">
      <c r="A197" s="146"/>
      <c r="C197" s="388" t="s">
        <v>137</v>
      </c>
      <c r="D197" s="388"/>
      <c r="E197" s="148">
        <f>SUM(E190:E196)</f>
        <v>60200000</v>
      </c>
      <c r="F197" s="28"/>
    </row>
    <row r="198" spans="1:6">
      <c r="C198" s="146"/>
      <c r="D198" s="146"/>
      <c r="E198" s="146"/>
      <c r="F198" s="28"/>
    </row>
    <row r="199" spans="1:6">
      <c r="C199" s="29" t="s">
        <v>1245</v>
      </c>
      <c r="D199" s="146"/>
      <c r="E199" s="146"/>
      <c r="F199" s="28"/>
    </row>
    <row r="200" spans="1:6">
      <c r="B200" s="74" t="s">
        <v>100</v>
      </c>
      <c r="C200" s="74" t="str">
        <f>gastos!A112</f>
        <v>2.3.1.4.4.01</v>
      </c>
      <c r="D200" s="74" t="str">
        <f>gastos!B112</f>
        <v>Desarrollo vial urbano</v>
      </c>
      <c r="E200" s="74">
        <f>gastos!C112</f>
        <v>3500000</v>
      </c>
      <c r="F200" s="28"/>
    </row>
    <row r="201" spans="1:6">
      <c r="B201" s="74"/>
      <c r="C201" s="74" t="str">
        <f>gastos!A113</f>
        <v>2.3.1.4.4.02</v>
      </c>
      <c r="D201" s="74" t="str">
        <f>gastos!B113</f>
        <v>Mantenimiento Vías Rurales</v>
      </c>
      <c r="E201" s="74">
        <f>gastos!C113</f>
        <v>3500000</v>
      </c>
      <c r="F201" s="28"/>
    </row>
    <row r="202" spans="1:6">
      <c r="B202" s="266" t="s">
        <v>144</v>
      </c>
      <c r="C202" s="276" t="str">
        <f>gastos!A263</f>
        <v>2.3.2.3.3.08.02</v>
      </c>
      <c r="D202" s="276" t="str">
        <f>gastos!B263</f>
        <v>Mejoramiento De Vias</v>
      </c>
      <c r="E202" s="276">
        <f>gastos!C263</f>
        <v>0</v>
      </c>
      <c r="F202" s="28"/>
    </row>
    <row r="203" spans="1:6">
      <c r="B203" s="266"/>
      <c r="C203" s="276" t="str">
        <f>gastos!A264</f>
        <v>2.3.2.3.3.08.03</v>
      </c>
      <c r="D203" s="276" t="str">
        <f>gastos!B264</f>
        <v>Rehabilitacion De Vias</v>
      </c>
      <c r="E203" s="276">
        <f>gastos!C264</f>
        <v>0</v>
      </c>
      <c r="F203" s="28"/>
    </row>
    <row r="204" spans="1:6">
      <c r="B204" s="266"/>
      <c r="C204" s="266" t="str">
        <f>gastos!A265</f>
        <v>2.3.2.3.3.08.04</v>
      </c>
      <c r="D204" s="266" t="str">
        <f>gastos!B265</f>
        <v>Mantenimiento Rutinario De Vias</v>
      </c>
      <c r="E204" s="266">
        <f>gastos!C265</f>
        <v>30000000</v>
      </c>
      <c r="F204" s="28"/>
    </row>
    <row r="205" spans="1:6">
      <c r="B205" s="266"/>
      <c r="C205" s="266" t="str">
        <f>gastos!A266</f>
        <v>2.3.2.3.3.08.05</v>
      </c>
      <c r="D205" s="266" t="str">
        <f>gastos!B266</f>
        <v>Mantenimiento Periodico De Vias</v>
      </c>
      <c r="E205" s="266">
        <f>gastos!C266</f>
        <v>22673000</v>
      </c>
      <c r="F205" s="28"/>
    </row>
    <row r="206" spans="1:6">
      <c r="B206" s="266"/>
      <c r="C206" s="276" t="str">
        <f>gastos!A267</f>
        <v>2.3.2.3.3.08.10</v>
      </c>
      <c r="D206" s="276" t="str">
        <f>gastos!B267</f>
        <v>Estudios Y Preinversion En Infraestructura</v>
      </c>
      <c r="E206" s="276">
        <f>gastos!C267</f>
        <v>0</v>
      </c>
      <c r="F206" s="28"/>
    </row>
    <row r="207" spans="1:6">
      <c r="B207" s="266"/>
      <c r="C207" s="276" t="str">
        <f>gastos!A268</f>
        <v>2.3.2.3.3.08.11</v>
      </c>
      <c r="D207" s="276" t="str">
        <f>gastos!B268</f>
        <v>Compra De Maquinaria Y Equipo</v>
      </c>
      <c r="E207" s="276">
        <f>gastos!C268</f>
        <v>0</v>
      </c>
      <c r="F207" s="28"/>
    </row>
    <row r="208" spans="1:6">
      <c r="B208" s="266"/>
      <c r="C208" s="276" t="str">
        <f>gastos!A269</f>
        <v>2.3.2.3.3.08.16</v>
      </c>
      <c r="D208" s="276" t="str">
        <f>gastos!B269</f>
        <v>Planes De Transito, Educacion, Dotacion De Equipos Y Seguridad Vial</v>
      </c>
      <c r="E208" s="276">
        <f>gastos!C269</f>
        <v>0</v>
      </c>
      <c r="F208" s="28"/>
    </row>
    <row r="209" spans="2:6">
      <c r="B209" s="266"/>
      <c r="C209" s="276" t="str">
        <f>gastos!A270</f>
        <v>2.3.2.3.3.08.17</v>
      </c>
      <c r="D209" s="276" t="str">
        <f>gastos!B270</f>
        <v>Infraestructura Para Transporte No Motorizado (Redes Peatonales Y Ciclorutas)</v>
      </c>
      <c r="E209" s="276">
        <f>gastos!C270</f>
        <v>0</v>
      </c>
      <c r="F209" s="28"/>
    </row>
    <row r="210" spans="2:6">
      <c r="B210" s="79" t="s">
        <v>429</v>
      </c>
      <c r="C210" s="79" t="str">
        <f>gastos!A376</f>
        <v>2.3.3.07</v>
      </c>
      <c r="D210" s="79" t="str">
        <f>gastos!B376</f>
        <v>Gastos por Ingresos Volqueta</v>
      </c>
      <c r="E210" s="79">
        <f>gastos!C376</f>
        <v>3077016</v>
      </c>
      <c r="F210" s="28"/>
    </row>
    <row r="211" spans="2:6">
      <c r="B211" s="277" t="s">
        <v>1244</v>
      </c>
      <c r="C211" s="159"/>
      <c r="D211" s="159"/>
      <c r="E211" s="180"/>
      <c r="F211" s="28"/>
    </row>
    <row r="212" spans="2:6">
      <c r="B212" s="256" t="s">
        <v>1232</v>
      </c>
      <c r="C212" s="256" t="str">
        <f>gastos!A427</f>
        <v>2.3.5.3.1.2.2.1.2</v>
      </c>
      <c r="D212" s="256" t="str">
        <f>gastos!B427</f>
        <v>mejoramiento vias FNR</v>
      </c>
      <c r="E212" s="256">
        <f>gastos!C427</f>
        <v>33977547.57</v>
      </c>
      <c r="F212" s="28"/>
    </row>
    <row r="213" spans="2:6">
      <c r="B213" s="256"/>
      <c r="C213" s="256" t="str">
        <f>gastos!A433</f>
        <v>2.3.5.3.1.2.2.2.3</v>
      </c>
      <c r="D213" s="256" t="str">
        <f>gastos!B433</f>
        <v>ingresos volqueta</v>
      </c>
      <c r="E213" s="256">
        <f>gastos!C433</f>
        <v>292336.58</v>
      </c>
      <c r="F213" s="28"/>
    </row>
    <row r="214" spans="2:6">
      <c r="C214" s="388" t="s">
        <v>137</v>
      </c>
      <c r="D214" s="388"/>
      <c r="E214" s="148">
        <f>SUM(E200:E212)</f>
        <v>96727563.569999993</v>
      </c>
      <c r="F214" s="28"/>
    </row>
    <row r="215" spans="2:6">
      <c r="C215" s="159"/>
      <c r="D215" s="159"/>
      <c r="E215" s="180"/>
      <c r="F215" s="28"/>
    </row>
    <row r="216" spans="2:6">
      <c r="C216" s="159"/>
      <c r="D216" s="159"/>
      <c r="E216" s="180"/>
      <c r="F216" s="28"/>
    </row>
    <row r="217" spans="2:6">
      <c r="C217" s="29" t="s">
        <v>1246</v>
      </c>
      <c r="D217" s="159"/>
      <c r="E217" s="180"/>
      <c r="F217" s="28"/>
    </row>
    <row r="218" spans="2:6">
      <c r="B218" s="74" t="s">
        <v>100</v>
      </c>
      <c r="C218" s="276" t="str">
        <f>gastos!A114</f>
        <v>2.3.1.4.4.03</v>
      </c>
      <c r="D218" s="276" t="str">
        <f>gastos!B114</f>
        <v>Zonas Verdes y Parques</v>
      </c>
      <c r="E218" s="276">
        <f>gastos!C114</f>
        <v>0</v>
      </c>
      <c r="F218" s="28"/>
    </row>
    <row r="219" spans="2:6">
      <c r="B219" s="74"/>
      <c r="C219" s="74" t="str">
        <f>gastos!A125</f>
        <v>2.3.1.4.4.16</v>
      </c>
      <c r="D219" s="74" t="str">
        <f>gastos!B125</f>
        <v>Remodelación y ampliación palacio municipal</v>
      </c>
      <c r="E219" s="74">
        <f>gastos!C125</f>
        <v>25664285</v>
      </c>
      <c r="F219" s="28"/>
    </row>
    <row r="220" spans="2:6">
      <c r="B220" s="74"/>
      <c r="C220" s="276" t="str">
        <f>gastos!A126</f>
        <v>2.3.1.4.4.17</v>
      </c>
      <c r="D220" s="276" t="str">
        <f>gastos!B126</f>
        <v>Mantenimiento, ampliacion alumbrado publico</v>
      </c>
      <c r="E220" s="276">
        <f>gastos!C126</f>
        <v>0</v>
      </c>
      <c r="F220" s="28"/>
    </row>
    <row r="221" spans="2:6">
      <c r="B221" s="266" t="s">
        <v>144</v>
      </c>
      <c r="C221" s="266" t="str">
        <f>gastos!A169</f>
        <v>2.3.2.3.3.02.2</v>
      </c>
      <c r="D221" s="266" t="str">
        <f>gastos!B169</f>
        <v>Mantenimiento Y Expansion Del Servicio De Alumbrado Publico</v>
      </c>
      <c r="E221" s="266">
        <f>gastos!C169</f>
        <v>1000000</v>
      </c>
      <c r="F221" s="28"/>
    </row>
    <row r="222" spans="2:6">
      <c r="B222" s="266"/>
      <c r="C222" s="276" t="str">
        <f>gastos!A170</f>
        <v>2.3.2.3.3.02.5</v>
      </c>
      <c r="D222" s="276" t="str">
        <f>gastos!B170</f>
        <v>Construccion, Adecuacion Y Mantenimiento De Infraestructura De Servicios Publicos</v>
      </c>
      <c r="E222" s="276">
        <f>gastos!C170</f>
        <v>0</v>
      </c>
      <c r="F222" s="28"/>
    </row>
    <row r="223" spans="2:6">
      <c r="B223" s="266"/>
      <c r="C223" s="276" t="str">
        <f>gastos!A278</f>
        <v>2.3.2.3.3.10.1</v>
      </c>
      <c r="D223" s="276" t="str">
        <f>gastos!B278</f>
        <v>Preinversion De Infraestructura</v>
      </c>
      <c r="E223" s="276">
        <f>gastos!C278</f>
        <v>0</v>
      </c>
      <c r="F223" s="28"/>
    </row>
    <row r="224" spans="2:6">
      <c r="B224" s="266"/>
      <c r="C224" s="266" t="str">
        <f>gastos!A279</f>
        <v>2.3.2.3.3.10.2</v>
      </c>
      <c r="D224" s="266" t="str">
        <f>gastos!B279</f>
        <v>Construccion De Dependencias De La Administracion</v>
      </c>
      <c r="E224" s="266">
        <f>gastos!C279</f>
        <v>40000000</v>
      </c>
      <c r="F224" s="28"/>
    </row>
    <row r="225" spans="2:6">
      <c r="B225" s="266"/>
      <c r="C225" s="276" t="str">
        <f>gastos!A280</f>
        <v>2.3.2.3.3.10.3</v>
      </c>
      <c r="D225" s="276" t="str">
        <f>gastos!B280</f>
        <v>Mejoramiento Y Mantenimiento De Dependencias De La Administracion</v>
      </c>
      <c r="E225" s="276">
        <f>gastos!C280</f>
        <v>0</v>
      </c>
      <c r="F225" s="28"/>
    </row>
    <row r="226" spans="2:6">
      <c r="B226" s="266"/>
      <c r="C226" s="276" t="str">
        <f>gastos!A281</f>
        <v>2.3.2.3.3.10.4</v>
      </c>
      <c r="D226" s="276" t="str">
        <f>gastos!B281</f>
        <v>Construccion De Plazas De Mercado, Mataderos, Cementerios, Parques, Andenes Y Mobiliarios Del Espacio Publico</v>
      </c>
      <c r="E226" s="276">
        <f>gastos!C281</f>
        <v>0</v>
      </c>
      <c r="F226" s="189"/>
    </row>
    <row r="227" spans="2:6">
      <c r="B227" s="266"/>
      <c r="C227" s="276" t="str">
        <f>gastos!A282</f>
        <v>2.3.2.3.3.10.5</v>
      </c>
      <c r="D227" s="276" t="str">
        <f>gastos!B282</f>
        <v>Mejoramiento Y Mantenimiento De Plazas De Mercado, Mataderos, Cementerios, Parques, Andenes Y Mobiliarios Del Espacio Publico</v>
      </c>
      <c r="E227" s="276">
        <f>gastos!C282</f>
        <v>0</v>
      </c>
      <c r="F227" s="28"/>
    </row>
    <row r="228" spans="2:6">
      <c r="B228" s="276"/>
      <c r="C228" s="388" t="s">
        <v>137</v>
      </c>
      <c r="D228" s="388"/>
      <c r="E228" s="148">
        <f>SUM(E218:E227)</f>
        <v>66664285</v>
      </c>
      <c r="F228" s="28"/>
    </row>
    <row r="229" spans="2:6">
      <c r="B229" s="276"/>
      <c r="C229" s="276"/>
      <c r="D229" s="276"/>
      <c r="E229" s="276"/>
      <c r="F229" s="28"/>
    </row>
    <row r="230" spans="2:6">
      <c r="B230" s="276"/>
      <c r="C230" s="276"/>
      <c r="D230" s="276"/>
      <c r="E230" s="276"/>
      <c r="F230" s="28"/>
    </row>
    <row r="231" spans="2:6">
      <c r="C231" s="29" t="s">
        <v>1249</v>
      </c>
      <c r="D231" s="159"/>
      <c r="E231" s="180"/>
      <c r="F231" s="28"/>
    </row>
    <row r="232" spans="2:6">
      <c r="B232" s="74" t="s">
        <v>100</v>
      </c>
      <c r="C232" s="276" t="str">
        <f>gastos!A165</f>
        <v>2.3.2.3.3.01.1</v>
      </c>
      <c r="D232" s="276" t="str">
        <f>gastos!B165</f>
        <v>Promocion De Asociaciones Y Alianzas Para El Desarrollo Empresarial E Industrial</v>
      </c>
      <c r="E232" s="276">
        <f>gastos!C165</f>
        <v>6500000</v>
      </c>
      <c r="F232" s="28"/>
    </row>
    <row r="233" spans="2:6">
      <c r="B233" s="74"/>
      <c r="C233" s="276" t="str">
        <f>gastos!A166</f>
        <v>2.3.2.3.3.01.4</v>
      </c>
      <c r="D233" s="276" t="str">
        <f>gastos!B166</f>
        <v>Asistencia Tecnica En Procesos De Produccion, Distribucion Y Comercializacion Y Acceso A Fuentes De Financiacion</v>
      </c>
      <c r="E233" s="276">
        <f>gastos!C166</f>
        <v>0</v>
      </c>
      <c r="F233" s="28"/>
    </row>
    <row r="234" spans="2:6">
      <c r="B234" s="266" t="s">
        <v>144</v>
      </c>
      <c r="C234" s="276" t="str">
        <f>gastos!A292</f>
        <v>2.3.2.3.3.14.1</v>
      </c>
      <c r="D234" s="276" t="str">
        <f>gastos!B292</f>
        <v>Programas De Capacitacion, Asesoria Y Asistencia Tecnica Para Consolidar Procesos De Participacion Ciudadana Y Control Social</v>
      </c>
      <c r="E234" s="276">
        <f>gastos!C292</f>
        <v>0</v>
      </c>
      <c r="F234" s="28"/>
    </row>
    <row r="235" spans="2:6">
      <c r="B235" s="266"/>
      <c r="C235" s="276" t="str">
        <f>gastos!A293</f>
        <v>2.3.2.3.3.14.2</v>
      </c>
      <c r="D235" s="276" t="str">
        <f>gastos!B293</f>
        <v>Procesos De Eleccion De Ciudadanos A Los Espacios De Participacion Ciudadana</v>
      </c>
      <c r="E235" s="276">
        <f>gastos!C293</f>
        <v>0</v>
      </c>
      <c r="F235" s="28"/>
    </row>
    <row r="236" spans="2:6">
      <c r="B236" s="266"/>
      <c r="C236" s="276" t="str">
        <f>gastos!A294</f>
        <v>2.3.2.3.3.14.3</v>
      </c>
      <c r="D236" s="276" t="str">
        <f>gastos!B294</f>
        <v>Consejo territorial de planeacion</v>
      </c>
      <c r="E236" s="276">
        <f>gastos!C294</f>
        <v>0</v>
      </c>
      <c r="F236" s="28"/>
    </row>
    <row r="237" spans="2:6">
      <c r="B237" s="266"/>
      <c r="C237" s="276" t="str">
        <f>gastos!A295</f>
        <v>2.3.2.3.3.14.4</v>
      </c>
      <c r="D237" s="276" t="str">
        <f>gastos!B295</f>
        <v>Capacitacion A La Comunidad Sobre Participacion En La Gestion Publica</v>
      </c>
      <c r="E237" s="276">
        <f>gastos!C295</f>
        <v>0</v>
      </c>
      <c r="F237" s="28"/>
    </row>
    <row r="238" spans="2:6">
      <c r="B238" s="266"/>
      <c r="C238" s="276"/>
      <c r="D238" s="276"/>
      <c r="E238" s="276"/>
      <c r="F238" s="28"/>
    </row>
    <row r="239" spans="2:6">
      <c r="B239" s="276"/>
      <c r="C239" s="388" t="s">
        <v>137</v>
      </c>
      <c r="D239" s="388"/>
      <c r="E239" s="148">
        <f>SUM(E224:E233)</f>
        <v>113164285</v>
      </c>
      <c r="F239" s="28"/>
    </row>
    <row r="240" spans="2:6">
      <c r="C240" s="159"/>
      <c r="D240" s="159"/>
      <c r="E240" s="180"/>
      <c r="F240" s="28"/>
    </row>
    <row r="241" spans="2:6">
      <c r="C241" s="159"/>
      <c r="D241" s="159"/>
      <c r="E241" s="180"/>
      <c r="F241" s="28"/>
    </row>
    <row r="242" spans="2:6">
      <c r="C242" s="146"/>
      <c r="D242" s="146"/>
      <c r="E242" s="146"/>
      <c r="F242" s="28"/>
    </row>
    <row r="243" spans="2:6">
      <c r="C243" s="146"/>
      <c r="D243" s="146"/>
      <c r="E243" s="146"/>
      <c r="F243" s="28"/>
    </row>
    <row r="244" spans="2:6">
      <c r="B244" s="151" t="str">
        <f>B4</f>
        <v>EJE AMBIENTAL</v>
      </c>
      <c r="C244" s="29" t="s">
        <v>26</v>
      </c>
      <c r="D244" s="146"/>
      <c r="E244" s="146"/>
      <c r="F244" s="28"/>
    </row>
    <row r="245" spans="2:6">
      <c r="B245" s="74" t="s">
        <v>100</v>
      </c>
      <c r="C245" s="74" t="str">
        <f>gastos!A106</f>
        <v>2.3.1.4.1.1</v>
      </c>
      <c r="D245" s="74" t="str">
        <f>gastos!B106</f>
        <v>Compra predios art. 111 ley 99/93</v>
      </c>
      <c r="E245" s="74">
        <f>gastos!C106</f>
        <v>4500000</v>
      </c>
      <c r="F245" s="28"/>
    </row>
    <row r="246" spans="2:6">
      <c r="B246" s="74"/>
      <c r="C246" s="74" t="str">
        <f>gastos!A117</f>
        <v>2.3.1.4.4.06</v>
      </c>
      <c r="D246" s="74" t="str">
        <f>gastos!B117</f>
        <v>Prevención y Atención de Desastres</v>
      </c>
      <c r="E246" s="74">
        <f>gastos!C117</f>
        <v>1426000</v>
      </c>
      <c r="F246" s="28"/>
    </row>
    <row r="247" spans="2:6">
      <c r="B247" s="255" t="s">
        <v>1247</v>
      </c>
      <c r="C247" s="241" t="str">
        <f>gastos!A172</f>
        <v>2.3.2.3.3.03.02</v>
      </c>
      <c r="D247" s="241" t="str">
        <f>gastos!B172</f>
        <v>Disposicion, Eliminacion Y Reciclaje De Residuos Liquidos Y Solidos</v>
      </c>
      <c r="E247" s="241">
        <f>gastos!C172</f>
        <v>0</v>
      </c>
      <c r="F247" s="28"/>
    </row>
    <row r="248" spans="2:6">
      <c r="B248" s="75"/>
      <c r="C248" s="241" t="str">
        <f>gastos!A173</f>
        <v>2.3.2.3.3.03.04</v>
      </c>
      <c r="D248" s="241" t="str">
        <f>gastos!B173</f>
        <v>Manejo Y Aprovechamiento De Cuencas Y Microcuencas Hidrograficas</v>
      </c>
      <c r="E248" s="241">
        <f>gastos!C173</f>
        <v>0</v>
      </c>
      <c r="F248" s="28"/>
    </row>
    <row r="249" spans="2:6">
      <c r="B249" s="75"/>
      <c r="C249" s="241" t="str">
        <f>gastos!A174</f>
        <v>2.3.2.3.3.03.05</v>
      </c>
      <c r="D249" s="241" t="str">
        <f>gastos!B174</f>
        <v>Conservacion De Microcuencas Que Abastecen El Acueducto, Proteccion De Fuentes Y Reforestacion De Dichas Cuencas</v>
      </c>
      <c r="E249" s="241">
        <f>gastos!C174</f>
        <v>0</v>
      </c>
      <c r="F249" s="28"/>
    </row>
    <row r="250" spans="2:6">
      <c r="B250" s="75"/>
      <c r="C250" s="241" t="str">
        <f>gastos!A175</f>
        <v>2.3.2.3.3.03.06</v>
      </c>
      <c r="D250" s="241" t="str">
        <f>gastos!B175</f>
        <v>Educacion Ambiental No Formal</v>
      </c>
      <c r="E250" s="241">
        <f>gastos!C175</f>
        <v>0</v>
      </c>
      <c r="F250" s="28"/>
    </row>
    <row r="251" spans="2:6">
      <c r="B251" s="75"/>
      <c r="C251" s="241" t="str">
        <f>gastos!A176</f>
        <v>2.3.2.3.3.03.08</v>
      </c>
      <c r="D251" s="241" t="str">
        <f>gastos!B176</f>
        <v>Conservacion, Proteccion, Restauracion Y Aprovechamiento De Recursos Naturales Y Del Medio Ambiente</v>
      </c>
      <c r="E251" s="241">
        <f>gastos!C176</f>
        <v>0</v>
      </c>
      <c r="F251" s="28"/>
    </row>
    <row r="252" spans="2:6">
      <c r="B252" s="75"/>
      <c r="C252" s="241" t="str">
        <f>gastos!A177</f>
        <v>2.3.2.3.3.03.09</v>
      </c>
      <c r="D252" s="241" t="str">
        <f>gastos!B177</f>
        <v>Adquisicion De Predios De Reserva Hidrica Y Zonas De Reserva Naturales</v>
      </c>
      <c r="E252" s="241">
        <f>gastos!C177</f>
        <v>0</v>
      </c>
      <c r="F252" s="28"/>
    </row>
    <row r="253" spans="2:6">
      <c r="B253" s="75"/>
      <c r="C253" s="241" t="str">
        <f>gastos!A178</f>
        <v>2.3.2.3.3.03.11</v>
      </c>
      <c r="D253" s="241" t="str">
        <f>gastos!B178</f>
        <v>Financiacion, Promocion Y Ejecucion De Proyectos Relacionados Con La Reforestacion</v>
      </c>
      <c r="E253" s="241">
        <f>gastos!C178</f>
        <v>0</v>
      </c>
      <c r="F253" s="28"/>
    </row>
    <row r="254" spans="2:6">
      <c r="B254" s="75"/>
      <c r="C254" s="75" t="str">
        <f>gastos!A272</f>
        <v>2.3.2.3.3.09.06</v>
      </c>
      <c r="D254" s="75" t="str">
        <f>gastos!B272</f>
        <v>Atencion De Desastres</v>
      </c>
      <c r="E254" s="75">
        <f>gastos!C272</f>
        <v>12000000</v>
      </c>
      <c r="F254" s="28"/>
    </row>
    <row r="255" spans="2:6">
      <c r="B255" s="75"/>
      <c r="C255" s="75" t="str">
        <f>gastos!A273</f>
        <v>2.3.2.3.3.09.07</v>
      </c>
      <c r="D255" s="75" t="str">
        <f>gastos!B273</f>
        <v>Fortalecimiento De Los Comites De Prevencion Y Atencion De Desastres</v>
      </c>
      <c r="E255" s="75">
        <f>gastos!C273</f>
        <v>2000000</v>
      </c>
      <c r="F255" s="28"/>
    </row>
    <row r="256" spans="2:6">
      <c r="B256" s="75"/>
      <c r="C256" s="75" t="str">
        <f>gastos!A274</f>
        <v>2.3.2.3.3.09.09</v>
      </c>
      <c r="D256" s="75" t="str">
        <f>gastos!B274</f>
        <v>Educacion Para La Prevencion Y Atencion De Desastres</v>
      </c>
      <c r="E256" s="75">
        <f>gastos!C274</f>
        <v>6000000</v>
      </c>
      <c r="F256" s="28"/>
    </row>
    <row r="257" spans="2:6">
      <c r="B257" s="75"/>
      <c r="C257" s="241" t="str">
        <f>gastos!A275</f>
        <v>2.3.2.3.3.09.10</v>
      </c>
      <c r="D257" s="241" t="str">
        <f>gastos!B275</f>
        <v>Inversiones En Infraestructura Fisica Para Prevencion Y Reforzamiento Estructural.</v>
      </c>
      <c r="E257" s="241">
        <f>gastos!C275</f>
        <v>0</v>
      </c>
      <c r="F257" s="28"/>
    </row>
    <row r="258" spans="2:6">
      <c r="B258" s="75"/>
      <c r="C258" s="75" t="str">
        <f>gastos!A276</f>
        <v>2.3.2.3.3.09.12</v>
      </c>
      <c r="D258" s="75" t="str">
        <f>gastos!B276</f>
        <v>Contratos Celebrados Con Cuerpos De Bomberos Voluntarios Para La Prevencion Y Control De Incendios</v>
      </c>
      <c r="E258" s="75">
        <f>gastos!C276</f>
        <v>15000000</v>
      </c>
      <c r="F258" s="28"/>
    </row>
    <row r="259" spans="2:6">
      <c r="B259" s="299" t="s">
        <v>1248</v>
      </c>
      <c r="C259" s="278" t="str">
        <f>gastos!A298</f>
        <v>2.3.2.4.1.01</v>
      </c>
      <c r="D259" s="278" t="str">
        <f>gastos!B298</f>
        <v>Subsidios - Fondo De Solidaridad Y Predistribucion Del Ingreso</v>
      </c>
      <c r="E259" s="278">
        <f>gastos!C298</f>
        <v>31333254.100000001</v>
      </c>
      <c r="F259" s="28"/>
    </row>
    <row r="260" spans="2:6">
      <c r="B260" s="261"/>
      <c r="C260" s="278" t="str">
        <f>gastos!A299</f>
        <v>2.3.2.4.1.02</v>
      </c>
      <c r="D260" s="278" t="str">
        <f>gastos!B299</f>
        <v>Preinversion En Diseño</v>
      </c>
      <c r="E260" s="278">
        <f>gastos!C299</f>
        <v>14000000</v>
      </c>
      <c r="F260" s="28"/>
    </row>
    <row r="261" spans="2:6">
      <c r="B261" s="261"/>
      <c r="C261" s="278" t="str">
        <f>gastos!A300</f>
        <v>2.3.2.4.1.04</v>
      </c>
      <c r="D261" s="278" t="str">
        <f>gastos!B300</f>
        <v>Diseño E Implantacion De Esquemas Organizacionales Para La Administracion Y Operacion De Sistemas De Acueducto</v>
      </c>
      <c r="E261" s="278">
        <f>gastos!C300</f>
        <v>0</v>
      </c>
      <c r="F261" s="28"/>
    </row>
    <row r="262" spans="2:6">
      <c r="B262" s="261"/>
      <c r="C262" s="278" t="str">
        <f>gastos!A301</f>
        <v>2.3.2.4.1.05</v>
      </c>
      <c r="D262" s="278" t="str">
        <f>gastos!B301</f>
        <v>Construccion De Sistemas De Acueducto (Excepto Obras Para El Tratamiento De Agua Potable)</v>
      </c>
      <c r="E262" s="278">
        <f>gastos!C301</f>
        <v>0</v>
      </c>
      <c r="F262" s="28"/>
    </row>
    <row r="263" spans="2:6">
      <c r="B263" s="261"/>
      <c r="C263" s="278" t="str">
        <f>gastos!A302</f>
        <v>2.3.2.4.1.06</v>
      </c>
      <c r="D263" s="278" t="str">
        <f>gastos!B302</f>
        <v>Construccion, Mantenimiento y Reparación De Sistemas De Potabilizacion Del Agua</v>
      </c>
      <c r="E263" s="278">
        <f>gastos!C302</f>
        <v>20000000</v>
      </c>
      <c r="F263" s="28"/>
    </row>
    <row r="264" spans="2:6">
      <c r="B264" s="261"/>
      <c r="C264" s="261" t="str">
        <f>gastos!A303</f>
        <v>2.3.2.4.1.07</v>
      </c>
      <c r="D264" s="261" t="str">
        <f>gastos!B303</f>
        <v>Ampliacion De Sistemas De Acueducto</v>
      </c>
      <c r="E264" s="330">
        <f>gastos!C303</f>
        <v>22345206.620000001</v>
      </c>
      <c r="F264" s="28"/>
    </row>
    <row r="265" spans="2:6">
      <c r="B265" s="261"/>
      <c r="C265" s="278" t="str">
        <f>gastos!A304</f>
        <v>2.3.2.4.1.09</v>
      </c>
      <c r="D265" s="278" t="str">
        <f>gastos!B304</f>
        <v>Rehabilitacion De Sistemas De Acueducto</v>
      </c>
      <c r="E265" s="278">
        <f>gastos!C304</f>
        <v>0</v>
      </c>
      <c r="F265" s="28"/>
    </row>
    <row r="266" spans="2:6">
      <c r="B266" s="261"/>
      <c r="C266" s="278" t="str">
        <f>gastos!A305</f>
        <v>2.3.2.4.1.11</v>
      </c>
      <c r="D266" s="278" t="str">
        <f>gastos!B305</f>
        <v>Programas De Macro Y Micro Medicion</v>
      </c>
      <c r="E266" s="278">
        <f>gastos!C305</f>
        <v>0</v>
      </c>
      <c r="F266" s="28"/>
    </row>
    <row r="267" spans="2:6">
      <c r="B267" s="261"/>
      <c r="C267" s="278" t="str">
        <f>gastos!A306</f>
        <v>2.3.2.4.1.12</v>
      </c>
      <c r="D267" s="278" t="str">
        <f>gastos!B306</f>
        <v>Programas De Reduccion De Agua No Contabilizada</v>
      </c>
      <c r="E267" s="278">
        <f>gastos!C306</f>
        <v>0</v>
      </c>
      <c r="F267" s="28"/>
    </row>
    <row r="268" spans="2:6">
      <c r="B268" s="261"/>
      <c r="C268" s="261" t="str">
        <f>gastos!A307</f>
        <v>2.3.2.4.1.13</v>
      </c>
      <c r="D268" s="261" t="str">
        <f>gastos!B307</f>
        <v>Equipos Requeridos Para La Operacion De Los Sistemas De Acueducto</v>
      </c>
      <c r="E268" s="261">
        <f>gastos!C307</f>
        <v>9000000</v>
      </c>
      <c r="F268" s="28"/>
    </row>
    <row r="269" spans="2:6">
      <c r="B269" s="261"/>
      <c r="C269" s="261" t="str">
        <f>gastos!A308</f>
        <v>2.3.2.4.1.14</v>
      </c>
      <c r="D269" s="261" t="str">
        <f>gastos!B308</f>
        <v>Soluciones Alternas De Acueducto</v>
      </c>
      <c r="E269" s="261">
        <f>gastos!C308</f>
        <v>7000000</v>
      </c>
      <c r="F269" s="28"/>
    </row>
    <row r="270" spans="2:6">
      <c r="B270" s="261"/>
      <c r="C270" s="278" t="str">
        <f>gastos!A310</f>
        <v>2.3.2.4.2.01</v>
      </c>
      <c r="D270" s="278" t="str">
        <f>gastos!B310</f>
        <v>Subsidios - Fondo De Solidaridad Y Redistribucion Del Ingreso - Alcantarillado</v>
      </c>
      <c r="E270" s="278">
        <f>gastos!C310</f>
        <v>11393910.58</v>
      </c>
      <c r="F270" s="28"/>
    </row>
    <row r="271" spans="2:6">
      <c r="B271" s="261"/>
      <c r="C271" s="261" t="str">
        <f>gastos!A311</f>
        <v>2.3.2.4.2.02</v>
      </c>
      <c r="D271" s="261" t="str">
        <f>gastos!B311</f>
        <v>Preinversion En Diseño</v>
      </c>
      <c r="E271" s="330">
        <f>gastos!C311</f>
        <v>7100000</v>
      </c>
      <c r="F271" s="28"/>
    </row>
    <row r="272" spans="2:6">
      <c r="B272" s="261"/>
      <c r="C272" s="278" t="str">
        <f>gastos!A312</f>
        <v>2.3.2.4.2.04</v>
      </c>
      <c r="D272" s="278" t="str">
        <f>gastos!B312</f>
        <v>Diseño E Implantacion De Esquemas Organizacionales Para La Administracion Y Operacion De Sistemas De Alcantarillado</v>
      </c>
      <c r="E272" s="278">
        <f>gastos!C312</f>
        <v>0</v>
      </c>
      <c r="F272" s="28"/>
    </row>
    <row r="273" spans="2:6">
      <c r="B273" s="261"/>
      <c r="C273" s="261" t="str">
        <f>gastos!A313</f>
        <v>2.3.2.4.2.08</v>
      </c>
      <c r="D273" s="261" t="str">
        <f>gastos!B313</f>
        <v>Ampliacion De Sistemas de alcantarillado sanitario</v>
      </c>
      <c r="E273" s="261">
        <f>gastos!C313</f>
        <v>12604335.470000001</v>
      </c>
      <c r="F273" s="28"/>
    </row>
    <row r="274" spans="2:6">
      <c r="B274" s="261"/>
      <c r="C274" s="278" t="str">
        <f>gastos!A314</f>
        <v>2.3.2.4.2.11</v>
      </c>
      <c r="D274" s="278" t="str">
        <f>gastos!B314</f>
        <v>Rehabilitacion De Sistemas De Alcantarillado Sanitario</v>
      </c>
      <c r="E274" s="278">
        <f>gastos!C314</f>
        <v>0</v>
      </c>
      <c r="F274" s="28"/>
    </row>
    <row r="275" spans="2:6">
      <c r="B275" s="261"/>
      <c r="C275" s="261" t="str">
        <f>gastos!A315</f>
        <v>2.3.2.4.2.12</v>
      </c>
      <c r="D275" s="261" t="str">
        <f>gastos!B315</f>
        <v>Rehabilitacion De Sistemas De Tratamiento De Aguas Residuales</v>
      </c>
      <c r="E275" s="261">
        <f>gastos!C315</f>
        <v>15000000</v>
      </c>
      <c r="F275" s="28"/>
    </row>
    <row r="276" spans="2:6">
      <c r="B276" s="261"/>
      <c r="C276" s="278" t="str">
        <f>gastos!A316</f>
        <v>2.3.2.4.2.13</v>
      </c>
      <c r="D276" s="278" t="str">
        <f>gastos!B316</f>
        <v>Construcción y Rehabilitacion De Sistemas De Alcantarillado Pluvial</v>
      </c>
      <c r="E276" s="278">
        <f>gastos!C316</f>
        <v>12634575</v>
      </c>
      <c r="F276" s="28"/>
    </row>
    <row r="277" spans="2:6">
      <c r="B277" s="261"/>
      <c r="C277" s="278" t="str">
        <f>gastos!A317</f>
        <v>2.3.2.4.2.16</v>
      </c>
      <c r="D277" s="278" t="str">
        <f>gastos!B317</f>
        <v>Soluciones Alternas De Alcantarillado</v>
      </c>
      <c r="E277" s="278">
        <f>gastos!C317</f>
        <v>0</v>
      </c>
      <c r="F277" s="28"/>
    </row>
    <row r="278" spans="2:6">
      <c r="B278" s="261"/>
      <c r="C278" s="278" t="str">
        <f>gastos!A318</f>
        <v>2.3.2.4.2.17</v>
      </c>
      <c r="D278" s="278" t="str">
        <f>gastos!B318</f>
        <v>Unidades Sanitarias</v>
      </c>
      <c r="E278" s="278">
        <f>gastos!C318</f>
        <v>0</v>
      </c>
      <c r="F278" s="28"/>
    </row>
    <row r="279" spans="2:6">
      <c r="B279" s="261"/>
      <c r="C279" s="278" t="str">
        <f>gastos!A319</f>
        <v>2.3.2.4.2.18</v>
      </c>
      <c r="D279" s="278" t="str">
        <f>gastos!B319</f>
        <v>Plan De Saneamiento Y Manejo De Vertimientos (Psmv)</v>
      </c>
      <c r="E279" s="278">
        <f>gastos!C319</f>
        <v>0</v>
      </c>
      <c r="F279" s="28"/>
    </row>
    <row r="280" spans="2:6">
      <c r="B280" s="261"/>
      <c r="C280" s="278" t="str">
        <f>gastos!A321</f>
        <v>2.3.2.4.3.1</v>
      </c>
      <c r="D280" s="278" t="str">
        <f>gastos!B321</f>
        <v>Subsidios - Fondo De Solidaridad Y Redistribucion Del Ingreso - Aseo</v>
      </c>
      <c r="E280" s="278">
        <f>gastos!C321</f>
        <v>14242388.23</v>
      </c>
      <c r="F280" s="28"/>
    </row>
    <row r="281" spans="2:6">
      <c r="B281" s="261"/>
      <c r="C281" s="278" t="str">
        <f>gastos!A322</f>
        <v>2.3.2.4.3.2</v>
      </c>
      <c r="D281" s="278" t="str">
        <f>gastos!B322</f>
        <v>Preinversion En Diseño</v>
      </c>
      <c r="E281" s="278">
        <f>gastos!C322</f>
        <v>0</v>
      </c>
      <c r="F281" s="28"/>
    </row>
    <row r="282" spans="2:6">
      <c r="B282" s="261"/>
      <c r="C282" s="278" t="str">
        <f>gastos!A323</f>
        <v>2.3.2.4.3.4</v>
      </c>
      <c r="D282" s="278" t="str">
        <f>gastos!B323</f>
        <v>Diseño E Implantacion De Esquemas Organizacionales Para La Administracion Y Operacion Del Servicio De Aseo</v>
      </c>
      <c r="E282" s="278">
        <f>gastos!C323</f>
        <v>0</v>
      </c>
      <c r="F282" s="28"/>
    </row>
    <row r="283" spans="2:6">
      <c r="B283" s="261"/>
      <c r="C283" s="261" t="str">
        <f>gastos!A324</f>
        <v>2.3.2.4.3.5</v>
      </c>
      <c r="D283" s="261" t="str">
        <f>gastos!B324</f>
        <v>Recoleccion, Tratamiento Y Disposicion Final De Residuos Solidos</v>
      </c>
      <c r="E283" s="261">
        <f>gastos!C324</f>
        <v>10000000</v>
      </c>
      <c r="F283" s="28"/>
    </row>
    <row r="284" spans="2:6">
      <c r="B284" s="261"/>
      <c r="C284" s="278" t="str">
        <f>gastos!A325</f>
        <v>2.3.2.4.3.6</v>
      </c>
      <c r="D284" s="278" t="str">
        <f>gastos!B325</f>
        <v>Construccion De Nuevos Sistemas De Disposicion Final</v>
      </c>
      <c r="E284" s="278">
        <f>gastos!C325</f>
        <v>0</v>
      </c>
      <c r="F284" s="28"/>
    </row>
    <row r="285" spans="2:6">
      <c r="B285" s="261"/>
      <c r="C285" s="261" t="str">
        <f>gastos!A326</f>
        <v>2.3.2.4.3.7</v>
      </c>
      <c r="D285" s="261" t="str">
        <f>gastos!B326</f>
        <v>Proyectos De Gestion Integral De Residuos Solidos</v>
      </c>
      <c r="E285" s="261">
        <f>gastos!C326</f>
        <v>8000000</v>
      </c>
      <c r="F285" s="28"/>
    </row>
    <row r="286" spans="2:6">
      <c r="B286" s="261"/>
      <c r="C286" s="75" t="str">
        <f>gastos!A327</f>
        <v>2.3.2.4.3.8</v>
      </c>
      <c r="D286" s="75" t="str">
        <f>gastos!B327</f>
        <v>Plan De Gestion Integral De Residuos Solidos (Pgirs)</v>
      </c>
      <c r="E286" s="75">
        <f>gastos!C327</f>
        <v>16000000</v>
      </c>
      <c r="F286" s="28"/>
    </row>
    <row r="287" spans="2:6">
      <c r="B287" s="261"/>
      <c r="C287" s="278" t="str">
        <f>gastos!A328</f>
        <v>2.3.2.4.4</v>
      </c>
      <c r="D287" s="278" t="str">
        <f>gastos!B328</f>
        <v>Construccion, Recuperacion Y Mantenimiento De Obras De Saneamiento Basico Rural</v>
      </c>
      <c r="E287" s="278">
        <f>gastos!C328</f>
        <v>56000000</v>
      </c>
      <c r="F287" s="28"/>
    </row>
    <row r="288" spans="2:6">
      <c r="B288" s="261"/>
      <c r="C288" s="261" t="str">
        <f>gastos!A329</f>
        <v>2.3.2.4.5</v>
      </c>
      <c r="D288" s="261" t="str">
        <f>gastos!B329</f>
        <v>Transferencias Para El Plan Departamental De Agua Potable Y Saneamiento Basico</v>
      </c>
      <c r="E288" s="261">
        <f>gastos!C329</f>
        <v>10000000</v>
      </c>
      <c r="F288" s="28"/>
    </row>
    <row r="289" spans="2:6">
      <c r="B289" s="75"/>
      <c r="C289" s="75" t="str">
        <f>gastos!A330</f>
        <v>2.3.2.4.6</v>
      </c>
      <c r="D289" s="75" t="str">
        <f>gastos!B330</f>
        <v>Fortalecimiento Agua Potable y Saneamiento Básico</v>
      </c>
      <c r="E289" s="75">
        <f>gastos!C330</f>
        <v>39100000</v>
      </c>
      <c r="F289" s="28"/>
    </row>
    <row r="290" spans="2:6">
      <c r="B290" s="76" t="s">
        <v>1253</v>
      </c>
      <c r="C290" s="76" t="str">
        <f>gastos!A446</f>
        <v>2.3.5.3.1.2.2.3.7</v>
      </c>
      <c r="D290" s="76" t="str">
        <f>gastos!B446</f>
        <v>Compra predios art. 111 ley 99/93</v>
      </c>
      <c r="E290" s="76">
        <f>gastos!C446</f>
        <v>24178415.43</v>
      </c>
      <c r="F290" s="28"/>
    </row>
    <row r="291" spans="2:6">
      <c r="B291" s="251" t="s">
        <v>1230</v>
      </c>
      <c r="C291" s="276" t="str">
        <f>gastos!A469</f>
        <v>2.3.5.3.3.2.1.3</v>
      </c>
      <c r="D291" s="276" t="str">
        <f>gastos!B469</f>
        <v>Recursos de agua potable y saneamiento básico</v>
      </c>
      <c r="E291" s="276">
        <f>gastos!C469</f>
        <v>460895</v>
      </c>
      <c r="F291" s="190"/>
    </row>
    <row r="292" spans="2:6">
      <c r="B292" s="76" t="s">
        <v>1253</v>
      </c>
      <c r="C292" s="76" t="str">
        <f>gastos!A417</f>
        <v>2.3.5.3.1.2.1.3</v>
      </c>
      <c r="D292" s="76" t="str">
        <f>gastos!B417</f>
        <v>Recursos de agua potable y saneamiento básico</v>
      </c>
      <c r="E292" s="76">
        <f>gastos!C417</f>
        <v>535568.98</v>
      </c>
      <c r="F292" s="28"/>
    </row>
    <row r="293" spans="2:6">
      <c r="B293" s="269" t="s">
        <v>102</v>
      </c>
      <c r="C293" s="269" t="str">
        <f>gastos!A454</f>
        <v>2.3.5.3.2.2.1.3</v>
      </c>
      <c r="D293" s="269" t="str">
        <f>gastos!B454</f>
        <v>Recursos de agua potable y saneamiento básico</v>
      </c>
      <c r="E293" s="269">
        <f>gastos!C454</f>
        <v>194027944.69999999</v>
      </c>
      <c r="F293" s="28"/>
    </row>
    <row r="294" spans="2:6">
      <c r="C294" s="387" t="s">
        <v>137</v>
      </c>
      <c r="D294" s="387"/>
      <c r="E294" s="149">
        <f>SUM(E245:E293)</f>
        <v>575882494.11000001</v>
      </c>
      <c r="F294" s="188"/>
    </row>
    <row r="295" spans="2:6">
      <c r="C295" s="146"/>
      <c r="D295" s="146"/>
      <c r="E295" s="146"/>
      <c r="F295" s="190"/>
    </row>
    <row r="296" spans="2:6">
      <c r="C296" s="146"/>
      <c r="D296" s="146"/>
      <c r="E296" s="146"/>
      <c r="F296" s="28"/>
    </row>
    <row r="297" spans="2:6">
      <c r="B297" s="150" t="s">
        <v>458</v>
      </c>
      <c r="C297" s="150" t="s">
        <v>132</v>
      </c>
      <c r="D297" s="146"/>
      <c r="E297" s="146"/>
      <c r="F297" s="28"/>
    </row>
    <row r="298" spans="2:6">
      <c r="B298" s="74" t="s">
        <v>100</v>
      </c>
      <c r="C298" s="74" t="str">
        <f>gastos!A116</f>
        <v>2.3.1.4.4.05</v>
      </c>
      <c r="D298" s="74" t="str">
        <f>gastos!B116</f>
        <v>Fortalecimiento Institucional</v>
      </c>
      <c r="E298" s="74">
        <f>gastos!C116</f>
        <v>34994553</v>
      </c>
      <c r="F298" s="27" t="s">
        <v>1259</v>
      </c>
    </row>
    <row r="299" spans="2:6">
      <c r="B299" s="74"/>
      <c r="C299" s="74" t="str">
        <f>gastos!A120</f>
        <v>2.3.1.4.4.09</v>
      </c>
      <c r="D299" s="74" t="str">
        <f>gastos!B120</f>
        <v>plataforma tecnologica</v>
      </c>
      <c r="E299" s="74">
        <f>gastos!C120</f>
        <v>13396332</v>
      </c>
      <c r="F299" s="28"/>
    </row>
    <row r="300" spans="2:6">
      <c r="B300" s="74"/>
      <c r="C300" s="278" t="str">
        <f>gastos!A122</f>
        <v>2.3.1.4.4.12</v>
      </c>
      <c r="D300" s="278" t="str">
        <f>gastos!B122</f>
        <v>Archivo en general</v>
      </c>
      <c r="E300" s="278">
        <f>gastos!C122</f>
        <v>0</v>
      </c>
      <c r="F300" s="28"/>
    </row>
    <row r="301" spans="2:6">
      <c r="B301" s="75" t="s">
        <v>144</v>
      </c>
      <c r="C301" s="75" t="str">
        <f>gastos!A245</f>
        <v>2.3.2.3.3.06.01</v>
      </c>
      <c r="D301" s="75" t="str">
        <f>gastos!B245</f>
        <v>Procesos Integrales De Evaluacion Institucional Y Reorganizacion Administrativa</v>
      </c>
      <c r="E301" s="75">
        <f>gastos!C245</f>
        <v>3000000</v>
      </c>
      <c r="F301" s="28"/>
    </row>
    <row r="302" spans="2:6">
      <c r="B302" s="75"/>
      <c r="C302" s="278" t="str">
        <f>gastos!A246</f>
        <v>2.3.2.3.3.06.02</v>
      </c>
      <c r="D302" s="278" t="str">
        <f>gastos!B246</f>
        <v>Programas De Capacitacion Y Asistencia Tecnica Orientados Al Desarrollo Eficiente De Las Competencias De Ley</v>
      </c>
      <c r="E302" s="278">
        <f>gastos!C246</f>
        <v>0</v>
      </c>
      <c r="F302" s="28"/>
    </row>
    <row r="303" spans="2:6">
      <c r="B303" s="75"/>
      <c r="C303" s="278" t="str">
        <f>gastos!A247</f>
        <v>2.3.2.3.3.06.03</v>
      </c>
      <c r="D303" s="278" t="str">
        <f>gastos!B247</f>
        <v>Implementacion estrategias gobierno en linea</v>
      </c>
      <c r="E303" s="278">
        <f>gastos!C247</f>
        <v>0</v>
      </c>
      <c r="F303" s="28"/>
    </row>
    <row r="304" spans="2:6">
      <c r="B304" s="75"/>
      <c r="C304" s="278" t="str">
        <f>gastos!A248</f>
        <v>2.3.2.3.3.06.06</v>
      </c>
      <c r="D304" s="278" t="str">
        <f>gastos!B248</f>
        <v>Saneamiento Contable</v>
      </c>
      <c r="E304" s="278">
        <f>gastos!C248</f>
        <v>0</v>
      </c>
      <c r="F304" s="28"/>
    </row>
    <row r="305" spans="2:6">
      <c r="B305" s="75"/>
      <c r="C305" s="75" t="str">
        <f>gastos!A249</f>
        <v>2.3.2.3.3.06.07</v>
      </c>
      <c r="D305" s="75" t="str">
        <f>gastos!B249</f>
        <v>Estratificacion Socioeconomica</v>
      </c>
      <c r="E305" s="75">
        <f>gastos!C249</f>
        <v>5000000</v>
      </c>
      <c r="F305" s="28"/>
    </row>
    <row r="306" spans="2:6">
      <c r="B306" s="75"/>
      <c r="C306" s="75" t="str">
        <f>gastos!A250</f>
        <v>2.3.2.3.3.06.08</v>
      </c>
      <c r="D306" s="75" t="str">
        <f>gastos!B250</f>
        <v>Actualizacion Catastral</v>
      </c>
      <c r="E306" s="75">
        <f>gastos!C250</f>
        <v>2900000</v>
      </c>
      <c r="F306" s="28"/>
    </row>
    <row r="307" spans="2:6">
      <c r="B307" s="75"/>
      <c r="C307" s="75" t="str">
        <f>gastos!A251</f>
        <v>2.3.2.3.3.06.09</v>
      </c>
      <c r="D307" s="75" t="str">
        <f>gastos!B251</f>
        <v>Elaboracion, Actualizacion, Evaluacion Y Seguimiento Del Plan De Desarrollo</v>
      </c>
      <c r="E307" s="75">
        <f>gastos!C251</f>
        <v>13500000</v>
      </c>
      <c r="F307" s="28"/>
    </row>
    <row r="308" spans="2:6">
      <c r="B308" s="75"/>
      <c r="C308" s="75" t="str">
        <f>gastos!A252</f>
        <v>2.3.2.3.3.06.10</v>
      </c>
      <c r="D308" s="75" t="str">
        <f>gastos!B252</f>
        <v>Elaboracion Y Actualizacion Del Plan De Ordenamiento Territorial</v>
      </c>
      <c r="E308" s="75">
        <f>gastos!C252</f>
        <v>5000000</v>
      </c>
      <c r="F308" s="28"/>
    </row>
    <row r="309" spans="2:6">
      <c r="B309" s="75"/>
      <c r="C309" s="75" t="str">
        <f>gastos!A253</f>
        <v>2.3.2.3.3.06.11</v>
      </c>
      <c r="D309" s="75" t="str">
        <f>gastos!B253</f>
        <v>Depuracion - Avaluo - Propiedad Planta Y Equipo</v>
      </c>
      <c r="E309" s="75">
        <f>gastos!C253</f>
        <v>2000000</v>
      </c>
      <c r="F309" s="28"/>
    </row>
    <row r="310" spans="2:6">
      <c r="B310" s="77"/>
      <c r="C310" s="387" t="s">
        <v>137</v>
      </c>
      <c r="D310" s="387"/>
      <c r="E310" s="149">
        <f>SUM(E298:E309)</f>
        <v>79790885</v>
      </c>
      <c r="F310" s="28"/>
    </row>
    <row r="311" spans="2:6">
      <c r="B311" s="146"/>
      <c r="C311" s="191"/>
      <c r="D311" s="191"/>
      <c r="E311" s="180"/>
      <c r="F311" s="28"/>
    </row>
    <row r="312" spans="2:6">
      <c r="B312" s="146"/>
      <c r="C312" s="191"/>
      <c r="D312" s="191"/>
      <c r="E312" s="180"/>
      <c r="F312" s="28"/>
    </row>
    <row r="313" spans="2:6">
      <c r="B313" s="279" t="s">
        <v>1250</v>
      </c>
      <c r="C313" s="191"/>
      <c r="D313" s="191"/>
      <c r="E313" s="180"/>
      <c r="F313" s="28"/>
    </row>
    <row r="314" spans="2:6">
      <c r="B314" s="74" t="s">
        <v>100</v>
      </c>
      <c r="C314" s="74" t="str">
        <f>gastos!A123</f>
        <v>2.3.1.4.4.13</v>
      </c>
      <c r="D314" s="74" t="str">
        <f>gastos!B123</f>
        <v>Nutricion y seguridad alimentaria</v>
      </c>
      <c r="E314" s="286">
        <f>gastos!C123</f>
        <v>341162</v>
      </c>
      <c r="F314" s="28"/>
    </row>
    <row r="315" spans="2:6">
      <c r="B315" s="74"/>
      <c r="C315" s="264" t="str">
        <f>gastos!A118</f>
        <v>2.3.1.4.4.07</v>
      </c>
      <c r="D315" s="264" t="str">
        <f>gastos!B118</f>
        <v>Preinversion</v>
      </c>
      <c r="E315" s="287">
        <f>gastos!C118</f>
        <v>4000000</v>
      </c>
      <c r="F315" s="28"/>
    </row>
    <row r="316" spans="2:6">
      <c r="B316" s="74"/>
      <c r="C316" s="74" t="str">
        <f>gastos!A119</f>
        <v>2.3.1.4.4.08</v>
      </c>
      <c r="D316" s="74" t="str">
        <f>gastos!B119</f>
        <v>Programa de Bienestar Social y Salud Ocupacional</v>
      </c>
      <c r="E316" s="74">
        <f>gastos!C119</f>
        <v>3000000</v>
      </c>
      <c r="F316" s="28"/>
    </row>
    <row r="317" spans="2:6">
      <c r="B317" s="74"/>
      <c r="C317" s="74" t="str">
        <f>gastos!A121</f>
        <v>2.3.1.4.4.10</v>
      </c>
      <c r="D317" s="74" t="str">
        <f>gastos!B121</f>
        <v>apoyo a la educacion superior</v>
      </c>
      <c r="E317" s="74">
        <f>gastos!C121</f>
        <v>6000000</v>
      </c>
      <c r="F317" s="28"/>
    </row>
    <row r="318" spans="2:6">
      <c r="B318" s="74"/>
      <c r="C318" s="74" t="str">
        <f>gastos!A124</f>
        <v>2.3.1.4.4.14</v>
      </c>
      <c r="D318" s="74" t="str">
        <f>gastos!B124</f>
        <v>Comisaria de familia</v>
      </c>
      <c r="E318" s="74">
        <f>gastos!C124</f>
        <v>3000000</v>
      </c>
      <c r="F318" s="28"/>
    </row>
    <row r="319" spans="2:6">
      <c r="B319" s="75" t="s">
        <v>1251</v>
      </c>
      <c r="C319" s="75" t="str">
        <f>gastos!A285</f>
        <v>2.3.2.3.3.11.3</v>
      </c>
      <c r="D319" s="75" t="str">
        <f>gastos!B285</f>
        <v>Pago De Comisarios De Familia, Medicos, Psicologos Y Trabajadores Sociales De Las Comisarias De Familia</v>
      </c>
      <c r="E319" s="75">
        <f>gastos!C285</f>
        <v>27500000</v>
      </c>
      <c r="F319" s="28"/>
    </row>
    <row r="320" spans="2:6">
      <c r="B320" s="75"/>
      <c r="C320" s="75" t="str">
        <f>gastos!A286</f>
        <v>2.3.2.3.3.11.4</v>
      </c>
      <c r="D320" s="75" t="str">
        <f>gastos!B286</f>
        <v>Sistema De Responsabilidad Penal Para El Adolescente (Srpa)</v>
      </c>
      <c r="E320" s="75">
        <f>gastos!C286</f>
        <v>3000000</v>
      </c>
      <c r="F320" s="28"/>
    </row>
    <row r="321" spans="2:9">
      <c r="B321" s="79" t="s">
        <v>429</v>
      </c>
      <c r="C321" s="79" t="str">
        <f>gastos!A387</f>
        <v>2.3.4.2.1</v>
      </c>
      <c r="D321" s="79" t="str">
        <f>gastos!B387</f>
        <v>Seguridad y Convivencia Pacífica Ciudadada</v>
      </c>
      <c r="E321" s="79">
        <f>gastos!C387</f>
        <v>26177273.870000001</v>
      </c>
      <c r="F321" s="28"/>
    </row>
    <row r="322" spans="2:9">
      <c r="B322" s="79"/>
      <c r="C322" s="278" t="str">
        <f>gastos!A388</f>
        <v>2.3.4.2.2</v>
      </c>
      <c r="D322" s="278" t="str">
        <f>gastos!B388</f>
        <v>Orden público</v>
      </c>
      <c r="E322" s="147">
        <f>gastos!C388</f>
        <v>0</v>
      </c>
      <c r="F322" s="28"/>
    </row>
    <row r="323" spans="2:9">
      <c r="B323" s="282" t="s">
        <v>1252</v>
      </c>
      <c r="C323" s="282" t="str">
        <f>gastos!A409</f>
        <v>2.3.5.2.1.2</v>
      </c>
      <c r="D323" s="282" t="str">
        <f>gastos!B409</f>
        <v>Inversion Recursos Del Credito vigencias anteriores</v>
      </c>
      <c r="E323" s="282">
        <f>gastos!C409</f>
        <v>200369871.91999999</v>
      </c>
      <c r="F323" s="27" t="s">
        <v>1260</v>
      </c>
    </row>
    <row r="324" spans="2:9">
      <c r="B324" s="76" t="s">
        <v>1253</v>
      </c>
      <c r="C324" s="76" t="str">
        <f>gastos!A422</f>
        <v>2.3.5.3.1.2.1.4.4</v>
      </c>
      <c r="D324" s="76" t="str">
        <f>gastos!B422</f>
        <v>Resto libre inversión</v>
      </c>
      <c r="E324" s="76">
        <f>gastos!C422</f>
        <v>45194713.359999999</v>
      </c>
      <c r="F324" s="27" t="s">
        <v>1258</v>
      </c>
    </row>
    <row r="325" spans="2:9">
      <c r="B325" s="76"/>
      <c r="C325" s="76" t="str">
        <f>gastos!A423</f>
        <v>2.3.5.3.1.2.1.5</v>
      </c>
      <c r="D325" s="76" t="str">
        <f>gastos!B423</f>
        <v>Programa de Atención Integral a la Primera Infancia</v>
      </c>
      <c r="E325" s="76">
        <f>gastos!C423</f>
        <v>679419</v>
      </c>
      <c r="F325" s="190"/>
    </row>
    <row r="326" spans="2:9">
      <c r="B326" s="282" t="s">
        <v>1255</v>
      </c>
      <c r="C326" s="282" t="str">
        <f>gastos!A426</f>
        <v>2.3.5.3.1.2.2.1.1</v>
      </c>
      <c r="D326" s="282" t="str">
        <f>gastos!B426</f>
        <v>Presupuesto Participativo</v>
      </c>
      <c r="E326" s="282">
        <f>gastos!C426</f>
        <v>36331260.420000002</v>
      </c>
      <c r="F326" s="190"/>
    </row>
    <row r="327" spans="2:9">
      <c r="B327" s="285"/>
      <c r="C327" s="285" t="str">
        <f>gastos!A427</f>
        <v>2.3.5.3.1.2.2.1.2</v>
      </c>
      <c r="D327" s="285" t="str">
        <f>gastos!B427</f>
        <v>mejoramiento vias FNR</v>
      </c>
      <c r="E327" s="285">
        <f>gastos!C427</f>
        <v>33977547.57</v>
      </c>
      <c r="F327" s="190"/>
    </row>
    <row r="328" spans="2:9">
      <c r="B328" s="285"/>
      <c r="C328" s="285" t="str">
        <f>gastos!A428</f>
        <v>2.3.5.3.1.2.2.1.3</v>
      </c>
      <c r="D328" s="285" t="str">
        <f>gastos!B428</f>
        <v>convenios carder</v>
      </c>
      <c r="E328" s="285">
        <f>gastos!C428</f>
        <v>7853138.7000000002</v>
      </c>
      <c r="F328" s="190"/>
    </row>
    <row r="329" spans="2:9">
      <c r="B329" s="285"/>
      <c r="C329" s="254" t="str">
        <f>gastos!A429</f>
        <v>2.3.5.3.1.2.2.1.4</v>
      </c>
      <c r="D329" s="254" t="str">
        <f>gastos!B429</f>
        <v>otros convenios</v>
      </c>
      <c r="E329" s="288">
        <f>gastos!C429</f>
        <v>36196220.32</v>
      </c>
      <c r="F329" s="190"/>
    </row>
    <row r="330" spans="2:9">
      <c r="B330" s="76" t="s">
        <v>1253</v>
      </c>
      <c r="C330" s="76" t="str">
        <f>gastos!A445</f>
        <v>2.3.5.3.1.2.2.3.6</v>
      </c>
      <c r="D330" s="76" t="str">
        <f>gastos!B445</f>
        <v>Recursos - Alumbrado Publico</v>
      </c>
      <c r="E330" s="76">
        <f>gastos!C445</f>
        <v>1111314</v>
      </c>
      <c r="F330" s="190"/>
    </row>
    <row r="331" spans="2:9">
      <c r="B331" s="77" t="s">
        <v>1254</v>
      </c>
      <c r="C331" s="77" t="str">
        <f>gastos!A449</f>
        <v>2.3.5.3.2.1</v>
      </c>
      <c r="D331" s="77" t="str">
        <f>gastos!B449</f>
        <v>Recursos de libre destinación</v>
      </c>
      <c r="E331" s="77">
        <f>gastos!C449</f>
        <v>50820656</v>
      </c>
      <c r="F331" s="190">
        <v>4</v>
      </c>
    </row>
    <row r="332" spans="2:9">
      <c r="B332" s="77"/>
      <c r="C332" s="77" t="str">
        <f>gastos!A461</f>
        <v>2.3.5.3.2.2.2.1</v>
      </c>
      <c r="D332" s="77" t="str">
        <f>gastos!B461</f>
        <v>Cofinanciación</v>
      </c>
      <c r="E332" s="77">
        <f>gastos!C461</f>
        <v>759129042.04999995</v>
      </c>
      <c r="F332" s="316" t="s">
        <v>1261</v>
      </c>
    </row>
    <row r="333" spans="2:9">
      <c r="B333" s="77"/>
      <c r="C333" s="77" t="str">
        <f>gastos!A462</f>
        <v>2.3.5.3.2.2.2.2</v>
      </c>
      <c r="D333" s="77" t="str">
        <f>gastos!B462</f>
        <v>Fondos Especiales</v>
      </c>
      <c r="E333" s="77">
        <f>gastos!C462</f>
        <v>9570000</v>
      </c>
      <c r="F333" s="28"/>
    </row>
    <row r="334" spans="2:9">
      <c r="B334" s="146"/>
      <c r="C334" s="146"/>
      <c r="D334" s="147"/>
      <c r="E334" s="179"/>
      <c r="F334" s="28"/>
    </row>
    <row r="335" spans="2:9">
      <c r="B335" s="146"/>
      <c r="C335" s="146"/>
      <c r="D335" s="147"/>
      <c r="E335" s="179"/>
      <c r="F335" s="28"/>
    </row>
    <row r="336" spans="2:9">
      <c r="B336" s="279" t="s">
        <v>1274</v>
      </c>
      <c r="C336" s="326" t="str">
        <f>gastos!A372</f>
        <v>2.3.3.03</v>
      </c>
      <c r="D336" s="326" t="str">
        <f>gastos!B372</f>
        <v>Fondo Municipal de Regalías   (Directas)</v>
      </c>
      <c r="E336" s="326">
        <f>gastos!C372</f>
        <v>67146189</v>
      </c>
      <c r="F336" s="28"/>
      <c r="G336" s="327">
        <f>E336*10%</f>
        <v>6714618.9000000004</v>
      </c>
      <c r="H336" s="327">
        <f>E336*90%</f>
        <v>60431570.100000001</v>
      </c>
      <c r="I336" s="327">
        <v>605000</v>
      </c>
    </row>
    <row r="337" spans="2:8">
      <c r="B337" s="146"/>
      <c r="C337" s="326" t="str">
        <f>gastos!A447</f>
        <v>2.3.5.3.1.2.2.4</v>
      </c>
      <c r="D337" s="326" t="str">
        <f>gastos!B447</f>
        <v>Inversión por regalías</v>
      </c>
      <c r="E337" s="326">
        <f>gastos!C447</f>
        <v>866343.8</v>
      </c>
      <c r="F337" s="28"/>
      <c r="G337" s="329">
        <f>G336+H337+E337</f>
        <v>67407532.799999997</v>
      </c>
      <c r="H337" s="328">
        <f>H336-I336</f>
        <v>59826570.100000001</v>
      </c>
    </row>
    <row r="338" spans="2:8">
      <c r="B338" s="146"/>
      <c r="C338" s="146"/>
      <c r="D338" s="147"/>
      <c r="E338" s="179"/>
      <c r="F338" s="28"/>
    </row>
    <row r="339" spans="2:8">
      <c r="C339" s="386" t="s">
        <v>137</v>
      </c>
      <c r="D339" s="386"/>
      <c r="E339" s="183">
        <f>SUM(E314:E334)</f>
        <v>1254251619.21</v>
      </c>
      <c r="F339" s="190">
        <f>E339-INSTITUCIONAL!O36</f>
        <v>1150654826.24</v>
      </c>
    </row>
    <row r="340" spans="2:8">
      <c r="C340" s="146"/>
      <c r="D340" s="146"/>
      <c r="E340" s="179"/>
      <c r="F340" s="28"/>
    </row>
    <row r="341" spans="2:8">
      <c r="C341" s="146"/>
      <c r="D341" s="146"/>
      <c r="E341" s="179"/>
      <c r="F341" s="28"/>
    </row>
    <row r="342" spans="2:8">
      <c r="C342" s="384"/>
      <c r="D342" s="384"/>
      <c r="E342" s="179"/>
      <c r="F342" s="28"/>
    </row>
    <row r="343" spans="2:8">
      <c r="C343" s="146"/>
      <c r="D343" s="146"/>
      <c r="E343" s="146"/>
      <c r="F343" s="28"/>
    </row>
    <row r="344" spans="2:8">
      <c r="C344" s="146"/>
      <c r="D344" s="146"/>
      <c r="E344" s="146"/>
      <c r="F344" s="28"/>
    </row>
    <row r="345" spans="2:8">
      <c r="C345" s="146"/>
      <c r="D345" s="186"/>
      <c r="E345" s="179"/>
      <c r="F345" s="28"/>
    </row>
    <row r="346" spans="2:8">
      <c r="C346" s="146"/>
      <c r="D346" s="146"/>
      <c r="E346" s="181"/>
      <c r="F346" s="28"/>
    </row>
    <row r="347" spans="2:8">
      <c r="C347" s="146"/>
      <c r="D347" s="146"/>
      <c r="E347" s="146"/>
      <c r="F347" s="28"/>
    </row>
    <row r="348" spans="2:8">
      <c r="C348" s="146"/>
      <c r="D348" s="184"/>
      <c r="E348" s="182"/>
      <c r="F348" s="190"/>
    </row>
    <row r="349" spans="2:8">
      <c r="B349" s="383"/>
      <c r="C349" s="146"/>
      <c r="D349" s="146"/>
      <c r="E349" s="179"/>
      <c r="F349" s="28"/>
    </row>
    <row r="350" spans="2:8">
      <c r="B350" s="383"/>
      <c r="C350" s="146"/>
      <c r="D350" s="146"/>
      <c r="E350" s="179"/>
      <c r="F350" s="28"/>
    </row>
    <row r="351" spans="2:8">
      <c r="B351" s="383"/>
      <c r="C351" s="146"/>
      <c r="D351" s="146"/>
      <c r="E351" s="179"/>
      <c r="F351" s="28"/>
    </row>
    <row r="352" spans="2:8">
      <c r="B352" s="383"/>
      <c r="C352" s="146"/>
      <c r="D352" s="146"/>
      <c r="E352" s="179"/>
      <c r="F352" s="28"/>
    </row>
    <row r="353" spans="2:6">
      <c r="B353" s="383"/>
      <c r="C353" s="146"/>
      <c r="D353" s="146"/>
      <c r="E353" s="179"/>
      <c r="F353" s="28"/>
    </row>
    <row r="354" spans="2:6">
      <c r="B354" s="383"/>
      <c r="C354" s="146"/>
      <c r="D354" s="146"/>
      <c r="E354" s="179"/>
      <c r="F354" s="28"/>
    </row>
    <row r="355" spans="2:6">
      <c r="B355" s="383"/>
      <c r="C355" s="146"/>
      <c r="D355" s="146"/>
      <c r="E355" s="179"/>
      <c r="F355" s="28"/>
    </row>
    <row r="356" spans="2:6">
      <c r="B356" s="383"/>
      <c r="C356" s="146"/>
      <c r="D356" s="146"/>
      <c r="E356" s="179"/>
      <c r="F356" s="28"/>
    </row>
    <row r="357" spans="2:6">
      <c r="B357" s="383"/>
      <c r="C357" s="146"/>
      <c r="D357" s="146"/>
      <c r="E357" s="179"/>
      <c r="F357" s="28"/>
    </row>
    <row r="358" spans="2:6">
      <c r="C358" s="146"/>
      <c r="D358" s="184"/>
      <c r="E358" s="182"/>
      <c r="F358" s="190"/>
    </row>
    <row r="359" spans="2:6">
      <c r="C359" s="146"/>
      <c r="D359" s="146"/>
      <c r="E359" s="179"/>
      <c r="F359" s="190"/>
    </row>
    <row r="360" spans="2:6">
      <c r="C360" s="146"/>
      <c r="D360" s="146"/>
      <c r="E360" s="179"/>
      <c r="F360" s="28"/>
    </row>
    <row r="361" spans="2:6">
      <c r="C361" s="146"/>
      <c r="D361" s="146"/>
      <c r="E361" s="179"/>
      <c r="F361" s="28"/>
    </row>
    <row r="362" spans="2:6">
      <c r="C362" s="146"/>
      <c r="D362" s="146"/>
      <c r="E362" s="179"/>
      <c r="F362" s="28"/>
    </row>
    <row r="363" spans="2:6">
      <c r="C363" s="146"/>
      <c r="D363" s="146"/>
      <c r="E363" s="146"/>
      <c r="F363" s="28"/>
    </row>
    <row r="364" spans="2:6">
      <c r="C364" s="146"/>
      <c r="D364" s="146"/>
      <c r="E364" s="146"/>
      <c r="F364" s="28"/>
    </row>
    <row r="365" spans="2:6">
      <c r="C365" s="146"/>
      <c r="D365" s="146"/>
      <c r="E365" s="146"/>
      <c r="F365" s="28"/>
    </row>
    <row r="366" spans="2:6">
      <c r="C366" s="146"/>
      <c r="D366" s="146"/>
      <c r="E366" s="146"/>
      <c r="F366" s="28"/>
    </row>
    <row r="367" spans="2:6">
      <c r="C367" s="146"/>
      <c r="D367" s="146"/>
      <c r="E367" s="146"/>
      <c r="F367" s="28"/>
    </row>
    <row r="368" spans="2:6">
      <c r="C368" s="146"/>
      <c r="D368" s="146"/>
      <c r="E368" s="146"/>
      <c r="F368" s="28"/>
    </row>
    <row r="369" spans="3:6">
      <c r="C369" s="146"/>
      <c r="D369" s="146"/>
      <c r="E369" s="146"/>
      <c r="F369" s="28"/>
    </row>
    <row r="370" spans="3:6">
      <c r="C370" s="146"/>
      <c r="D370" s="146"/>
      <c r="E370" s="146"/>
      <c r="F370" s="28"/>
    </row>
    <row r="371" spans="3:6">
      <c r="C371" s="146"/>
      <c r="D371" s="146"/>
      <c r="E371" s="146"/>
      <c r="F371" s="28"/>
    </row>
    <row r="372" spans="3:6">
      <c r="C372" s="146"/>
      <c r="D372" s="146"/>
      <c r="E372" s="146"/>
      <c r="F372" s="28"/>
    </row>
    <row r="373" spans="3:6">
      <c r="C373" s="146"/>
      <c r="D373" s="146"/>
      <c r="E373" s="146"/>
      <c r="F373" s="28"/>
    </row>
    <row r="374" spans="3:6">
      <c r="C374" s="146"/>
      <c r="D374" s="146"/>
      <c r="E374" s="146"/>
      <c r="F374" s="28"/>
    </row>
    <row r="375" spans="3:6">
      <c r="C375" s="146"/>
      <c r="D375" s="146"/>
      <c r="E375" s="146"/>
      <c r="F375" s="28"/>
    </row>
    <row r="376" spans="3:6">
      <c r="C376" s="146"/>
      <c r="D376" s="146"/>
      <c r="E376" s="146"/>
      <c r="F376" s="28"/>
    </row>
    <row r="377" spans="3:6">
      <c r="C377" s="146"/>
      <c r="D377" s="146"/>
      <c r="E377" s="146"/>
      <c r="F377" s="28"/>
    </row>
    <row r="378" spans="3:6">
      <c r="C378" s="146"/>
      <c r="D378" s="146"/>
      <c r="E378" s="146"/>
      <c r="F378" s="28"/>
    </row>
    <row r="379" spans="3:6">
      <c r="C379" s="146"/>
      <c r="D379" s="146"/>
      <c r="E379" s="146"/>
      <c r="F379" s="28"/>
    </row>
    <row r="380" spans="3:6">
      <c r="C380" s="146"/>
      <c r="D380" s="146"/>
      <c r="E380" s="146"/>
      <c r="F380" s="28"/>
    </row>
    <row r="381" spans="3:6">
      <c r="C381" s="146"/>
      <c r="D381" s="146"/>
      <c r="E381" s="146"/>
      <c r="F381" s="28"/>
    </row>
    <row r="382" spans="3:6">
      <c r="C382" s="146"/>
      <c r="D382" s="146"/>
      <c r="E382" s="146"/>
      <c r="F382" s="28"/>
    </row>
    <row r="383" spans="3:6">
      <c r="C383" s="146"/>
      <c r="D383" s="146"/>
      <c r="E383" s="146"/>
      <c r="F383" s="28"/>
    </row>
    <row r="384" spans="3:6">
      <c r="C384" s="146"/>
      <c r="D384" s="146"/>
      <c r="E384" s="146"/>
      <c r="F384" s="28"/>
    </row>
    <row r="385" spans="3:6">
      <c r="C385" s="146"/>
      <c r="D385" s="146"/>
      <c r="E385" s="146"/>
      <c r="F385" s="146"/>
    </row>
    <row r="386" spans="3:6">
      <c r="C386" s="146"/>
      <c r="D386" s="146"/>
      <c r="E386" s="146"/>
      <c r="F386" s="146"/>
    </row>
    <row r="387" spans="3:6">
      <c r="C387" s="146"/>
      <c r="D387" s="146"/>
      <c r="E387" s="146"/>
      <c r="F387" s="146"/>
    </row>
    <row r="388" spans="3:6">
      <c r="C388" s="146"/>
      <c r="D388" s="146"/>
      <c r="E388" s="146"/>
      <c r="F388" s="146"/>
    </row>
    <row r="389" spans="3:6">
      <c r="C389" s="146"/>
      <c r="D389" s="146"/>
      <c r="E389" s="146"/>
      <c r="F389" s="146"/>
    </row>
    <row r="390" spans="3:6">
      <c r="C390" s="146"/>
      <c r="D390" s="146"/>
      <c r="E390" s="146"/>
      <c r="F390" s="146"/>
    </row>
    <row r="391" spans="3:6">
      <c r="C391" s="146"/>
      <c r="D391" s="146"/>
      <c r="E391" s="146"/>
      <c r="F391" s="146"/>
    </row>
    <row r="392" spans="3:6">
      <c r="C392" s="146"/>
      <c r="D392" s="146"/>
      <c r="E392" s="146"/>
      <c r="F392" s="146"/>
    </row>
    <row r="393" spans="3:6">
      <c r="C393" s="146"/>
      <c r="D393" s="146"/>
      <c r="E393" s="146"/>
      <c r="F393" s="146"/>
    </row>
    <row r="394" spans="3:6">
      <c r="C394" s="146"/>
      <c r="D394" s="146"/>
      <c r="E394" s="146"/>
      <c r="F394" s="146"/>
    </row>
    <row r="395" spans="3:6">
      <c r="C395" s="146"/>
      <c r="D395" s="146"/>
      <c r="E395" s="146"/>
      <c r="F395" s="146"/>
    </row>
    <row r="396" spans="3:6">
      <c r="C396" s="146"/>
      <c r="D396" s="146"/>
      <c r="E396" s="146"/>
      <c r="F396" s="146"/>
    </row>
    <row r="397" spans="3:6">
      <c r="C397" s="146"/>
      <c r="D397" s="146"/>
      <c r="E397" s="146"/>
      <c r="F397" s="146"/>
    </row>
    <row r="398" spans="3:6">
      <c r="C398" s="146"/>
      <c r="D398" s="146"/>
      <c r="E398" s="146"/>
      <c r="F398" s="146"/>
    </row>
    <row r="399" spans="3:6">
      <c r="C399" s="146"/>
      <c r="D399" s="146"/>
      <c r="E399" s="146"/>
      <c r="F399" s="146"/>
    </row>
    <row r="400" spans="3:6">
      <c r="C400" s="146"/>
      <c r="D400" s="146"/>
      <c r="E400" s="146"/>
      <c r="F400" s="146"/>
    </row>
    <row r="401" spans="3:6">
      <c r="C401" s="146"/>
      <c r="D401" s="146"/>
      <c r="E401" s="146"/>
      <c r="F401" s="146"/>
    </row>
    <row r="402" spans="3:6">
      <c r="C402" s="146"/>
      <c r="D402" s="146"/>
      <c r="E402" s="146"/>
      <c r="F402" s="146"/>
    </row>
    <row r="403" spans="3:6">
      <c r="C403" s="146"/>
      <c r="D403" s="146"/>
      <c r="E403" s="146"/>
      <c r="F403" s="146"/>
    </row>
    <row r="404" spans="3:6">
      <c r="C404" s="146"/>
      <c r="D404" s="146"/>
      <c r="E404" s="146"/>
      <c r="F404" s="146"/>
    </row>
    <row r="405" spans="3:6">
      <c r="C405" s="146"/>
      <c r="D405" s="146"/>
      <c r="E405" s="146"/>
      <c r="F405" s="146"/>
    </row>
    <row r="406" spans="3:6">
      <c r="C406" s="146"/>
      <c r="D406" s="146"/>
      <c r="E406" s="146"/>
      <c r="F406" s="146"/>
    </row>
    <row r="407" spans="3:6">
      <c r="C407" s="146"/>
      <c r="D407" s="146"/>
      <c r="E407" s="146"/>
      <c r="F407" s="146"/>
    </row>
    <row r="408" spans="3:6">
      <c r="C408" s="146"/>
      <c r="D408" s="146"/>
      <c r="E408" s="146"/>
      <c r="F408" s="146"/>
    </row>
    <row r="409" spans="3:6">
      <c r="C409" s="146"/>
      <c r="D409" s="146"/>
      <c r="E409" s="146"/>
      <c r="F409" s="146"/>
    </row>
    <row r="410" spans="3:6">
      <c r="C410" s="146"/>
      <c r="D410" s="146"/>
      <c r="E410" s="146"/>
      <c r="F410" s="146"/>
    </row>
    <row r="411" spans="3:6">
      <c r="C411" s="146"/>
      <c r="D411" s="146"/>
      <c r="E411" s="146"/>
      <c r="F411" s="146"/>
    </row>
    <row r="412" spans="3:6">
      <c r="C412" s="146"/>
      <c r="D412" s="146"/>
      <c r="E412" s="146"/>
      <c r="F412" s="146"/>
    </row>
    <row r="413" spans="3:6">
      <c r="C413" s="146"/>
      <c r="D413" s="146"/>
      <c r="E413" s="146"/>
      <c r="F413" s="146"/>
    </row>
    <row r="414" spans="3:6">
      <c r="C414" s="146"/>
      <c r="D414" s="146"/>
      <c r="E414" s="146"/>
      <c r="F414" s="146"/>
    </row>
    <row r="415" spans="3:6">
      <c r="C415" s="146"/>
      <c r="D415" s="146"/>
      <c r="E415" s="146"/>
      <c r="F415" s="146"/>
    </row>
    <row r="416" spans="3:6">
      <c r="C416" s="146"/>
      <c r="D416" s="146"/>
      <c r="E416" s="146"/>
      <c r="F416" s="146"/>
    </row>
    <row r="417" spans="3:6">
      <c r="C417" s="146"/>
      <c r="D417" s="146"/>
      <c r="E417" s="146"/>
      <c r="F417" s="146"/>
    </row>
    <row r="418" spans="3:6">
      <c r="C418" s="146"/>
      <c r="D418" s="146"/>
      <c r="E418" s="146"/>
      <c r="F418" s="146"/>
    </row>
    <row r="419" spans="3:6">
      <c r="C419" s="146"/>
      <c r="D419" s="146"/>
      <c r="E419" s="146"/>
      <c r="F419" s="146"/>
    </row>
    <row r="420" spans="3:6">
      <c r="C420" s="146"/>
      <c r="D420" s="146"/>
      <c r="E420" s="146"/>
      <c r="F420" s="146"/>
    </row>
    <row r="421" spans="3:6">
      <c r="C421" s="146"/>
      <c r="D421" s="146"/>
      <c r="E421" s="146"/>
      <c r="F421" s="146"/>
    </row>
    <row r="422" spans="3:6">
      <c r="C422" s="146"/>
      <c r="D422" s="146"/>
      <c r="E422" s="146"/>
      <c r="F422" s="146"/>
    </row>
    <row r="423" spans="3:6">
      <c r="C423" s="146"/>
      <c r="D423" s="146"/>
      <c r="E423" s="146"/>
      <c r="F423" s="146"/>
    </row>
    <row r="424" spans="3:6">
      <c r="C424" s="146"/>
      <c r="D424" s="146"/>
      <c r="E424" s="146"/>
      <c r="F424" s="146"/>
    </row>
    <row r="425" spans="3:6">
      <c r="C425" s="146"/>
      <c r="D425" s="146"/>
      <c r="E425" s="146"/>
      <c r="F425" s="146"/>
    </row>
    <row r="426" spans="3:6">
      <c r="C426" s="146"/>
      <c r="D426" s="146"/>
      <c r="E426" s="146"/>
      <c r="F426" s="146"/>
    </row>
    <row r="427" spans="3:6">
      <c r="C427" s="146"/>
      <c r="D427" s="146"/>
      <c r="E427" s="146"/>
      <c r="F427" s="146"/>
    </row>
    <row r="428" spans="3:6">
      <c r="C428" s="146"/>
      <c r="D428" s="146"/>
      <c r="E428" s="146"/>
      <c r="F428" s="146"/>
    </row>
    <row r="429" spans="3:6">
      <c r="C429" s="146"/>
      <c r="D429" s="146"/>
      <c r="E429" s="146"/>
      <c r="F429" s="146"/>
    </row>
    <row r="430" spans="3:6">
      <c r="C430" s="146"/>
      <c r="D430" s="146"/>
      <c r="E430" s="146"/>
      <c r="F430" s="146"/>
    </row>
    <row r="431" spans="3:6">
      <c r="C431" s="146"/>
      <c r="D431" s="146"/>
      <c r="E431" s="146"/>
      <c r="F431" s="146"/>
    </row>
    <row r="432" spans="3:6">
      <c r="C432" s="146"/>
      <c r="D432" s="146"/>
      <c r="E432" s="146"/>
      <c r="F432" s="146"/>
    </row>
    <row r="433" spans="3:6">
      <c r="C433" s="146"/>
      <c r="D433" s="146"/>
      <c r="E433" s="146"/>
      <c r="F433" s="146"/>
    </row>
    <row r="434" spans="3:6">
      <c r="C434" s="146"/>
      <c r="D434" s="146"/>
      <c r="E434" s="146"/>
      <c r="F434" s="146"/>
    </row>
    <row r="435" spans="3:6">
      <c r="C435" s="146"/>
      <c r="D435" s="146"/>
      <c r="E435" s="146"/>
      <c r="F435" s="146"/>
    </row>
    <row r="436" spans="3:6">
      <c r="C436" s="146"/>
      <c r="D436" s="146"/>
      <c r="E436" s="146"/>
      <c r="F436" s="146"/>
    </row>
    <row r="437" spans="3:6">
      <c r="C437" s="146"/>
      <c r="D437" s="146"/>
      <c r="E437" s="146"/>
      <c r="F437" s="146"/>
    </row>
    <row r="438" spans="3:6">
      <c r="C438" s="146"/>
      <c r="D438" s="146"/>
      <c r="E438" s="146"/>
      <c r="F438" s="146"/>
    </row>
    <row r="439" spans="3:6">
      <c r="C439" s="146"/>
      <c r="D439" s="146"/>
      <c r="E439" s="146"/>
      <c r="F439" s="146"/>
    </row>
    <row r="440" spans="3:6">
      <c r="C440" s="146"/>
      <c r="D440" s="146"/>
      <c r="E440" s="146"/>
      <c r="F440" s="146"/>
    </row>
    <row r="441" spans="3:6">
      <c r="C441" s="146"/>
      <c r="D441" s="146"/>
      <c r="E441" s="146"/>
      <c r="F441" s="146"/>
    </row>
    <row r="442" spans="3:6">
      <c r="C442" s="146"/>
      <c r="D442" s="146"/>
      <c r="E442" s="146"/>
      <c r="F442" s="146"/>
    </row>
    <row r="443" spans="3:6">
      <c r="C443" s="146"/>
      <c r="D443" s="146"/>
      <c r="E443" s="146"/>
      <c r="F443" s="146"/>
    </row>
    <row r="444" spans="3:6">
      <c r="C444" s="146"/>
      <c r="D444" s="146"/>
      <c r="E444" s="146"/>
      <c r="F444" s="146"/>
    </row>
    <row r="445" spans="3:6">
      <c r="C445" s="146"/>
      <c r="D445" s="146"/>
      <c r="E445" s="146"/>
      <c r="F445" s="146"/>
    </row>
    <row r="446" spans="3:6">
      <c r="C446" s="146"/>
      <c r="D446" s="146"/>
      <c r="E446" s="146"/>
      <c r="F446" s="146"/>
    </row>
    <row r="447" spans="3:6">
      <c r="C447" s="146"/>
      <c r="D447" s="146"/>
      <c r="E447" s="146"/>
      <c r="F447" s="146"/>
    </row>
    <row r="448" spans="3:6">
      <c r="C448" s="146"/>
      <c r="D448" s="146"/>
      <c r="E448" s="146"/>
      <c r="F448" s="146"/>
    </row>
    <row r="449" spans="3:6">
      <c r="C449" s="146"/>
      <c r="D449" s="146"/>
      <c r="E449" s="146"/>
      <c r="F449" s="146"/>
    </row>
    <row r="450" spans="3:6">
      <c r="C450" s="146"/>
      <c r="D450" s="146"/>
      <c r="E450" s="146"/>
      <c r="F450" s="146"/>
    </row>
    <row r="451" spans="3:6">
      <c r="C451" s="146"/>
      <c r="D451" s="146"/>
      <c r="E451" s="146"/>
      <c r="F451" s="146"/>
    </row>
    <row r="452" spans="3:6">
      <c r="C452" s="146"/>
      <c r="D452" s="146"/>
      <c r="E452" s="146"/>
      <c r="F452" s="146"/>
    </row>
    <row r="453" spans="3:6">
      <c r="C453" s="146"/>
      <c r="D453" s="146"/>
      <c r="E453" s="146"/>
      <c r="F453" s="146"/>
    </row>
    <row r="454" spans="3:6">
      <c r="C454" s="146"/>
      <c r="D454" s="146"/>
      <c r="E454" s="146"/>
      <c r="F454" s="146"/>
    </row>
    <row r="455" spans="3:6">
      <c r="C455" s="146"/>
      <c r="D455" s="146"/>
      <c r="E455" s="146"/>
      <c r="F455" s="146"/>
    </row>
    <row r="456" spans="3:6">
      <c r="C456" s="146"/>
      <c r="D456" s="146"/>
      <c r="E456" s="146"/>
      <c r="F456" s="146"/>
    </row>
    <row r="457" spans="3:6">
      <c r="C457" s="146"/>
      <c r="D457" s="146"/>
      <c r="E457" s="146"/>
      <c r="F457" s="146"/>
    </row>
    <row r="458" spans="3:6">
      <c r="C458" s="146"/>
      <c r="D458" s="146"/>
      <c r="E458" s="146"/>
      <c r="F458" s="146"/>
    </row>
    <row r="459" spans="3:6">
      <c r="C459" s="146"/>
      <c r="D459" s="146"/>
      <c r="E459" s="146"/>
      <c r="F459" s="146"/>
    </row>
    <row r="460" spans="3:6">
      <c r="C460" s="146"/>
      <c r="D460" s="146"/>
      <c r="E460" s="146"/>
      <c r="F460" s="146"/>
    </row>
    <row r="461" spans="3:6">
      <c r="C461" s="146"/>
      <c r="D461" s="146"/>
      <c r="E461" s="146"/>
      <c r="F461" s="146"/>
    </row>
    <row r="462" spans="3:6">
      <c r="C462" s="146"/>
      <c r="D462" s="146"/>
      <c r="E462" s="146"/>
      <c r="F462" s="146"/>
    </row>
    <row r="463" spans="3:6">
      <c r="C463" s="146"/>
      <c r="D463" s="146"/>
      <c r="E463" s="146"/>
      <c r="F463" s="146"/>
    </row>
    <row r="464" spans="3:6">
      <c r="C464" s="146"/>
      <c r="D464" s="146"/>
      <c r="E464" s="146"/>
      <c r="F464" s="146"/>
    </row>
    <row r="465" spans="3:6">
      <c r="C465" s="146"/>
      <c r="D465" s="146"/>
      <c r="E465" s="146"/>
      <c r="F465" s="146"/>
    </row>
    <row r="466" spans="3:6">
      <c r="C466" s="146"/>
      <c r="D466" s="146"/>
      <c r="E466" s="146"/>
      <c r="F466" s="146"/>
    </row>
    <row r="467" spans="3:6">
      <c r="C467" s="146"/>
      <c r="D467" s="146"/>
      <c r="E467" s="146"/>
      <c r="F467" s="146"/>
    </row>
    <row r="468" spans="3:6">
      <c r="C468" s="146"/>
      <c r="D468" s="146"/>
      <c r="E468" s="146"/>
      <c r="F468" s="146"/>
    </row>
    <row r="469" spans="3:6">
      <c r="C469" s="146"/>
      <c r="D469" s="146"/>
      <c r="E469" s="146"/>
      <c r="F469" s="146"/>
    </row>
    <row r="470" spans="3:6">
      <c r="C470" s="146"/>
      <c r="D470" s="146"/>
      <c r="E470" s="146"/>
      <c r="F470" s="146"/>
    </row>
    <row r="471" spans="3:6">
      <c r="C471" s="146"/>
      <c r="D471" s="146"/>
      <c r="E471" s="146"/>
      <c r="F471" s="146"/>
    </row>
    <row r="472" spans="3:6">
      <c r="C472" s="146"/>
      <c r="D472" s="146"/>
      <c r="E472" s="146"/>
      <c r="F472" s="146"/>
    </row>
    <row r="473" spans="3:6">
      <c r="C473" s="146"/>
      <c r="D473" s="146"/>
      <c r="E473" s="146"/>
      <c r="F473" s="146"/>
    </row>
    <row r="474" spans="3:6">
      <c r="C474" s="146"/>
      <c r="D474" s="146"/>
      <c r="E474" s="146"/>
      <c r="F474" s="146"/>
    </row>
    <row r="475" spans="3:6">
      <c r="C475" s="146"/>
      <c r="D475" s="146"/>
      <c r="E475" s="146"/>
      <c r="F475" s="146"/>
    </row>
    <row r="476" spans="3:6">
      <c r="C476" s="146"/>
      <c r="D476" s="146"/>
      <c r="E476" s="146"/>
      <c r="F476" s="146"/>
    </row>
    <row r="477" spans="3:6">
      <c r="C477" s="146"/>
      <c r="D477" s="146"/>
      <c r="E477" s="146"/>
      <c r="F477" s="146"/>
    </row>
    <row r="478" spans="3:6">
      <c r="C478" s="146"/>
      <c r="D478" s="146"/>
      <c r="E478" s="146"/>
      <c r="F478" s="146"/>
    </row>
    <row r="479" spans="3:6">
      <c r="C479" s="146"/>
      <c r="D479" s="146"/>
      <c r="E479" s="146"/>
      <c r="F479" s="146"/>
    </row>
    <row r="480" spans="3:6">
      <c r="C480" s="146"/>
      <c r="D480" s="146"/>
      <c r="E480" s="146"/>
      <c r="F480" s="146"/>
    </row>
    <row r="481" spans="3:6">
      <c r="C481" s="146"/>
      <c r="D481" s="146"/>
      <c r="E481" s="146"/>
      <c r="F481" s="146"/>
    </row>
    <row r="482" spans="3:6">
      <c r="C482" s="146"/>
      <c r="D482" s="146"/>
      <c r="E482" s="146"/>
      <c r="F482" s="146"/>
    </row>
    <row r="483" spans="3:6">
      <c r="C483" s="146"/>
      <c r="D483" s="146"/>
      <c r="E483" s="146"/>
      <c r="F483" s="146"/>
    </row>
    <row r="484" spans="3:6">
      <c r="C484" s="146"/>
      <c r="D484" s="146"/>
      <c r="E484" s="146"/>
      <c r="F484" s="146"/>
    </row>
    <row r="485" spans="3:6">
      <c r="C485" s="146"/>
      <c r="D485" s="146"/>
      <c r="E485" s="146"/>
      <c r="F485" s="146"/>
    </row>
    <row r="486" spans="3:6">
      <c r="C486" s="146"/>
      <c r="D486" s="146"/>
      <c r="E486" s="146"/>
      <c r="F486" s="146"/>
    </row>
    <row r="487" spans="3:6">
      <c r="C487" s="146"/>
      <c r="D487" s="146"/>
      <c r="E487" s="146"/>
      <c r="F487" s="146"/>
    </row>
    <row r="488" spans="3:6">
      <c r="C488" s="146"/>
      <c r="D488" s="146"/>
      <c r="E488" s="146"/>
      <c r="F488" s="146"/>
    </row>
    <row r="489" spans="3:6">
      <c r="C489" s="146"/>
      <c r="D489" s="146"/>
      <c r="E489" s="146"/>
      <c r="F489" s="146"/>
    </row>
    <row r="490" spans="3:6">
      <c r="C490" s="146"/>
      <c r="D490" s="146"/>
      <c r="E490" s="146"/>
      <c r="F490" s="146"/>
    </row>
    <row r="491" spans="3:6">
      <c r="C491" s="146"/>
      <c r="D491" s="146"/>
      <c r="E491" s="146"/>
      <c r="F491" s="146"/>
    </row>
    <row r="492" spans="3:6">
      <c r="C492" s="146"/>
      <c r="D492" s="146"/>
      <c r="E492" s="146"/>
      <c r="F492" s="146"/>
    </row>
    <row r="493" spans="3:6">
      <c r="C493" s="146"/>
      <c r="D493" s="146"/>
      <c r="E493" s="146"/>
      <c r="F493" s="146"/>
    </row>
    <row r="494" spans="3:6">
      <c r="C494" s="146"/>
      <c r="D494" s="146"/>
      <c r="E494" s="146"/>
      <c r="F494" s="146"/>
    </row>
    <row r="495" spans="3:6">
      <c r="C495" s="146"/>
      <c r="D495" s="146"/>
      <c r="E495" s="146"/>
      <c r="F495" s="146"/>
    </row>
    <row r="496" spans="3:6">
      <c r="C496" s="146"/>
      <c r="D496" s="146"/>
      <c r="E496" s="146"/>
      <c r="F496" s="146"/>
    </row>
    <row r="497" spans="3:6">
      <c r="C497" s="146"/>
      <c r="D497" s="146"/>
      <c r="E497" s="146"/>
      <c r="F497" s="146"/>
    </row>
    <row r="498" spans="3:6">
      <c r="C498" s="146"/>
      <c r="D498" s="146"/>
      <c r="E498" s="146"/>
      <c r="F498" s="146"/>
    </row>
    <row r="499" spans="3:6">
      <c r="C499" s="146"/>
      <c r="D499" s="146"/>
      <c r="E499" s="146"/>
      <c r="F499" s="146"/>
    </row>
    <row r="500" spans="3:6">
      <c r="C500" s="146"/>
      <c r="D500" s="146"/>
      <c r="E500" s="146"/>
      <c r="F500" s="146"/>
    </row>
    <row r="501" spans="3:6">
      <c r="C501" s="146"/>
      <c r="D501" s="146"/>
      <c r="E501" s="146"/>
      <c r="F501" s="146"/>
    </row>
    <row r="502" spans="3:6">
      <c r="C502" s="146"/>
      <c r="D502" s="146"/>
      <c r="E502" s="146"/>
      <c r="F502" s="146"/>
    </row>
    <row r="503" spans="3:6">
      <c r="C503" s="146"/>
      <c r="D503" s="146"/>
      <c r="E503" s="146"/>
      <c r="F503" s="146"/>
    </row>
    <row r="504" spans="3:6">
      <c r="C504" s="146"/>
      <c r="D504" s="146"/>
      <c r="E504" s="146"/>
      <c r="F504" s="146"/>
    </row>
    <row r="505" spans="3:6">
      <c r="C505" s="146"/>
      <c r="D505" s="146"/>
      <c r="E505" s="146"/>
      <c r="F505" s="146"/>
    </row>
    <row r="506" spans="3:6">
      <c r="C506" s="146"/>
      <c r="D506" s="146"/>
      <c r="E506" s="146"/>
      <c r="F506" s="146"/>
    </row>
    <row r="507" spans="3:6">
      <c r="C507" s="146"/>
      <c r="D507" s="146"/>
      <c r="E507" s="146"/>
      <c r="F507" s="146"/>
    </row>
    <row r="508" spans="3:6">
      <c r="C508" s="146"/>
      <c r="D508" s="146"/>
      <c r="E508" s="146"/>
      <c r="F508" s="146"/>
    </row>
    <row r="509" spans="3:6">
      <c r="C509" s="146"/>
      <c r="D509" s="146"/>
      <c r="E509" s="146"/>
      <c r="F509" s="146"/>
    </row>
    <row r="510" spans="3:6">
      <c r="C510" s="146"/>
      <c r="D510" s="146"/>
      <c r="E510" s="146"/>
      <c r="F510" s="146"/>
    </row>
    <row r="511" spans="3:6">
      <c r="C511" s="146"/>
      <c r="D511" s="146"/>
      <c r="E511" s="146"/>
      <c r="F511" s="146"/>
    </row>
    <row r="512" spans="3:6">
      <c r="C512" s="146"/>
      <c r="D512" s="146"/>
      <c r="E512" s="146"/>
      <c r="F512" s="146"/>
    </row>
    <row r="513" spans="3:6">
      <c r="C513" s="146"/>
      <c r="D513" s="146"/>
      <c r="E513" s="146"/>
      <c r="F513" s="146"/>
    </row>
    <row r="514" spans="3:6">
      <c r="C514" s="146"/>
      <c r="D514" s="146"/>
      <c r="E514" s="146"/>
      <c r="F514" s="146"/>
    </row>
    <row r="515" spans="3:6">
      <c r="C515" s="146"/>
      <c r="D515" s="146"/>
      <c r="E515" s="146"/>
      <c r="F515" s="146"/>
    </row>
    <row r="516" spans="3:6">
      <c r="C516" s="146"/>
      <c r="D516" s="146"/>
      <c r="E516" s="146"/>
      <c r="F516" s="146"/>
    </row>
    <row r="517" spans="3:6">
      <c r="C517" s="146"/>
      <c r="D517" s="146"/>
      <c r="E517" s="146"/>
      <c r="F517" s="146"/>
    </row>
    <row r="518" spans="3:6">
      <c r="C518" s="146"/>
      <c r="D518" s="146"/>
      <c r="E518" s="146"/>
      <c r="F518" s="146"/>
    </row>
    <row r="519" spans="3:6">
      <c r="C519" s="146"/>
      <c r="D519" s="146"/>
      <c r="E519" s="146"/>
      <c r="F519" s="146"/>
    </row>
    <row r="520" spans="3:6">
      <c r="C520" s="146"/>
      <c r="D520" s="146"/>
      <c r="E520" s="146"/>
      <c r="F520" s="146"/>
    </row>
    <row r="521" spans="3:6">
      <c r="C521" s="146"/>
      <c r="D521" s="146"/>
      <c r="E521" s="146"/>
      <c r="F521" s="146"/>
    </row>
    <row r="522" spans="3:6">
      <c r="C522" s="146"/>
      <c r="D522" s="146"/>
      <c r="E522" s="146"/>
      <c r="F522" s="146"/>
    </row>
    <row r="523" spans="3:6">
      <c r="C523" s="146"/>
      <c r="D523" s="146"/>
      <c r="E523" s="146"/>
      <c r="F523" s="146"/>
    </row>
    <row r="524" spans="3:6">
      <c r="C524" s="146"/>
      <c r="D524" s="146"/>
      <c r="E524" s="146"/>
      <c r="F524" s="146"/>
    </row>
    <row r="525" spans="3:6">
      <c r="C525" s="146"/>
      <c r="D525" s="146"/>
      <c r="E525" s="146"/>
      <c r="F525" s="146"/>
    </row>
    <row r="526" spans="3:6">
      <c r="C526" s="146"/>
      <c r="D526" s="146"/>
      <c r="E526" s="146"/>
      <c r="F526" s="146"/>
    </row>
    <row r="527" spans="3:6">
      <c r="C527" s="146"/>
      <c r="D527" s="146"/>
      <c r="E527" s="146"/>
      <c r="F527" s="146"/>
    </row>
    <row r="528" spans="3:6">
      <c r="C528" s="146"/>
      <c r="D528" s="146"/>
      <c r="E528" s="146"/>
      <c r="F528" s="146"/>
    </row>
    <row r="529" spans="3:6">
      <c r="C529" s="146"/>
      <c r="D529" s="146"/>
      <c r="E529" s="146"/>
      <c r="F529" s="146"/>
    </row>
    <row r="530" spans="3:6">
      <c r="C530" s="146"/>
      <c r="D530" s="146"/>
      <c r="E530" s="146"/>
      <c r="F530" s="146"/>
    </row>
    <row r="531" spans="3:6">
      <c r="C531" s="146"/>
      <c r="D531" s="146"/>
      <c r="E531" s="146"/>
      <c r="F531" s="146"/>
    </row>
    <row r="532" spans="3:6">
      <c r="C532" s="146"/>
      <c r="D532" s="146"/>
      <c r="E532" s="146"/>
      <c r="F532" s="146"/>
    </row>
    <row r="533" spans="3:6">
      <c r="C533" s="146"/>
      <c r="D533" s="146"/>
      <c r="E533" s="146"/>
      <c r="F533" s="146"/>
    </row>
    <row r="534" spans="3:6">
      <c r="C534" s="146"/>
      <c r="D534" s="146"/>
      <c r="E534" s="146"/>
      <c r="F534" s="146"/>
    </row>
    <row r="535" spans="3:6">
      <c r="C535" s="146"/>
      <c r="D535" s="146"/>
      <c r="E535" s="146"/>
      <c r="F535" s="146"/>
    </row>
    <row r="536" spans="3:6">
      <c r="C536" s="146"/>
      <c r="D536" s="146"/>
      <c r="E536" s="146"/>
      <c r="F536" s="146"/>
    </row>
    <row r="537" spans="3:6">
      <c r="C537" s="146"/>
      <c r="D537" s="146"/>
      <c r="E537" s="146"/>
      <c r="F537" s="146"/>
    </row>
    <row r="538" spans="3:6">
      <c r="C538" s="146"/>
      <c r="D538" s="146"/>
      <c r="E538" s="146"/>
      <c r="F538" s="146"/>
    </row>
    <row r="539" spans="3:6">
      <c r="C539" s="146"/>
      <c r="D539" s="146"/>
      <c r="E539" s="146"/>
      <c r="F539" s="146"/>
    </row>
    <row r="540" spans="3:6">
      <c r="C540" s="146"/>
      <c r="D540" s="146"/>
      <c r="E540" s="146"/>
      <c r="F540" s="146"/>
    </row>
    <row r="541" spans="3:6">
      <c r="C541" s="146"/>
      <c r="D541" s="146"/>
      <c r="E541" s="146"/>
      <c r="F541" s="146"/>
    </row>
    <row r="542" spans="3:6">
      <c r="C542" s="146"/>
      <c r="D542" s="146"/>
      <c r="E542" s="146"/>
      <c r="F542" s="146"/>
    </row>
    <row r="543" spans="3:6">
      <c r="C543" s="146"/>
      <c r="D543" s="146"/>
      <c r="E543" s="146"/>
      <c r="F543" s="146"/>
    </row>
    <row r="544" spans="3:6">
      <c r="C544" s="146"/>
      <c r="D544" s="146"/>
      <c r="E544" s="146"/>
      <c r="F544" s="146"/>
    </row>
    <row r="545" spans="3:6">
      <c r="C545" s="146"/>
      <c r="D545" s="146"/>
      <c r="E545" s="146"/>
      <c r="F545" s="146"/>
    </row>
    <row r="546" spans="3:6">
      <c r="C546" s="146"/>
      <c r="D546" s="146"/>
      <c r="E546" s="146"/>
      <c r="F546" s="146"/>
    </row>
    <row r="547" spans="3:6">
      <c r="C547" s="146"/>
      <c r="D547" s="146"/>
      <c r="E547" s="146"/>
      <c r="F547" s="146"/>
    </row>
    <row r="548" spans="3:6">
      <c r="C548" s="146"/>
      <c r="D548" s="146"/>
      <c r="E548" s="146"/>
      <c r="F548" s="146"/>
    </row>
    <row r="549" spans="3:6">
      <c r="C549" s="146"/>
      <c r="D549" s="146"/>
      <c r="E549" s="146"/>
      <c r="F549" s="146"/>
    </row>
    <row r="550" spans="3:6">
      <c r="C550" s="146"/>
      <c r="D550" s="146"/>
      <c r="E550" s="146"/>
      <c r="F550" s="146"/>
    </row>
    <row r="551" spans="3:6">
      <c r="C551" s="146"/>
      <c r="D551" s="146"/>
      <c r="E551" s="146"/>
      <c r="F551" s="146"/>
    </row>
    <row r="552" spans="3:6">
      <c r="C552" s="146"/>
      <c r="D552" s="146"/>
      <c r="E552" s="146"/>
      <c r="F552" s="146"/>
    </row>
    <row r="553" spans="3:6">
      <c r="C553" s="146"/>
      <c r="D553" s="146"/>
      <c r="E553" s="146"/>
      <c r="F553" s="146"/>
    </row>
    <row r="554" spans="3:6">
      <c r="C554" s="146"/>
      <c r="D554" s="146"/>
      <c r="E554" s="146"/>
      <c r="F554" s="146"/>
    </row>
    <row r="555" spans="3:6">
      <c r="C555" s="146"/>
      <c r="D555" s="146"/>
      <c r="E555" s="146"/>
      <c r="F555" s="146"/>
    </row>
    <row r="556" spans="3:6">
      <c r="C556" s="146"/>
      <c r="D556" s="146"/>
      <c r="E556" s="146"/>
      <c r="F556" s="146"/>
    </row>
    <row r="557" spans="3:6">
      <c r="C557" s="146"/>
      <c r="D557" s="146"/>
      <c r="E557" s="146"/>
      <c r="F557" s="146"/>
    </row>
    <row r="558" spans="3:6">
      <c r="C558" s="146"/>
      <c r="D558" s="146"/>
      <c r="E558" s="146"/>
      <c r="F558" s="146"/>
    </row>
    <row r="559" spans="3:6">
      <c r="C559" s="146"/>
      <c r="D559" s="146"/>
      <c r="E559" s="146"/>
      <c r="F559" s="146"/>
    </row>
    <row r="560" spans="3:6">
      <c r="C560" s="146"/>
      <c r="D560" s="146"/>
      <c r="E560" s="146"/>
      <c r="F560" s="146"/>
    </row>
    <row r="561" spans="3:6">
      <c r="C561" s="146"/>
      <c r="D561" s="146"/>
      <c r="E561" s="146"/>
      <c r="F561" s="146"/>
    </row>
    <row r="562" spans="3:6">
      <c r="C562" s="146"/>
      <c r="D562" s="146"/>
      <c r="E562" s="146"/>
      <c r="F562" s="146"/>
    </row>
    <row r="563" spans="3:6">
      <c r="C563" s="146"/>
      <c r="D563" s="146"/>
      <c r="E563" s="146"/>
      <c r="F563" s="146"/>
    </row>
    <row r="564" spans="3:6">
      <c r="C564" s="146"/>
      <c r="D564" s="146"/>
      <c r="E564" s="146"/>
      <c r="F564" s="146"/>
    </row>
    <row r="565" spans="3:6">
      <c r="C565" s="146"/>
      <c r="D565" s="146"/>
      <c r="E565" s="146"/>
      <c r="F565" s="146"/>
    </row>
    <row r="566" spans="3:6">
      <c r="C566" s="146"/>
      <c r="D566" s="146"/>
      <c r="E566" s="146"/>
      <c r="F566" s="146"/>
    </row>
    <row r="567" spans="3:6">
      <c r="C567" s="146"/>
      <c r="D567" s="146"/>
      <c r="E567" s="146"/>
      <c r="F567" s="146"/>
    </row>
    <row r="568" spans="3:6">
      <c r="C568" s="146"/>
      <c r="D568" s="146"/>
      <c r="E568" s="146"/>
      <c r="F568" s="146"/>
    </row>
    <row r="569" spans="3:6">
      <c r="C569" s="146"/>
      <c r="D569" s="146"/>
      <c r="E569" s="146"/>
      <c r="F569" s="146"/>
    </row>
    <row r="570" spans="3:6">
      <c r="C570" s="146"/>
      <c r="D570" s="146"/>
      <c r="E570" s="146"/>
      <c r="F570" s="146"/>
    </row>
    <row r="571" spans="3:6">
      <c r="C571" s="146"/>
      <c r="D571" s="146"/>
      <c r="E571" s="146"/>
      <c r="F571" s="146"/>
    </row>
    <row r="572" spans="3:6">
      <c r="C572" s="146"/>
      <c r="D572" s="146"/>
      <c r="E572" s="146"/>
      <c r="F572" s="146"/>
    </row>
    <row r="573" spans="3:6">
      <c r="C573" s="146"/>
      <c r="D573" s="146"/>
      <c r="E573" s="146"/>
      <c r="F573" s="146"/>
    </row>
    <row r="574" spans="3:6">
      <c r="C574" s="146"/>
      <c r="D574" s="146"/>
      <c r="E574" s="146"/>
      <c r="F574" s="146"/>
    </row>
    <row r="575" spans="3:6">
      <c r="C575" s="146"/>
      <c r="D575" s="146"/>
      <c r="E575" s="146"/>
      <c r="F575" s="146"/>
    </row>
    <row r="576" spans="3:6">
      <c r="C576" s="146"/>
      <c r="D576" s="146"/>
      <c r="E576" s="146"/>
      <c r="F576" s="146"/>
    </row>
    <row r="577" spans="3:6">
      <c r="C577" s="146"/>
      <c r="D577" s="146"/>
      <c r="E577" s="146"/>
      <c r="F577" s="146"/>
    </row>
    <row r="578" spans="3:6">
      <c r="C578" s="146"/>
      <c r="D578" s="146"/>
      <c r="E578" s="146"/>
      <c r="F578" s="146"/>
    </row>
    <row r="579" spans="3:6">
      <c r="C579" s="146"/>
      <c r="D579" s="146"/>
      <c r="E579" s="146"/>
      <c r="F579" s="146"/>
    </row>
    <row r="580" spans="3:6">
      <c r="C580" s="146"/>
      <c r="D580" s="146"/>
      <c r="E580" s="146"/>
      <c r="F580" s="146"/>
    </row>
    <row r="581" spans="3:6">
      <c r="C581" s="146"/>
      <c r="D581" s="146"/>
      <c r="E581" s="146"/>
      <c r="F581" s="146"/>
    </row>
    <row r="582" spans="3:6">
      <c r="C582" s="146"/>
      <c r="D582" s="146"/>
      <c r="E582" s="146"/>
      <c r="F582" s="146"/>
    </row>
    <row r="583" spans="3:6">
      <c r="C583" s="146"/>
      <c r="D583" s="146"/>
      <c r="E583" s="146"/>
      <c r="F583" s="146"/>
    </row>
    <row r="584" spans="3:6">
      <c r="C584" s="146"/>
      <c r="D584" s="146"/>
      <c r="E584" s="146"/>
      <c r="F584" s="146"/>
    </row>
    <row r="585" spans="3:6">
      <c r="C585" s="146"/>
      <c r="D585" s="146"/>
      <c r="E585" s="146"/>
      <c r="F585" s="146"/>
    </row>
    <row r="586" spans="3:6">
      <c r="C586" s="146"/>
      <c r="D586" s="146"/>
      <c r="E586" s="146"/>
      <c r="F586" s="146"/>
    </row>
    <row r="587" spans="3:6">
      <c r="C587" s="146"/>
      <c r="D587" s="146"/>
      <c r="E587" s="146"/>
      <c r="F587" s="146"/>
    </row>
    <row r="588" spans="3:6">
      <c r="C588" s="146"/>
      <c r="D588" s="146"/>
      <c r="E588" s="146"/>
      <c r="F588" s="146"/>
    </row>
    <row r="589" spans="3:6">
      <c r="C589" s="146"/>
      <c r="D589" s="146"/>
      <c r="E589" s="146"/>
      <c r="F589" s="146"/>
    </row>
    <row r="590" spans="3:6">
      <c r="C590" s="146"/>
      <c r="D590" s="146"/>
      <c r="E590" s="146"/>
      <c r="F590" s="146"/>
    </row>
    <row r="591" spans="3:6">
      <c r="C591" s="146"/>
      <c r="D591" s="146"/>
      <c r="E591" s="146"/>
      <c r="F591" s="146"/>
    </row>
    <row r="592" spans="3:6">
      <c r="C592" s="146"/>
      <c r="D592" s="146"/>
      <c r="E592" s="146"/>
      <c r="F592" s="146"/>
    </row>
    <row r="593" spans="3:6">
      <c r="C593" s="146"/>
      <c r="D593" s="146"/>
      <c r="E593" s="146"/>
      <c r="F593" s="146"/>
    </row>
    <row r="594" spans="3:6">
      <c r="C594" s="146"/>
      <c r="D594" s="146"/>
      <c r="E594" s="146"/>
      <c r="F594" s="146"/>
    </row>
    <row r="595" spans="3:6">
      <c r="C595" s="146"/>
      <c r="D595" s="146"/>
      <c r="E595" s="146"/>
      <c r="F595" s="146"/>
    </row>
    <row r="596" spans="3:6">
      <c r="C596" s="146"/>
      <c r="D596" s="146"/>
      <c r="E596" s="146"/>
      <c r="F596" s="146"/>
    </row>
    <row r="597" spans="3:6">
      <c r="C597" s="146"/>
      <c r="D597" s="146"/>
      <c r="E597" s="146"/>
      <c r="F597" s="146"/>
    </row>
    <row r="598" spans="3:6">
      <c r="C598" s="146"/>
      <c r="D598" s="146"/>
      <c r="E598" s="146"/>
      <c r="F598" s="146"/>
    </row>
    <row r="599" spans="3:6">
      <c r="C599" s="146"/>
      <c r="D599" s="146"/>
      <c r="E599" s="146"/>
      <c r="F599" s="146"/>
    </row>
    <row r="600" spans="3:6">
      <c r="C600" s="146"/>
      <c r="D600" s="146"/>
      <c r="E600" s="146"/>
      <c r="F600" s="146"/>
    </row>
    <row r="601" spans="3:6">
      <c r="C601" s="146"/>
      <c r="D601" s="146"/>
      <c r="E601" s="146"/>
      <c r="F601" s="146"/>
    </row>
    <row r="602" spans="3:6">
      <c r="C602" s="146"/>
      <c r="D602" s="146"/>
      <c r="E602" s="146"/>
      <c r="F602" s="146"/>
    </row>
    <row r="603" spans="3:6">
      <c r="C603" s="146"/>
      <c r="D603" s="146"/>
      <c r="E603" s="146"/>
      <c r="F603" s="146"/>
    </row>
    <row r="604" spans="3:6">
      <c r="C604" s="146"/>
      <c r="D604" s="146"/>
      <c r="E604" s="146"/>
      <c r="F604" s="146"/>
    </row>
    <row r="605" spans="3:6">
      <c r="C605" s="146"/>
      <c r="D605" s="146"/>
      <c r="E605" s="146"/>
      <c r="F605" s="146"/>
    </row>
    <row r="606" spans="3:6">
      <c r="C606" s="146"/>
      <c r="D606" s="146"/>
      <c r="E606" s="146"/>
      <c r="F606" s="146"/>
    </row>
    <row r="607" spans="3:6">
      <c r="C607" s="146"/>
      <c r="D607" s="146"/>
      <c r="E607" s="146"/>
      <c r="F607" s="146"/>
    </row>
    <row r="608" spans="3:6">
      <c r="C608" s="146"/>
      <c r="D608" s="146"/>
      <c r="E608" s="146"/>
      <c r="F608" s="146"/>
    </row>
    <row r="609" spans="3:6">
      <c r="C609" s="146"/>
      <c r="D609" s="146"/>
      <c r="E609" s="146"/>
      <c r="F609" s="146"/>
    </row>
    <row r="610" spans="3:6">
      <c r="C610" s="146"/>
      <c r="D610" s="146"/>
      <c r="E610" s="146"/>
      <c r="F610" s="146"/>
    </row>
    <row r="611" spans="3:6">
      <c r="C611" s="146"/>
      <c r="D611" s="146"/>
      <c r="E611" s="146"/>
      <c r="F611" s="146"/>
    </row>
    <row r="612" spans="3:6">
      <c r="C612" s="146"/>
      <c r="D612" s="146"/>
      <c r="E612" s="146"/>
      <c r="F612" s="146"/>
    </row>
    <row r="613" spans="3:6">
      <c r="C613" s="146"/>
      <c r="D613" s="146"/>
      <c r="E613" s="146"/>
      <c r="F613" s="146"/>
    </row>
    <row r="614" spans="3:6">
      <c r="C614" s="146"/>
      <c r="D614" s="146"/>
      <c r="E614" s="146"/>
      <c r="F614" s="146"/>
    </row>
    <row r="615" spans="3:6">
      <c r="C615" s="146"/>
      <c r="D615" s="146"/>
      <c r="E615" s="146"/>
      <c r="F615" s="146"/>
    </row>
    <row r="616" spans="3:6">
      <c r="C616" s="146"/>
      <c r="D616" s="146"/>
      <c r="E616" s="146"/>
      <c r="F616" s="146"/>
    </row>
    <row r="617" spans="3:6">
      <c r="C617" s="146"/>
      <c r="D617" s="146"/>
      <c r="E617" s="146"/>
      <c r="F617" s="146"/>
    </row>
    <row r="618" spans="3:6">
      <c r="C618" s="146"/>
      <c r="D618" s="146"/>
      <c r="E618" s="146"/>
      <c r="F618" s="146"/>
    </row>
    <row r="619" spans="3:6">
      <c r="C619" s="146"/>
      <c r="D619" s="146"/>
      <c r="E619" s="146"/>
      <c r="F619" s="146"/>
    </row>
    <row r="620" spans="3:6">
      <c r="C620" s="146"/>
      <c r="D620" s="146"/>
      <c r="E620" s="146"/>
      <c r="F620" s="146"/>
    </row>
    <row r="621" spans="3:6">
      <c r="C621" s="146"/>
      <c r="D621" s="146"/>
      <c r="E621" s="146"/>
      <c r="F621" s="146"/>
    </row>
    <row r="622" spans="3:6">
      <c r="C622" s="146"/>
      <c r="D622" s="146"/>
      <c r="E622" s="146"/>
      <c r="F622" s="146"/>
    </row>
    <row r="623" spans="3:6">
      <c r="C623" s="146"/>
      <c r="D623" s="146"/>
      <c r="E623" s="146"/>
      <c r="F623" s="146"/>
    </row>
    <row r="624" spans="3:6">
      <c r="C624" s="146"/>
      <c r="D624" s="146"/>
      <c r="E624" s="146"/>
      <c r="F624" s="146"/>
    </row>
    <row r="625" spans="3:6">
      <c r="C625" s="146"/>
      <c r="D625" s="146"/>
      <c r="E625" s="146"/>
      <c r="F625" s="146"/>
    </row>
    <row r="626" spans="3:6">
      <c r="C626" s="146"/>
      <c r="D626" s="146"/>
      <c r="E626" s="146"/>
      <c r="F626" s="146"/>
    </row>
    <row r="627" spans="3:6">
      <c r="C627" s="146"/>
      <c r="D627" s="146"/>
      <c r="E627" s="146"/>
      <c r="F627" s="146"/>
    </row>
    <row r="628" spans="3:6">
      <c r="C628" s="146"/>
      <c r="D628" s="146"/>
      <c r="E628" s="146"/>
      <c r="F628" s="146"/>
    </row>
    <row r="629" spans="3:6">
      <c r="C629" s="146"/>
      <c r="D629" s="146"/>
      <c r="E629" s="146"/>
      <c r="F629" s="146"/>
    </row>
    <row r="630" spans="3:6">
      <c r="C630" s="146"/>
      <c r="D630" s="146"/>
      <c r="E630" s="146"/>
      <c r="F630" s="146"/>
    </row>
    <row r="631" spans="3:6">
      <c r="C631" s="146"/>
      <c r="D631" s="146"/>
      <c r="E631" s="146"/>
      <c r="F631" s="146"/>
    </row>
    <row r="632" spans="3:6">
      <c r="C632" s="146"/>
      <c r="D632" s="146"/>
      <c r="E632" s="146"/>
      <c r="F632" s="146"/>
    </row>
    <row r="633" spans="3:6">
      <c r="C633" s="146"/>
      <c r="D633" s="146"/>
      <c r="E633" s="146"/>
      <c r="F633" s="146"/>
    </row>
    <row r="634" spans="3:6">
      <c r="C634" s="146"/>
      <c r="D634" s="146"/>
      <c r="E634" s="146"/>
      <c r="F634" s="146"/>
    </row>
    <row r="635" spans="3:6">
      <c r="C635" s="146"/>
      <c r="D635" s="146"/>
      <c r="E635" s="146"/>
      <c r="F635" s="146"/>
    </row>
    <row r="636" spans="3:6">
      <c r="C636" s="146"/>
      <c r="D636" s="146"/>
      <c r="E636" s="146"/>
      <c r="F636" s="146"/>
    </row>
    <row r="637" spans="3:6">
      <c r="C637" s="146"/>
      <c r="D637" s="146"/>
      <c r="E637" s="146"/>
      <c r="F637" s="146"/>
    </row>
    <row r="638" spans="3:6">
      <c r="C638" s="146"/>
      <c r="D638" s="146"/>
      <c r="E638" s="146"/>
      <c r="F638" s="146"/>
    </row>
    <row r="639" spans="3:6">
      <c r="C639" s="146"/>
      <c r="D639" s="146"/>
      <c r="E639" s="146"/>
      <c r="F639" s="146"/>
    </row>
    <row r="640" spans="3:6">
      <c r="C640" s="146"/>
      <c r="D640" s="146"/>
      <c r="E640" s="146"/>
      <c r="F640" s="146"/>
    </row>
    <row r="641" spans="3:6">
      <c r="C641" s="146"/>
      <c r="D641" s="146"/>
      <c r="E641" s="146"/>
      <c r="F641" s="146"/>
    </row>
    <row r="642" spans="3:6">
      <c r="C642" s="146"/>
      <c r="D642" s="146"/>
      <c r="E642" s="146"/>
      <c r="F642" s="146"/>
    </row>
    <row r="643" spans="3:6">
      <c r="C643" s="146"/>
      <c r="D643" s="146"/>
      <c r="E643" s="146"/>
      <c r="F643" s="146"/>
    </row>
    <row r="644" spans="3:6">
      <c r="C644" s="146"/>
      <c r="D644" s="146"/>
      <c r="E644" s="146"/>
      <c r="F644" s="146"/>
    </row>
    <row r="645" spans="3:6">
      <c r="C645" s="146"/>
      <c r="D645" s="146"/>
      <c r="E645" s="146"/>
      <c r="F645" s="146"/>
    </row>
    <row r="646" spans="3:6">
      <c r="C646" s="146"/>
      <c r="D646" s="146"/>
      <c r="E646" s="146"/>
      <c r="F646" s="146"/>
    </row>
    <row r="647" spans="3:6">
      <c r="C647" s="146"/>
      <c r="D647" s="146"/>
      <c r="E647" s="146"/>
      <c r="F647" s="146"/>
    </row>
    <row r="648" spans="3:6">
      <c r="C648" s="146"/>
      <c r="D648" s="146"/>
      <c r="E648" s="146"/>
      <c r="F648" s="146"/>
    </row>
    <row r="649" spans="3:6">
      <c r="C649" s="146"/>
      <c r="D649" s="146"/>
      <c r="E649" s="146"/>
      <c r="F649" s="146"/>
    </row>
    <row r="650" spans="3:6">
      <c r="C650" s="146"/>
      <c r="D650" s="146"/>
      <c r="E650" s="146"/>
      <c r="F650" s="146"/>
    </row>
    <row r="651" spans="3:6">
      <c r="C651" s="146"/>
      <c r="D651" s="146"/>
      <c r="E651" s="146"/>
      <c r="F651" s="146"/>
    </row>
    <row r="652" spans="3:6">
      <c r="C652" s="146"/>
      <c r="D652" s="146"/>
      <c r="E652" s="146"/>
      <c r="F652" s="146"/>
    </row>
    <row r="653" spans="3:6">
      <c r="C653" s="146"/>
      <c r="D653" s="146"/>
      <c r="E653" s="146"/>
      <c r="F653" s="146"/>
    </row>
    <row r="654" spans="3:6">
      <c r="C654" s="146"/>
      <c r="D654" s="146"/>
      <c r="E654" s="146"/>
      <c r="F654" s="146"/>
    </row>
    <row r="655" spans="3:6">
      <c r="C655" s="146"/>
      <c r="D655" s="146"/>
      <c r="E655" s="146"/>
      <c r="F655" s="146"/>
    </row>
    <row r="656" spans="3:6">
      <c r="C656" s="146"/>
      <c r="D656" s="146"/>
      <c r="E656" s="146"/>
      <c r="F656" s="146"/>
    </row>
    <row r="657" spans="3:6">
      <c r="C657" s="146"/>
      <c r="D657" s="146"/>
      <c r="E657" s="146"/>
      <c r="F657" s="146"/>
    </row>
    <row r="658" spans="3:6">
      <c r="C658" s="146"/>
      <c r="D658" s="146"/>
      <c r="E658" s="146"/>
      <c r="F658" s="146"/>
    </row>
    <row r="659" spans="3:6">
      <c r="C659" s="146"/>
      <c r="D659" s="146"/>
      <c r="E659" s="146"/>
      <c r="F659" s="146"/>
    </row>
    <row r="660" spans="3:6">
      <c r="C660" s="146"/>
      <c r="D660" s="146"/>
      <c r="E660" s="146"/>
      <c r="F660" s="146"/>
    </row>
    <row r="661" spans="3:6">
      <c r="C661" s="146"/>
      <c r="D661" s="146"/>
      <c r="E661" s="146"/>
      <c r="F661" s="146"/>
    </row>
    <row r="662" spans="3:6">
      <c r="C662" s="146"/>
      <c r="D662" s="146"/>
      <c r="E662" s="146"/>
      <c r="F662" s="146"/>
    </row>
    <row r="663" spans="3:6">
      <c r="C663" s="146"/>
      <c r="D663" s="146"/>
      <c r="E663" s="146"/>
      <c r="F663" s="146"/>
    </row>
    <row r="664" spans="3:6">
      <c r="C664" s="146"/>
      <c r="D664" s="146"/>
      <c r="E664" s="146"/>
      <c r="F664" s="146"/>
    </row>
    <row r="665" spans="3:6">
      <c r="C665" s="146"/>
      <c r="D665" s="146"/>
      <c r="E665" s="146"/>
      <c r="F665" s="146"/>
    </row>
    <row r="666" spans="3:6">
      <c r="C666" s="146"/>
      <c r="D666" s="146"/>
      <c r="E666" s="146"/>
      <c r="F666" s="146"/>
    </row>
    <row r="667" spans="3:6">
      <c r="C667" s="146"/>
      <c r="D667" s="146"/>
      <c r="E667" s="146"/>
      <c r="F667" s="146"/>
    </row>
    <row r="668" spans="3:6">
      <c r="C668" s="146"/>
      <c r="D668" s="146"/>
      <c r="E668" s="146"/>
      <c r="F668" s="146"/>
    </row>
    <row r="669" spans="3:6">
      <c r="C669" s="146"/>
      <c r="D669" s="146"/>
      <c r="E669" s="146"/>
      <c r="F669" s="146"/>
    </row>
    <row r="670" spans="3:6">
      <c r="C670" s="146"/>
      <c r="D670" s="146"/>
      <c r="E670" s="146"/>
      <c r="F670" s="146"/>
    </row>
    <row r="671" spans="3:6">
      <c r="C671" s="146"/>
      <c r="D671" s="146"/>
      <c r="E671" s="146"/>
      <c r="F671" s="146"/>
    </row>
    <row r="672" spans="3:6">
      <c r="C672" s="146"/>
      <c r="D672" s="146"/>
      <c r="E672" s="146"/>
      <c r="F672" s="146"/>
    </row>
    <row r="673" spans="3:6">
      <c r="C673" s="146"/>
      <c r="D673" s="146"/>
      <c r="E673" s="146"/>
      <c r="F673" s="146"/>
    </row>
    <row r="674" spans="3:6">
      <c r="C674" s="146"/>
      <c r="D674" s="146"/>
      <c r="E674" s="146"/>
      <c r="F674" s="146"/>
    </row>
    <row r="675" spans="3:6">
      <c r="C675" s="146"/>
      <c r="D675" s="146"/>
      <c r="E675" s="146"/>
      <c r="F675" s="146"/>
    </row>
    <row r="676" spans="3:6">
      <c r="C676" s="146"/>
      <c r="D676" s="146"/>
      <c r="E676" s="146"/>
      <c r="F676" s="146"/>
    </row>
    <row r="677" spans="3:6">
      <c r="C677" s="146"/>
      <c r="D677" s="146"/>
      <c r="E677" s="146"/>
      <c r="F677" s="146"/>
    </row>
    <row r="678" spans="3:6">
      <c r="C678" s="146"/>
      <c r="D678" s="146"/>
      <c r="E678" s="146"/>
      <c r="F678" s="146"/>
    </row>
    <row r="679" spans="3:6">
      <c r="C679" s="146"/>
      <c r="D679" s="146"/>
      <c r="E679" s="146"/>
      <c r="F679" s="146"/>
    </row>
    <row r="680" spans="3:6">
      <c r="C680" s="146"/>
      <c r="D680" s="146"/>
      <c r="E680" s="146"/>
      <c r="F680" s="146"/>
    </row>
    <row r="681" spans="3:6">
      <c r="C681" s="146"/>
      <c r="D681" s="146"/>
      <c r="E681" s="146"/>
      <c r="F681" s="146"/>
    </row>
    <row r="682" spans="3:6">
      <c r="C682" s="146"/>
      <c r="D682" s="146"/>
      <c r="E682" s="146"/>
      <c r="F682" s="146"/>
    </row>
    <row r="683" spans="3:6">
      <c r="C683" s="146"/>
      <c r="D683" s="146"/>
      <c r="E683" s="146"/>
      <c r="F683" s="146"/>
    </row>
    <row r="684" spans="3:6">
      <c r="C684" s="146"/>
      <c r="D684" s="146"/>
      <c r="E684" s="146"/>
      <c r="F684" s="146"/>
    </row>
    <row r="685" spans="3:6">
      <c r="C685" s="146"/>
      <c r="D685" s="146"/>
      <c r="E685" s="146"/>
      <c r="F685" s="146"/>
    </row>
    <row r="686" spans="3:6">
      <c r="C686" s="146"/>
      <c r="D686" s="146"/>
      <c r="E686" s="146"/>
      <c r="F686" s="146"/>
    </row>
    <row r="687" spans="3:6">
      <c r="C687" s="146"/>
      <c r="D687" s="146"/>
      <c r="E687" s="146"/>
      <c r="F687" s="146"/>
    </row>
    <row r="688" spans="3:6">
      <c r="C688" s="146"/>
      <c r="D688" s="146"/>
      <c r="E688" s="146"/>
      <c r="F688" s="146"/>
    </row>
    <row r="689" spans="3:6">
      <c r="C689" s="146"/>
      <c r="D689" s="146"/>
      <c r="E689" s="146"/>
      <c r="F689" s="146"/>
    </row>
    <row r="690" spans="3:6">
      <c r="C690" s="146"/>
      <c r="D690" s="146"/>
      <c r="E690" s="146"/>
      <c r="F690" s="146"/>
    </row>
    <row r="691" spans="3:6">
      <c r="C691" s="146"/>
      <c r="D691" s="146"/>
      <c r="E691" s="146"/>
      <c r="F691" s="146"/>
    </row>
    <row r="692" spans="3:6">
      <c r="C692" s="146"/>
      <c r="D692" s="146"/>
      <c r="E692" s="146"/>
      <c r="F692" s="146"/>
    </row>
    <row r="693" spans="3:6">
      <c r="C693" s="146"/>
      <c r="D693" s="146"/>
      <c r="E693" s="146"/>
      <c r="F693" s="146"/>
    </row>
    <row r="694" spans="3:6">
      <c r="C694" s="146"/>
      <c r="D694" s="146"/>
      <c r="E694" s="146"/>
      <c r="F694" s="146"/>
    </row>
    <row r="695" spans="3:6">
      <c r="C695" s="146"/>
      <c r="D695" s="146"/>
      <c r="E695" s="146"/>
      <c r="F695" s="146"/>
    </row>
    <row r="696" spans="3:6">
      <c r="C696" s="146"/>
      <c r="D696" s="146"/>
      <c r="E696" s="146"/>
      <c r="F696" s="146"/>
    </row>
    <row r="697" spans="3:6">
      <c r="C697" s="146"/>
      <c r="D697" s="146"/>
      <c r="E697" s="146"/>
      <c r="F697" s="146"/>
    </row>
    <row r="698" spans="3:6">
      <c r="C698" s="146"/>
      <c r="D698" s="146"/>
      <c r="E698" s="146"/>
      <c r="F698" s="146"/>
    </row>
    <row r="699" spans="3:6">
      <c r="C699" s="146"/>
      <c r="D699" s="146"/>
      <c r="E699" s="146"/>
      <c r="F699" s="146"/>
    </row>
    <row r="700" spans="3:6">
      <c r="C700" s="146"/>
      <c r="D700" s="146"/>
      <c r="E700" s="146"/>
      <c r="F700" s="146"/>
    </row>
    <row r="701" spans="3:6">
      <c r="C701" s="146"/>
      <c r="D701" s="146"/>
      <c r="E701" s="146"/>
      <c r="F701" s="146"/>
    </row>
    <row r="702" spans="3:6">
      <c r="C702" s="146"/>
      <c r="D702" s="146"/>
      <c r="E702" s="146"/>
      <c r="F702" s="146"/>
    </row>
    <row r="703" spans="3:6">
      <c r="C703" s="146"/>
      <c r="D703" s="146"/>
      <c r="E703" s="146"/>
      <c r="F703" s="146"/>
    </row>
    <row r="704" spans="3:6">
      <c r="C704" s="146"/>
      <c r="D704" s="146"/>
      <c r="E704" s="146"/>
      <c r="F704" s="146"/>
    </row>
    <row r="705" spans="3:6">
      <c r="C705" s="146"/>
      <c r="D705" s="146"/>
      <c r="E705" s="146"/>
      <c r="F705" s="146"/>
    </row>
    <row r="706" spans="3:6">
      <c r="C706" s="146"/>
      <c r="D706" s="146"/>
      <c r="E706" s="146"/>
      <c r="F706" s="146"/>
    </row>
    <row r="707" spans="3:6">
      <c r="C707" s="146"/>
      <c r="D707" s="146"/>
      <c r="E707" s="146"/>
      <c r="F707" s="146"/>
    </row>
    <row r="708" spans="3:6">
      <c r="C708" s="146"/>
      <c r="D708" s="146"/>
      <c r="E708" s="146"/>
      <c r="F708" s="146"/>
    </row>
    <row r="709" spans="3:6">
      <c r="C709" s="146"/>
      <c r="D709" s="146"/>
      <c r="E709" s="146"/>
      <c r="F709" s="146"/>
    </row>
    <row r="710" spans="3:6">
      <c r="C710" s="146"/>
      <c r="D710" s="146"/>
      <c r="E710" s="146"/>
      <c r="F710" s="146"/>
    </row>
    <row r="711" spans="3:6">
      <c r="C711" s="146"/>
      <c r="D711" s="146"/>
      <c r="E711" s="146"/>
      <c r="F711" s="146"/>
    </row>
    <row r="712" spans="3:6">
      <c r="C712" s="146"/>
      <c r="D712" s="146"/>
      <c r="E712" s="146"/>
      <c r="F712" s="146"/>
    </row>
    <row r="713" spans="3:6">
      <c r="C713" s="146"/>
      <c r="D713" s="146"/>
      <c r="E713" s="146"/>
      <c r="F713" s="146"/>
    </row>
    <row r="714" spans="3:6">
      <c r="C714" s="146"/>
      <c r="D714" s="146"/>
      <c r="E714" s="146"/>
      <c r="F714" s="146"/>
    </row>
    <row r="715" spans="3:6">
      <c r="C715" s="146"/>
      <c r="D715" s="146"/>
      <c r="E715" s="146"/>
      <c r="F715" s="146"/>
    </row>
    <row r="716" spans="3:6">
      <c r="C716" s="146"/>
      <c r="D716" s="146"/>
      <c r="E716" s="146"/>
      <c r="F716" s="146"/>
    </row>
    <row r="717" spans="3:6">
      <c r="C717" s="146"/>
      <c r="D717" s="146"/>
      <c r="E717" s="146"/>
      <c r="F717" s="146"/>
    </row>
    <row r="718" spans="3:6">
      <c r="C718" s="146"/>
      <c r="D718" s="146"/>
      <c r="E718" s="146"/>
      <c r="F718" s="146"/>
    </row>
    <row r="719" spans="3:6">
      <c r="C719" s="146"/>
      <c r="D719" s="146"/>
      <c r="E719" s="146"/>
      <c r="F719" s="146"/>
    </row>
    <row r="720" spans="3:6">
      <c r="C720" s="146"/>
      <c r="D720" s="146"/>
      <c r="E720" s="146"/>
      <c r="F720" s="146"/>
    </row>
    <row r="721" spans="3:6">
      <c r="C721" s="146"/>
      <c r="D721" s="146"/>
      <c r="E721" s="146"/>
      <c r="F721" s="146"/>
    </row>
    <row r="722" spans="3:6">
      <c r="C722" s="146"/>
      <c r="D722" s="146"/>
      <c r="E722" s="146"/>
      <c r="F722" s="146"/>
    </row>
    <row r="723" spans="3:6">
      <c r="C723" s="146"/>
      <c r="D723" s="146"/>
      <c r="E723" s="146"/>
      <c r="F723" s="146"/>
    </row>
    <row r="724" spans="3:6">
      <c r="C724" s="146"/>
      <c r="D724" s="146"/>
      <c r="E724" s="146"/>
      <c r="F724" s="146"/>
    </row>
    <row r="725" spans="3:6">
      <c r="C725" s="146"/>
      <c r="D725" s="146"/>
      <c r="E725" s="146"/>
      <c r="F725" s="146"/>
    </row>
    <row r="726" spans="3:6">
      <c r="C726" s="146"/>
      <c r="D726" s="146"/>
      <c r="E726" s="146"/>
      <c r="F726" s="146"/>
    </row>
  </sheetData>
  <mergeCells count="28">
    <mergeCell ref="B349:B357"/>
    <mergeCell ref="C342:D342"/>
    <mergeCell ref="C131:D131"/>
    <mergeCell ref="C339:D339"/>
    <mergeCell ref="C294:D294"/>
    <mergeCell ref="C160:D160"/>
    <mergeCell ref="C214:D214"/>
    <mergeCell ref="C239:D239"/>
    <mergeCell ref="C310:D310"/>
    <mergeCell ref="C228:D228"/>
    <mergeCell ref="C187:D187"/>
    <mergeCell ref="C197:D197"/>
    <mergeCell ref="C182:D182"/>
    <mergeCell ref="A1:A5"/>
    <mergeCell ref="C38:D38"/>
    <mergeCell ref="C62:D62"/>
    <mergeCell ref="C79:D79"/>
    <mergeCell ref="C167:D167"/>
    <mergeCell ref="C102:D102"/>
    <mergeCell ref="C87:D87"/>
    <mergeCell ref="C92:D92"/>
    <mergeCell ref="C97:D97"/>
    <mergeCell ref="C118:D118"/>
    <mergeCell ref="C113:D113"/>
    <mergeCell ref="C107:D107"/>
    <mergeCell ref="C122:D122"/>
    <mergeCell ref="C130:D130"/>
    <mergeCell ref="C126:D126"/>
  </mergeCells>
  <phoneticPr fontId="14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4"/>
  <sheetViews>
    <sheetView zoomScale="70" zoomScaleNormal="70" workbookViewId="0">
      <pane xSplit="2" ySplit="1" topLeftCell="C362" activePane="bottomRight" state="frozen"/>
      <selection pane="topRight" activeCell="C1" sqref="C1"/>
      <selection pane="bottomLeft" activeCell="A2" sqref="A2"/>
      <selection pane="bottomRight" activeCell="K372" sqref="K372"/>
    </sheetView>
  </sheetViews>
  <sheetFormatPr baseColWidth="10" defaultRowHeight="18"/>
  <cols>
    <col min="1" max="1" width="25.85546875" style="232" customWidth="1"/>
    <col min="2" max="2" width="62" style="233" customWidth="1"/>
    <col min="3" max="5" width="17.28515625" style="233" customWidth="1"/>
    <col min="6" max="6" width="15.42578125" style="234" bestFit="1" customWidth="1"/>
    <col min="7" max="7" width="13.140625" style="234" bestFit="1" customWidth="1"/>
    <col min="8" max="8" width="14.5703125" style="234" bestFit="1" customWidth="1"/>
    <col min="9" max="10" width="15" style="234" bestFit="1" customWidth="1"/>
    <col min="11" max="11" width="15.85546875" style="234" bestFit="1" customWidth="1"/>
    <col min="12" max="12" width="15.42578125" style="234" bestFit="1" customWidth="1"/>
    <col min="13" max="13" width="18.28515625" style="234" bestFit="1" customWidth="1"/>
    <col min="14" max="14" width="17.140625" style="234" bestFit="1" customWidth="1"/>
    <col min="15" max="15" width="13.5703125" style="234" bestFit="1" customWidth="1"/>
    <col min="16" max="16" width="13.7109375" style="207" customWidth="1"/>
    <col min="17" max="17" width="13.42578125" style="234" bestFit="1" customWidth="1"/>
    <col min="18" max="18" width="11.42578125" style="207"/>
    <col min="19" max="16384" width="11.42578125" style="231"/>
  </cols>
  <sheetData>
    <row r="1" spans="1:17" ht="19.350000000000001" customHeight="1" thickBot="1">
      <c r="A1" s="203" t="s">
        <v>542</v>
      </c>
      <c r="B1" s="204" t="s">
        <v>543</v>
      </c>
      <c r="C1" s="204"/>
      <c r="D1" s="204"/>
      <c r="E1" s="204"/>
      <c r="F1" s="205" t="s">
        <v>544</v>
      </c>
      <c r="G1" s="205" t="s">
        <v>545</v>
      </c>
      <c r="H1" s="205" t="s">
        <v>546</v>
      </c>
      <c r="I1" s="205" t="s">
        <v>547</v>
      </c>
      <c r="J1" s="205" t="s">
        <v>548</v>
      </c>
      <c r="K1" s="205" t="s">
        <v>135</v>
      </c>
      <c r="L1" s="205" t="s">
        <v>549</v>
      </c>
      <c r="M1" s="205" t="s">
        <v>550</v>
      </c>
      <c r="N1" s="205" t="s">
        <v>551</v>
      </c>
      <c r="O1" s="206" t="s">
        <v>552</v>
      </c>
      <c r="Q1" s="208" t="s">
        <v>553</v>
      </c>
    </row>
    <row r="2" spans="1:17" s="215" customFormat="1" ht="18" customHeight="1">
      <c r="A2" s="209" t="s">
        <v>460</v>
      </c>
      <c r="B2" s="210" t="s">
        <v>461</v>
      </c>
      <c r="C2" s="210">
        <f t="shared" ref="C2:C66" si="0">K2</f>
        <v>6174705565.7399998</v>
      </c>
      <c r="D2" s="210"/>
      <c r="E2" s="210"/>
      <c r="F2" s="211">
        <v>4142633166.3699999</v>
      </c>
      <c r="G2" s="211">
        <v>230991349.16</v>
      </c>
      <c r="H2" s="211">
        <v>230991349.16</v>
      </c>
      <c r="I2" s="211">
        <v>2431094294.0300002</v>
      </c>
      <c r="J2" s="211">
        <v>399021894.66000003</v>
      </c>
      <c r="K2" s="211">
        <v>6174705565.7399998</v>
      </c>
      <c r="L2" s="211">
        <f t="shared" ref="L2:O2" si="1">L3+L84+L93</f>
        <v>2314388776.6399999</v>
      </c>
      <c r="M2" s="211">
        <f t="shared" si="1"/>
        <v>2091925594.8599999</v>
      </c>
      <c r="N2" s="211">
        <f t="shared" si="1"/>
        <v>756565572.08999991</v>
      </c>
      <c r="O2" s="212">
        <f t="shared" si="1"/>
        <v>598127275.01999998</v>
      </c>
      <c r="P2" s="213"/>
      <c r="Q2" s="214">
        <f>Q3+Q84+Q93</f>
        <v>0</v>
      </c>
    </row>
    <row r="3" spans="1:17" s="215" customFormat="1" ht="18" customHeight="1">
      <c r="A3" s="216" t="s">
        <v>462</v>
      </c>
      <c r="B3" s="217" t="s">
        <v>463</v>
      </c>
      <c r="C3" s="217">
        <f t="shared" si="0"/>
        <v>779711826.72000003</v>
      </c>
      <c r="D3" s="217"/>
      <c r="E3" s="217"/>
      <c r="F3" s="218">
        <v>804546442.41999996</v>
      </c>
      <c r="G3" s="218">
        <v>19265000</v>
      </c>
      <c r="H3" s="218">
        <v>19265000</v>
      </c>
      <c r="I3" s="218">
        <v>301237</v>
      </c>
      <c r="J3" s="218">
        <v>25135852.699999999</v>
      </c>
      <c r="K3" s="218">
        <v>779711826.72000003</v>
      </c>
      <c r="L3" s="218">
        <f t="shared" ref="L3:O3" si="2">L4+L37+L70</f>
        <v>201326892.55000001</v>
      </c>
      <c r="M3" s="218">
        <f t="shared" si="2"/>
        <v>170326892.55000001</v>
      </c>
      <c r="N3" s="218">
        <f t="shared" si="2"/>
        <v>108468975.55</v>
      </c>
      <c r="O3" s="219">
        <f t="shared" si="2"/>
        <v>93556977.039999992</v>
      </c>
      <c r="P3" s="213"/>
      <c r="Q3" s="220">
        <f>Q4+Q37+Q70</f>
        <v>0</v>
      </c>
    </row>
    <row r="4" spans="1:17" s="215" customFormat="1" ht="18" customHeight="1">
      <c r="A4" s="216" t="s">
        <v>464</v>
      </c>
      <c r="B4" s="217" t="s">
        <v>554</v>
      </c>
      <c r="C4" s="217">
        <f t="shared" si="0"/>
        <v>391744445.06</v>
      </c>
      <c r="D4" s="217"/>
      <c r="E4" s="217"/>
      <c r="F4" s="218">
        <v>391715297.75999999</v>
      </c>
      <c r="G4" s="218">
        <v>7765000</v>
      </c>
      <c r="H4" s="218">
        <v>1100000</v>
      </c>
      <c r="I4" s="218">
        <v>0</v>
      </c>
      <c r="J4" s="218">
        <v>6635852.7000000002</v>
      </c>
      <c r="K4" s="218">
        <v>391744445.06</v>
      </c>
      <c r="L4" s="218">
        <f t="shared" ref="L4:O4" si="3">L5+L16+L21</f>
        <v>78931718</v>
      </c>
      <c r="M4" s="218">
        <f t="shared" si="3"/>
        <v>78931718</v>
      </c>
      <c r="N4" s="218">
        <f t="shared" si="3"/>
        <v>50315011</v>
      </c>
      <c r="O4" s="219">
        <f t="shared" si="3"/>
        <v>43211308.989999995</v>
      </c>
      <c r="P4" s="213"/>
      <c r="Q4" s="220">
        <f>Q5+Q16+Q21</f>
        <v>0</v>
      </c>
    </row>
    <row r="5" spans="1:17" s="215" customFormat="1" ht="18" customHeight="1">
      <c r="A5" s="216" t="s">
        <v>465</v>
      </c>
      <c r="B5" s="217" t="s">
        <v>555</v>
      </c>
      <c r="C5" s="217">
        <f t="shared" si="0"/>
        <v>273600482.88</v>
      </c>
      <c r="D5" s="217"/>
      <c r="E5" s="217"/>
      <c r="F5" s="218">
        <v>273036335.57999998</v>
      </c>
      <c r="G5" s="218">
        <v>1600000</v>
      </c>
      <c r="H5" s="218">
        <v>0</v>
      </c>
      <c r="I5" s="218">
        <v>0</v>
      </c>
      <c r="J5" s="218">
        <v>1035852.7</v>
      </c>
      <c r="K5" s="218">
        <v>273600482.88</v>
      </c>
      <c r="L5" s="218">
        <f t="shared" ref="L5:O5" si="4">SUM(L6:L7)+SUM(L10:L14)</f>
        <v>33743104</v>
      </c>
      <c r="M5" s="218">
        <f t="shared" si="4"/>
        <v>33743104</v>
      </c>
      <c r="N5" s="218">
        <f t="shared" si="4"/>
        <v>40226497</v>
      </c>
      <c r="O5" s="219">
        <f t="shared" si="4"/>
        <v>33122794.989999998</v>
      </c>
      <c r="P5" s="213"/>
      <c r="Q5" s="220">
        <f>SUM(Q6:Q7)+SUM(Q10:Q14)</f>
        <v>0</v>
      </c>
    </row>
    <row r="6" spans="1:17" s="207" customFormat="1" ht="18" customHeight="1">
      <c r="A6" s="221" t="s">
        <v>556</v>
      </c>
      <c r="B6" s="222" t="s">
        <v>557</v>
      </c>
      <c r="C6" s="222">
        <f t="shared" si="0"/>
        <v>199001421.62</v>
      </c>
      <c r="D6" s="222"/>
      <c r="E6" s="222"/>
      <c r="F6" s="223">
        <v>199001421.62</v>
      </c>
      <c r="G6" s="223">
        <v>0</v>
      </c>
      <c r="H6" s="223">
        <v>0</v>
      </c>
      <c r="I6" s="223">
        <v>0</v>
      </c>
      <c r="J6" s="223">
        <v>0</v>
      </c>
      <c r="K6" s="223">
        <v>199001421.62</v>
      </c>
      <c r="L6" s="223">
        <v>33743104</v>
      </c>
      <c r="M6" s="223">
        <v>33743104</v>
      </c>
      <c r="N6" s="223">
        <v>40226497</v>
      </c>
      <c r="O6" s="224">
        <v>33122794.989999998</v>
      </c>
      <c r="P6" s="225"/>
      <c r="Q6" s="226"/>
    </row>
    <row r="7" spans="1:17" s="215" customFormat="1" ht="18" customHeight="1">
      <c r="A7" s="216" t="s">
        <v>558</v>
      </c>
      <c r="B7" s="217" t="s">
        <v>559</v>
      </c>
      <c r="C7" s="217">
        <f t="shared" si="0"/>
        <v>27230224.079999998</v>
      </c>
      <c r="D7" s="217"/>
      <c r="E7" s="217"/>
      <c r="F7" s="218">
        <v>27230224.079999998</v>
      </c>
      <c r="G7" s="218">
        <v>0</v>
      </c>
      <c r="H7" s="218">
        <v>0</v>
      </c>
      <c r="I7" s="218">
        <v>0</v>
      </c>
      <c r="J7" s="218">
        <v>0</v>
      </c>
      <c r="K7" s="218">
        <v>27230224.079999998</v>
      </c>
      <c r="L7" s="218">
        <f t="shared" ref="L7:O7" si="5">SUM(L8:L9)</f>
        <v>0</v>
      </c>
      <c r="M7" s="218">
        <f t="shared" si="5"/>
        <v>0</v>
      </c>
      <c r="N7" s="218">
        <f t="shared" si="5"/>
        <v>0</v>
      </c>
      <c r="O7" s="219">
        <f t="shared" si="5"/>
        <v>0</v>
      </c>
      <c r="P7" s="213"/>
      <c r="Q7" s="220">
        <f>SUM(Q8:Q9)</f>
        <v>0</v>
      </c>
    </row>
    <row r="8" spans="1:17" s="207" customFormat="1" ht="18" customHeight="1">
      <c r="A8" s="221" t="s">
        <v>560</v>
      </c>
      <c r="B8" s="222" t="s">
        <v>467</v>
      </c>
      <c r="C8" s="222">
        <f t="shared" si="0"/>
        <v>8831425</v>
      </c>
      <c r="D8" s="222"/>
      <c r="E8" s="222"/>
      <c r="F8" s="223">
        <v>8831425</v>
      </c>
      <c r="G8" s="223">
        <v>0</v>
      </c>
      <c r="H8" s="223">
        <v>0</v>
      </c>
      <c r="I8" s="223">
        <v>0</v>
      </c>
      <c r="J8" s="223">
        <v>0</v>
      </c>
      <c r="K8" s="223">
        <v>8831425</v>
      </c>
      <c r="L8" s="223">
        <v>0</v>
      </c>
      <c r="M8" s="223">
        <v>0</v>
      </c>
      <c r="N8" s="223">
        <v>0</v>
      </c>
      <c r="O8" s="224">
        <v>0</v>
      </c>
      <c r="P8" s="225"/>
      <c r="Q8" s="226"/>
    </row>
    <row r="9" spans="1:17" s="207" customFormat="1" ht="18" customHeight="1">
      <c r="A9" s="221" t="s">
        <v>561</v>
      </c>
      <c r="B9" s="222" t="s">
        <v>466</v>
      </c>
      <c r="C9" s="222">
        <f t="shared" si="0"/>
        <v>18398799.079999998</v>
      </c>
      <c r="D9" s="222"/>
      <c r="E9" s="222"/>
      <c r="F9" s="223">
        <v>18398799.079999998</v>
      </c>
      <c r="G9" s="223">
        <v>0</v>
      </c>
      <c r="H9" s="223">
        <v>0</v>
      </c>
      <c r="I9" s="223">
        <v>0</v>
      </c>
      <c r="J9" s="223">
        <v>0</v>
      </c>
      <c r="K9" s="223">
        <v>18398799.079999998</v>
      </c>
      <c r="L9" s="223">
        <v>0</v>
      </c>
      <c r="M9" s="223">
        <v>0</v>
      </c>
      <c r="N9" s="223">
        <v>0</v>
      </c>
      <c r="O9" s="224">
        <v>0</v>
      </c>
      <c r="P9" s="225"/>
      <c r="Q9" s="226"/>
    </row>
    <row r="10" spans="1:17" s="207" customFormat="1" ht="18" customHeight="1">
      <c r="A10" s="221" t="s">
        <v>562</v>
      </c>
      <c r="B10" s="222" t="s">
        <v>563</v>
      </c>
      <c r="C10" s="222">
        <f t="shared" si="0"/>
        <v>7048405</v>
      </c>
      <c r="D10" s="222"/>
      <c r="E10" s="222"/>
      <c r="F10" s="223">
        <v>7048405</v>
      </c>
      <c r="G10" s="223">
        <v>0</v>
      </c>
      <c r="H10" s="223">
        <v>0</v>
      </c>
      <c r="I10" s="223">
        <v>0</v>
      </c>
      <c r="J10" s="223">
        <v>0</v>
      </c>
      <c r="K10" s="223">
        <v>7048405</v>
      </c>
      <c r="L10" s="223">
        <v>0</v>
      </c>
      <c r="M10" s="223">
        <v>0</v>
      </c>
      <c r="N10" s="223">
        <v>0</v>
      </c>
      <c r="O10" s="224">
        <v>0</v>
      </c>
      <c r="P10" s="225"/>
      <c r="Q10" s="226"/>
    </row>
    <row r="11" spans="1:17" s="207" customFormat="1" ht="18" customHeight="1">
      <c r="A11" s="221" t="s">
        <v>564</v>
      </c>
      <c r="B11" s="222" t="s">
        <v>481</v>
      </c>
      <c r="C11" s="222">
        <f t="shared" si="0"/>
        <v>12952755.25</v>
      </c>
      <c r="D11" s="222"/>
      <c r="E11" s="222"/>
      <c r="F11" s="223">
        <v>12952755.25</v>
      </c>
      <c r="G11" s="223">
        <v>0</v>
      </c>
      <c r="H11" s="223">
        <v>0</v>
      </c>
      <c r="I11" s="223">
        <v>0</v>
      </c>
      <c r="J11" s="223">
        <v>0</v>
      </c>
      <c r="K11" s="223">
        <v>12952755.25</v>
      </c>
      <c r="L11" s="223">
        <v>0</v>
      </c>
      <c r="M11" s="223">
        <v>0</v>
      </c>
      <c r="N11" s="223">
        <v>0</v>
      </c>
      <c r="O11" s="224">
        <v>0</v>
      </c>
      <c r="P11" s="225"/>
      <c r="Q11" s="226"/>
    </row>
    <row r="12" spans="1:17" s="207" customFormat="1" ht="18" customHeight="1">
      <c r="A12" s="221" t="s">
        <v>565</v>
      </c>
      <c r="B12" s="222" t="s">
        <v>566</v>
      </c>
      <c r="C12" s="222">
        <f t="shared" si="0"/>
        <v>22500000</v>
      </c>
      <c r="D12" s="222"/>
      <c r="E12" s="222"/>
      <c r="F12" s="223">
        <v>22500000</v>
      </c>
      <c r="G12" s="223">
        <v>0</v>
      </c>
      <c r="H12" s="223">
        <v>0</v>
      </c>
      <c r="I12" s="223">
        <v>0</v>
      </c>
      <c r="J12" s="223">
        <v>0</v>
      </c>
      <c r="K12" s="223">
        <v>22500000</v>
      </c>
      <c r="L12" s="223">
        <v>0</v>
      </c>
      <c r="M12" s="223">
        <v>0</v>
      </c>
      <c r="N12" s="223">
        <v>0</v>
      </c>
      <c r="O12" s="224">
        <v>0</v>
      </c>
      <c r="P12" s="225"/>
      <c r="Q12" s="226"/>
    </row>
    <row r="13" spans="1:17" s="207" customFormat="1" ht="18" customHeight="1">
      <c r="A13" s="221" t="s">
        <v>567</v>
      </c>
      <c r="B13" s="222" t="s">
        <v>568</v>
      </c>
      <c r="C13" s="222">
        <f t="shared" si="0"/>
        <v>964147.3</v>
      </c>
      <c r="D13" s="222"/>
      <c r="E13" s="222"/>
      <c r="F13" s="223">
        <v>2000000</v>
      </c>
      <c r="G13" s="223">
        <v>0</v>
      </c>
      <c r="H13" s="223">
        <v>0</v>
      </c>
      <c r="I13" s="223">
        <v>0</v>
      </c>
      <c r="J13" s="223">
        <v>1035852.7</v>
      </c>
      <c r="K13" s="223">
        <v>964147.3</v>
      </c>
      <c r="L13" s="223">
        <v>0</v>
      </c>
      <c r="M13" s="223">
        <v>0</v>
      </c>
      <c r="N13" s="223">
        <v>0</v>
      </c>
      <c r="O13" s="224">
        <v>0</v>
      </c>
      <c r="P13" s="225"/>
      <c r="Q13" s="226"/>
    </row>
    <row r="14" spans="1:17" s="207" customFormat="1" ht="18" customHeight="1">
      <c r="A14" s="221" t="s">
        <v>569</v>
      </c>
      <c r="B14" s="222" t="s">
        <v>570</v>
      </c>
      <c r="C14" s="222">
        <f t="shared" si="0"/>
        <v>2303529.63</v>
      </c>
      <c r="D14" s="222"/>
      <c r="E14" s="222"/>
      <c r="F14" s="223">
        <v>2303529.63</v>
      </c>
      <c r="G14" s="223">
        <v>0</v>
      </c>
      <c r="H14" s="223">
        <v>0</v>
      </c>
      <c r="I14" s="223">
        <v>0</v>
      </c>
      <c r="J14" s="223">
        <v>0</v>
      </c>
      <c r="K14" s="223">
        <v>2303529.63</v>
      </c>
      <c r="L14" s="223">
        <v>0</v>
      </c>
      <c r="M14" s="223">
        <v>0</v>
      </c>
      <c r="N14" s="223">
        <v>0</v>
      </c>
      <c r="O14" s="224">
        <v>0</v>
      </c>
      <c r="P14" s="225"/>
      <c r="Q14" s="226"/>
    </row>
    <row r="15" spans="1:17" s="323" customFormat="1" ht="18" customHeight="1">
      <c r="A15" s="317" t="s">
        <v>1262</v>
      </c>
      <c r="B15" s="318" t="s">
        <v>1263</v>
      </c>
      <c r="C15" s="318"/>
      <c r="D15" s="318"/>
      <c r="E15" s="318"/>
      <c r="F15" s="319">
        <v>0</v>
      </c>
      <c r="G15" s="319">
        <v>1600000</v>
      </c>
      <c r="H15" s="319">
        <v>0</v>
      </c>
      <c r="I15" s="319">
        <v>0</v>
      </c>
      <c r="J15" s="319">
        <v>0</v>
      </c>
      <c r="K15" s="319">
        <v>1600000</v>
      </c>
      <c r="L15" s="319"/>
      <c r="M15" s="319"/>
      <c r="N15" s="319"/>
      <c r="O15" s="320"/>
      <c r="P15" s="321"/>
      <c r="Q15" s="322"/>
    </row>
    <row r="16" spans="1:17" s="215" customFormat="1" ht="18" customHeight="1">
      <c r="A16" s="216" t="s">
        <v>472</v>
      </c>
      <c r="B16" s="217" t="s">
        <v>34</v>
      </c>
      <c r="C16" s="217">
        <f t="shared" si="0"/>
        <v>35315000</v>
      </c>
      <c r="D16" s="217"/>
      <c r="E16" s="217"/>
      <c r="F16" s="218">
        <v>35850000</v>
      </c>
      <c r="G16" s="218">
        <v>6165000</v>
      </c>
      <c r="H16" s="218">
        <v>1100000</v>
      </c>
      <c r="I16" s="218">
        <v>0</v>
      </c>
      <c r="J16" s="218">
        <v>5600000</v>
      </c>
      <c r="K16" s="218">
        <v>35315000</v>
      </c>
      <c r="L16" s="218">
        <f t="shared" ref="L16:O16" si="6">SUM(L17:L20)</f>
        <v>35040000</v>
      </c>
      <c r="M16" s="218">
        <f t="shared" si="6"/>
        <v>35040000</v>
      </c>
      <c r="N16" s="218">
        <f t="shared" si="6"/>
        <v>0</v>
      </c>
      <c r="O16" s="219">
        <f t="shared" si="6"/>
        <v>0</v>
      </c>
      <c r="P16" s="213"/>
      <c r="Q16" s="220">
        <f>SUM(Q17:Q20)</f>
        <v>0</v>
      </c>
    </row>
    <row r="17" spans="1:17" s="207" customFormat="1" ht="18" customHeight="1">
      <c r="A17" s="221" t="s">
        <v>473</v>
      </c>
      <c r="B17" s="222" t="s">
        <v>468</v>
      </c>
      <c r="C17" s="222">
        <f t="shared" si="0"/>
        <v>29150000</v>
      </c>
      <c r="D17" s="222"/>
      <c r="E17" s="222"/>
      <c r="F17" s="223">
        <v>30250000</v>
      </c>
      <c r="G17" s="223">
        <v>0</v>
      </c>
      <c r="H17" s="223">
        <v>1100000</v>
      </c>
      <c r="I17" s="223">
        <v>0</v>
      </c>
      <c r="J17" s="223">
        <v>0</v>
      </c>
      <c r="K17" s="223">
        <v>29150000</v>
      </c>
      <c r="L17" s="223">
        <v>28875000</v>
      </c>
      <c r="M17" s="223">
        <v>28875000</v>
      </c>
      <c r="N17" s="223">
        <v>0</v>
      </c>
      <c r="O17" s="224">
        <v>0</v>
      </c>
      <c r="P17" s="225"/>
      <c r="Q17" s="226"/>
    </row>
    <row r="18" spans="1:17" s="207" customFormat="1" ht="18" customHeight="1">
      <c r="A18" s="221" t="s">
        <v>571</v>
      </c>
      <c r="B18" s="222" t="s">
        <v>572</v>
      </c>
      <c r="C18" s="222">
        <f t="shared" si="0"/>
        <v>0</v>
      </c>
      <c r="D18" s="222"/>
      <c r="E18" s="222"/>
      <c r="F18" s="223">
        <v>3600000</v>
      </c>
      <c r="G18" s="223">
        <v>0</v>
      </c>
      <c r="H18" s="223">
        <v>0</v>
      </c>
      <c r="I18" s="223">
        <v>0</v>
      </c>
      <c r="J18" s="223">
        <v>3600000</v>
      </c>
      <c r="K18" s="223">
        <v>0</v>
      </c>
      <c r="L18" s="223">
        <v>0</v>
      </c>
      <c r="M18" s="223">
        <v>0</v>
      </c>
      <c r="N18" s="223">
        <v>0</v>
      </c>
      <c r="O18" s="224">
        <v>0</v>
      </c>
      <c r="P18" s="225"/>
      <c r="Q18" s="226"/>
    </row>
    <row r="19" spans="1:17" s="207" customFormat="1" ht="18" customHeight="1">
      <c r="A19" s="221" t="s">
        <v>573</v>
      </c>
      <c r="B19" s="222" t="s">
        <v>574</v>
      </c>
      <c r="C19" s="222">
        <f t="shared" si="0"/>
        <v>0</v>
      </c>
      <c r="D19" s="222"/>
      <c r="E19" s="222"/>
      <c r="F19" s="223">
        <v>2000000</v>
      </c>
      <c r="G19" s="223">
        <v>0</v>
      </c>
      <c r="H19" s="223">
        <v>0</v>
      </c>
      <c r="I19" s="223">
        <v>0</v>
      </c>
      <c r="J19" s="223">
        <v>2000000</v>
      </c>
      <c r="K19" s="223">
        <v>0</v>
      </c>
      <c r="L19" s="223">
        <v>0</v>
      </c>
      <c r="M19" s="223">
        <v>0</v>
      </c>
      <c r="N19" s="223">
        <v>0</v>
      </c>
      <c r="O19" s="224">
        <v>0</v>
      </c>
      <c r="P19" s="225"/>
      <c r="Q19" s="226"/>
    </row>
    <row r="20" spans="1:17" s="207" customFormat="1" ht="18" customHeight="1">
      <c r="A20" s="221" t="s">
        <v>575</v>
      </c>
      <c r="B20" s="222" t="s">
        <v>576</v>
      </c>
      <c r="C20" s="222">
        <f t="shared" si="0"/>
        <v>6165000</v>
      </c>
      <c r="D20" s="222"/>
      <c r="E20" s="222"/>
      <c r="F20" s="223">
        <v>0</v>
      </c>
      <c r="G20" s="223">
        <v>6165000</v>
      </c>
      <c r="H20" s="223">
        <v>0</v>
      </c>
      <c r="I20" s="223">
        <v>0</v>
      </c>
      <c r="J20" s="223">
        <v>0</v>
      </c>
      <c r="K20" s="223">
        <v>6165000</v>
      </c>
      <c r="L20" s="223">
        <v>6165000</v>
      </c>
      <c r="M20" s="223">
        <v>6165000</v>
      </c>
      <c r="N20" s="223">
        <v>0</v>
      </c>
      <c r="O20" s="224">
        <v>0</v>
      </c>
      <c r="P20" s="225"/>
      <c r="Q20" s="226"/>
    </row>
    <row r="21" spans="1:17" s="215" customFormat="1" ht="18" customHeight="1">
      <c r="A21" s="216" t="s">
        <v>475</v>
      </c>
      <c r="B21" s="217" t="s">
        <v>577</v>
      </c>
      <c r="C21" s="217">
        <f t="shared" si="0"/>
        <v>82828962.180000007</v>
      </c>
      <c r="D21" s="217"/>
      <c r="E21" s="217"/>
      <c r="F21" s="218">
        <v>82828962.180000007</v>
      </c>
      <c r="G21" s="218">
        <v>0</v>
      </c>
      <c r="H21" s="218">
        <v>0</v>
      </c>
      <c r="I21" s="218">
        <v>0</v>
      </c>
      <c r="J21" s="218">
        <v>0</v>
      </c>
      <c r="K21" s="218">
        <v>82828962.180000007</v>
      </c>
      <c r="L21" s="218">
        <f t="shared" ref="L21:O21" si="7">L22++L26+L31</f>
        <v>10148614</v>
      </c>
      <c r="M21" s="218">
        <f t="shared" si="7"/>
        <v>10148614</v>
      </c>
      <c r="N21" s="218">
        <f t="shared" si="7"/>
        <v>10088514</v>
      </c>
      <c r="O21" s="219">
        <f t="shared" si="7"/>
        <v>10088514</v>
      </c>
      <c r="P21" s="213"/>
      <c r="Q21" s="220">
        <f>Q22++Q26+Q31</f>
        <v>0</v>
      </c>
    </row>
    <row r="22" spans="1:17" s="215" customFormat="1" ht="18" customHeight="1">
      <c r="A22" s="216" t="s">
        <v>476</v>
      </c>
      <c r="B22" s="217" t="s">
        <v>578</v>
      </c>
      <c r="C22" s="217">
        <f t="shared" si="0"/>
        <v>6045928</v>
      </c>
      <c r="D22" s="217"/>
      <c r="E22" s="217"/>
      <c r="F22" s="218">
        <v>6045928</v>
      </c>
      <c r="G22" s="218">
        <v>0</v>
      </c>
      <c r="H22" s="218">
        <v>0</v>
      </c>
      <c r="I22" s="218">
        <v>0</v>
      </c>
      <c r="J22" s="218">
        <v>0</v>
      </c>
      <c r="K22" s="218">
        <v>6045928</v>
      </c>
      <c r="L22" s="218">
        <f t="shared" ref="L22:O22" si="8">L23</f>
        <v>176000</v>
      </c>
      <c r="M22" s="218">
        <f t="shared" si="8"/>
        <v>176000</v>
      </c>
      <c r="N22" s="218">
        <f t="shared" si="8"/>
        <v>175400</v>
      </c>
      <c r="O22" s="219">
        <f t="shared" si="8"/>
        <v>175400</v>
      </c>
      <c r="P22" s="213"/>
      <c r="Q22" s="220">
        <f>Q23</f>
        <v>0</v>
      </c>
    </row>
    <row r="23" spans="1:17" s="215" customFormat="1" ht="18" customHeight="1">
      <c r="A23" s="216" t="s">
        <v>477</v>
      </c>
      <c r="B23" s="217" t="s">
        <v>579</v>
      </c>
      <c r="C23" s="217">
        <f t="shared" si="0"/>
        <v>6045928</v>
      </c>
      <c r="D23" s="217"/>
      <c r="E23" s="217"/>
      <c r="F23" s="218">
        <v>6045928</v>
      </c>
      <c r="G23" s="218">
        <v>0</v>
      </c>
      <c r="H23" s="218">
        <v>0</v>
      </c>
      <c r="I23" s="218">
        <v>0</v>
      </c>
      <c r="J23" s="218">
        <v>0</v>
      </c>
      <c r="K23" s="218">
        <v>6045928</v>
      </c>
      <c r="L23" s="218">
        <f t="shared" ref="L23:O23" si="9">SUM(L24:L25)</f>
        <v>176000</v>
      </c>
      <c r="M23" s="218">
        <f t="shared" si="9"/>
        <v>176000</v>
      </c>
      <c r="N23" s="218">
        <f t="shared" si="9"/>
        <v>175400</v>
      </c>
      <c r="O23" s="219">
        <f t="shared" si="9"/>
        <v>175400</v>
      </c>
      <c r="P23" s="213"/>
      <c r="Q23" s="220">
        <f>SUM(Q24:Q25)</f>
        <v>0</v>
      </c>
    </row>
    <row r="24" spans="1:17" s="207" customFormat="1" ht="18" customHeight="1">
      <c r="A24" s="221" t="s">
        <v>580</v>
      </c>
      <c r="B24" s="222" t="s">
        <v>581</v>
      </c>
      <c r="C24" s="222">
        <f t="shared" si="0"/>
        <v>4939528</v>
      </c>
      <c r="D24" s="222"/>
      <c r="E24" s="222"/>
      <c r="F24" s="223">
        <v>4939528</v>
      </c>
      <c r="G24" s="223">
        <v>0</v>
      </c>
      <c r="H24" s="223">
        <v>0</v>
      </c>
      <c r="I24" s="223">
        <v>0</v>
      </c>
      <c r="J24" s="223">
        <v>0</v>
      </c>
      <c r="K24" s="223">
        <v>4939528</v>
      </c>
      <c r="L24" s="223">
        <v>0</v>
      </c>
      <c r="M24" s="223">
        <v>0</v>
      </c>
      <c r="N24" s="223">
        <v>0</v>
      </c>
      <c r="O24" s="224">
        <v>0</v>
      </c>
      <c r="P24" s="225"/>
      <c r="Q24" s="226"/>
    </row>
    <row r="25" spans="1:17" s="207" customFormat="1" ht="18" customHeight="1">
      <c r="A25" s="221" t="s">
        <v>582</v>
      </c>
      <c r="B25" s="222" t="s">
        <v>583</v>
      </c>
      <c r="C25" s="222">
        <f t="shared" si="0"/>
        <v>1106400</v>
      </c>
      <c r="D25" s="222"/>
      <c r="E25" s="222"/>
      <c r="F25" s="223">
        <v>1106400</v>
      </c>
      <c r="G25" s="223">
        <v>0</v>
      </c>
      <c r="H25" s="223">
        <v>0</v>
      </c>
      <c r="I25" s="223">
        <v>0</v>
      </c>
      <c r="J25" s="223">
        <v>0</v>
      </c>
      <c r="K25" s="223">
        <v>1106400</v>
      </c>
      <c r="L25" s="223">
        <v>176000</v>
      </c>
      <c r="M25" s="223">
        <v>176000</v>
      </c>
      <c r="N25" s="223">
        <v>175400</v>
      </c>
      <c r="O25" s="224">
        <v>175400</v>
      </c>
      <c r="P25" s="225"/>
      <c r="Q25" s="226"/>
    </row>
    <row r="26" spans="1:17" s="215" customFormat="1" ht="18" customHeight="1">
      <c r="A26" s="216" t="s">
        <v>478</v>
      </c>
      <c r="B26" s="217" t="s">
        <v>584</v>
      </c>
      <c r="C26" s="217">
        <f t="shared" si="0"/>
        <v>57707158.259999998</v>
      </c>
      <c r="D26" s="217"/>
      <c r="E26" s="217"/>
      <c r="F26" s="218">
        <v>57707158.259999998</v>
      </c>
      <c r="G26" s="218">
        <v>0</v>
      </c>
      <c r="H26" s="218">
        <v>0</v>
      </c>
      <c r="I26" s="218">
        <v>0</v>
      </c>
      <c r="J26" s="218">
        <v>0</v>
      </c>
      <c r="K26" s="218">
        <v>57707158.259999998</v>
      </c>
      <c r="L26" s="218">
        <f t="shared" ref="L26:O26" si="10">L27</f>
        <v>6933800</v>
      </c>
      <c r="M26" s="218">
        <f t="shared" si="10"/>
        <v>6933800</v>
      </c>
      <c r="N26" s="218">
        <f t="shared" si="10"/>
        <v>6884900</v>
      </c>
      <c r="O26" s="219">
        <f t="shared" si="10"/>
        <v>6884900</v>
      </c>
      <c r="P26" s="213"/>
      <c r="Q26" s="220">
        <f>Q27</f>
        <v>0</v>
      </c>
    </row>
    <row r="27" spans="1:17" s="215" customFormat="1" ht="18" customHeight="1">
      <c r="A27" s="216" t="s">
        <v>479</v>
      </c>
      <c r="B27" s="217" t="s">
        <v>585</v>
      </c>
      <c r="C27" s="217">
        <f t="shared" si="0"/>
        <v>57707158.259999998</v>
      </c>
      <c r="D27" s="217"/>
      <c r="E27" s="217"/>
      <c r="F27" s="218">
        <v>57707158.259999998</v>
      </c>
      <c r="G27" s="218">
        <v>0</v>
      </c>
      <c r="H27" s="218">
        <v>0</v>
      </c>
      <c r="I27" s="218">
        <v>0</v>
      </c>
      <c r="J27" s="218">
        <v>0</v>
      </c>
      <c r="K27" s="218">
        <v>57707158.259999998</v>
      </c>
      <c r="L27" s="218">
        <f t="shared" ref="L27:O27" si="11">SUM(L28:L30)</f>
        <v>6933800</v>
      </c>
      <c r="M27" s="218">
        <f t="shared" si="11"/>
        <v>6933800</v>
      </c>
      <c r="N27" s="218">
        <f t="shared" si="11"/>
        <v>6884900</v>
      </c>
      <c r="O27" s="219">
        <f t="shared" si="11"/>
        <v>6884900</v>
      </c>
      <c r="P27" s="213"/>
      <c r="Q27" s="220">
        <f>SUM(Q28:Q30)</f>
        <v>0</v>
      </c>
    </row>
    <row r="28" spans="1:17" s="207" customFormat="1" ht="18" customHeight="1">
      <c r="A28" s="221" t="s">
        <v>586</v>
      </c>
      <c r="B28" s="222" t="s">
        <v>587</v>
      </c>
      <c r="C28" s="222">
        <f t="shared" si="0"/>
        <v>18016105</v>
      </c>
      <c r="D28" s="222"/>
      <c r="E28" s="222"/>
      <c r="F28" s="223">
        <v>18016105</v>
      </c>
      <c r="G28" s="223">
        <v>0</v>
      </c>
      <c r="H28" s="223">
        <v>0</v>
      </c>
      <c r="I28" s="223">
        <v>0</v>
      </c>
      <c r="J28" s="223">
        <v>0</v>
      </c>
      <c r="K28" s="223">
        <v>18016105</v>
      </c>
      <c r="L28" s="223">
        <v>2879600</v>
      </c>
      <c r="M28" s="223">
        <v>2879600</v>
      </c>
      <c r="N28" s="223">
        <v>2848900</v>
      </c>
      <c r="O28" s="224">
        <v>2848900</v>
      </c>
      <c r="P28" s="225"/>
      <c r="Q28" s="226"/>
    </row>
    <row r="29" spans="1:17" s="207" customFormat="1" ht="18" customHeight="1">
      <c r="A29" s="221" t="s">
        <v>588</v>
      </c>
      <c r="B29" s="222" t="s">
        <v>581</v>
      </c>
      <c r="C29" s="222">
        <f t="shared" si="0"/>
        <v>20494973</v>
      </c>
      <c r="D29" s="222"/>
      <c r="E29" s="222"/>
      <c r="F29" s="223">
        <v>20494973</v>
      </c>
      <c r="G29" s="223">
        <v>0</v>
      </c>
      <c r="H29" s="223">
        <v>0</v>
      </c>
      <c r="I29" s="223">
        <v>0</v>
      </c>
      <c r="J29" s="223">
        <v>0</v>
      </c>
      <c r="K29" s="223">
        <v>20494973</v>
      </c>
      <c r="L29" s="223">
        <v>4054200</v>
      </c>
      <c r="M29" s="223">
        <v>4054200</v>
      </c>
      <c r="N29" s="223">
        <v>4036000</v>
      </c>
      <c r="O29" s="224">
        <v>4036000</v>
      </c>
      <c r="P29" s="225"/>
      <c r="Q29" s="226"/>
    </row>
    <row r="30" spans="1:17" s="207" customFormat="1" ht="18" customHeight="1">
      <c r="A30" s="221" t="s">
        <v>589</v>
      </c>
      <c r="B30" s="222" t="s">
        <v>590</v>
      </c>
      <c r="C30" s="222">
        <f t="shared" si="0"/>
        <v>19196080.260000002</v>
      </c>
      <c r="D30" s="222"/>
      <c r="E30" s="222"/>
      <c r="F30" s="223">
        <v>19196080.260000002</v>
      </c>
      <c r="G30" s="223">
        <v>0</v>
      </c>
      <c r="H30" s="223">
        <v>0</v>
      </c>
      <c r="I30" s="223">
        <v>0</v>
      </c>
      <c r="J30" s="223">
        <v>0</v>
      </c>
      <c r="K30" s="223">
        <v>19196080.260000002</v>
      </c>
      <c r="L30" s="223">
        <v>0</v>
      </c>
      <c r="M30" s="223">
        <v>0</v>
      </c>
      <c r="N30" s="223">
        <v>0</v>
      </c>
      <c r="O30" s="224">
        <v>0</v>
      </c>
      <c r="P30" s="225"/>
      <c r="Q30" s="226"/>
    </row>
    <row r="31" spans="1:17" s="215" customFormat="1" ht="18" customHeight="1">
      <c r="A31" s="216" t="s">
        <v>591</v>
      </c>
      <c r="B31" s="217" t="s">
        <v>592</v>
      </c>
      <c r="C31" s="217">
        <f t="shared" si="0"/>
        <v>19075875.920000002</v>
      </c>
      <c r="D31" s="217"/>
      <c r="E31" s="217"/>
      <c r="F31" s="218">
        <v>19075875.920000002</v>
      </c>
      <c r="G31" s="218">
        <v>0</v>
      </c>
      <c r="H31" s="218">
        <v>0</v>
      </c>
      <c r="I31" s="218">
        <v>0</v>
      </c>
      <c r="J31" s="218">
        <v>0</v>
      </c>
      <c r="K31" s="218">
        <v>19075875.920000002</v>
      </c>
      <c r="L31" s="218">
        <f t="shared" ref="L31:O31" si="12">SUM(L32:L36)</f>
        <v>3038814</v>
      </c>
      <c r="M31" s="218">
        <f t="shared" si="12"/>
        <v>3038814</v>
      </c>
      <c r="N31" s="218">
        <f t="shared" si="12"/>
        <v>3028214</v>
      </c>
      <c r="O31" s="219">
        <f t="shared" si="12"/>
        <v>3028214</v>
      </c>
      <c r="P31" s="213"/>
      <c r="Q31" s="220">
        <f>SUM(Q32:Q36)</f>
        <v>0</v>
      </c>
    </row>
    <row r="32" spans="1:17" s="207" customFormat="1" ht="18" customHeight="1">
      <c r="A32" s="221" t="s">
        <v>593</v>
      </c>
      <c r="B32" s="222" t="s">
        <v>594</v>
      </c>
      <c r="C32" s="222">
        <f t="shared" si="0"/>
        <v>1059770.8799999999</v>
      </c>
      <c r="D32" s="222"/>
      <c r="E32" s="222"/>
      <c r="F32" s="223">
        <v>1059770.8799999999</v>
      </c>
      <c r="G32" s="223">
        <v>0</v>
      </c>
      <c r="H32" s="223">
        <v>0</v>
      </c>
      <c r="I32" s="223">
        <v>0</v>
      </c>
      <c r="J32" s="223">
        <v>0</v>
      </c>
      <c r="K32" s="223">
        <v>1059770.8799999999</v>
      </c>
      <c r="L32" s="223">
        <v>168600</v>
      </c>
      <c r="M32" s="223">
        <v>168600</v>
      </c>
      <c r="N32" s="223">
        <v>168100</v>
      </c>
      <c r="O32" s="224">
        <v>168100</v>
      </c>
      <c r="P32" s="225"/>
      <c r="Q32" s="226"/>
    </row>
    <row r="33" spans="1:18" s="207" customFormat="1" ht="18" customHeight="1">
      <c r="A33" s="221" t="s">
        <v>595</v>
      </c>
      <c r="B33" s="222" t="s">
        <v>596</v>
      </c>
      <c r="C33" s="222">
        <f t="shared" si="0"/>
        <v>6358625.3099999996</v>
      </c>
      <c r="D33" s="222"/>
      <c r="E33" s="222"/>
      <c r="F33" s="223">
        <v>6358625.3099999996</v>
      </c>
      <c r="G33" s="223">
        <v>0</v>
      </c>
      <c r="H33" s="223">
        <v>0</v>
      </c>
      <c r="I33" s="223">
        <v>0</v>
      </c>
      <c r="J33" s="223">
        <v>0</v>
      </c>
      <c r="K33" s="223">
        <v>6358625.3099999996</v>
      </c>
      <c r="L33" s="223">
        <v>1012700</v>
      </c>
      <c r="M33" s="223">
        <v>1012700</v>
      </c>
      <c r="N33" s="223">
        <v>1009100</v>
      </c>
      <c r="O33" s="224">
        <v>1009100</v>
      </c>
      <c r="P33" s="225"/>
      <c r="Q33" s="226"/>
    </row>
    <row r="34" spans="1:18" s="207" customFormat="1" ht="18" customHeight="1">
      <c r="A34" s="221" t="s">
        <v>597</v>
      </c>
      <c r="B34" s="222" t="s">
        <v>598</v>
      </c>
      <c r="C34" s="222">
        <f t="shared" si="0"/>
        <v>1059770.8799999999</v>
      </c>
      <c r="D34" s="222"/>
      <c r="E34" s="222"/>
      <c r="F34" s="223">
        <v>1059770.8799999999</v>
      </c>
      <c r="G34" s="223">
        <v>0</v>
      </c>
      <c r="H34" s="223">
        <v>0</v>
      </c>
      <c r="I34" s="223">
        <v>0</v>
      </c>
      <c r="J34" s="223">
        <v>0</v>
      </c>
      <c r="K34" s="223">
        <v>1059770.8799999999</v>
      </c>
      <c r="L34" s="223">
        <v>168600</v>
      </c>
      <c r="M34" s="223">
        <v>168600</v>
      </c>
      <c r="N34" s="223">
        <v>168100</v>
      </c>
      <c r="O34" s="224">
        <v>168100</v>
      </c>
      <c r="P34" s="225"/>
      <c r="Q34" s="226"/>
    </row>
    <row r="35" spans="1:18" s="207" customFormat="1" ht="18" customHeight="1">
      <c r="A35" s="221" t="s">
        <v>599</v>
      </c>
      <c r="B35" s="222" t="s">
        <v>600</v>
      </c>
      <c r="C35" s="222">
        <f t="shared" si="0"/>
        <v>8478167.0800000001</v>
      </c>
      <c r="D35" s="222"/>
      <c r="E35" s="222"/>
      <c r="F35" s="223">
        <v>8478167.0800000001</v>
      </c>
      <c r="G35" s="223">
        <v>0</v>
      </c>
      <c r="H35" s="223">
        <v>0</v>
      </c>
      <c r="I35" s="223">
        <v>0</v>
      </c>
      <c r="J35" s="223">
        <v>0</v>
      </c>
      <c r="K35" s="223">
        <v>8478167.0800000001</v>
      </c>
      <c r="L35" s="223">
        <v>1350814</v>
      </c>
      <c r="M35" s="223">
        <v>1350814</v>
      </c>
      <c r="N35" s="223">
        <v>1346214</v>
      </c>
      <c r="O35" s="224">
        <v>1346214</v>
      </c>
      <c r="P35" s="225"/>
      <c r="Q35" s="226"/>
    </row>
    <row r="36" spans="1:18" s="207" customFormat="1" ht="18" customHeight="1">
      <c r="A36" s="221" t="s">
        <v>601</v>
      </c>
      <c r="B36" s="222" t="s">
        <v>602</v>
      </c>
      <c r="C36" s="222">
        <f t="shared" si="0"/>
        <v>2119541.77</v>
      </c>
      <c r="D36" s="222"/>
      <c r="E36" s="222"/>
      <c r="F36" s="223">
        <v>2119541.77</v>
      </c>
      <c r="G36" s="223">
        <v>0</v>
      </c>
      <c r="H36" s="223">
        <v>0</v>
      </c>
      <c r="I36" s="223">
        <v>0</v>
      </c>
      <c r="J36" s="223">
        <v>0</v>
      </c>
      <c r="K36" s="223">
        <v>2119541.77</v>
      </c>
      <c r="L36" s="223">
        <v>338100</v>
      </c>
      <c r="M36" s="223">
        <v>338100</v>
      </c>
      <c r="N36" s="223">
        <v>336700</v>
      </c>
      <c r="O36" s="224">
        <v>336700</v>
      </c>
      <c r="P36" s="225"/>
      <c r="Q36" s="226"/>
    </row>
    <row r="37" spans="1:18" s="215" customFormat="1" ht="18" customHeight="1">
      <c r="A37" s="216" t="s">
        <v>603</v>
      </c>
      <c r="B37" s="217" t="s">
        <v>604</v>
      </c>
      <c r="C37" s="217">
        <f t="shared" si="0"/>
        <v>140136237</v>
      </c>
      <c r="D37" s="217"/>
      <c r="E37" s="217"/>
      <c r="F37" s="218">
        <v>165000000</v>
      </c>
      <c r="G37" s="218">
        <v>11500000</v>
      </c>
      <c r="H37" s="218">
        <v>18165000</v>
      </c>
      <c r="I37" s="218">
        <v>301237</v>
      </c>
      <c r="J37" s="218">
        <v>18500000</v>
      </c>
      <c r="K37" s="218">
        <v>140136237</v>
      </c>
      <c r="L37" s="218">
        <f t="shared" ref="L37:O37" si="13">L38+L44+L68+L69+L67</f>
        <v>82968124.549999997</v>
      </c>
      <c r="M37" s="218">
        <f t="shared" si="13"/>
        <v>51968124.549999997</v>
      </c>
      <c r="N37" s="218">
        <f t="shared" si="13"/>
        <v>18468714.550000001</v>
      </c>
      <c r="O37" s="219">
        <f t="shared" si="13"/>
        <v>14918618.050000001</v>
      </c>
      <c r="P37" s="213"/>
      <c r="Q37" s="220">
        <f>Q38+Q44+Q68+Q69+Q67</f>
        <v>0</v>
      </c>
      <c r="R37" s="227"/>
    </row>
    <row r="38" spans="1:18" s="215" customFormat="1" ht="18" customHeight="1">
      <c r="A38" s="216" t="s">
        <v>605</v>
      </c>
      <c r="B38" s="217" t="s">
        <v>35</v>
      </c>
      <c r="C38" s="217">
        <f t="shared" si="0"/>
        <v>18500000</v>
      </c>
      <c r="D38" s="217"/>
      <c r="E38" s="217"/>
      <c r="F38" s="218">
        <v>24000000</v>
      </c>
      <c r="G38" s="218">
        <v>0</v>
      </c>
      <c r="H38" s="218">
        <v>2000000</v>
      </c>
      <c r="I38" s="218">
        <v>0</v>
      </c>
      <c r="J38" s="218">
        <v>3500000</v>
      </c>
      <c r="K38" s="218">
        <v>18500000</v>
      </c>
      <c r="L38" s="218">
        <f t="shared" ref="L38:O38" si="14">SUM(L39:L41)</f>
        <v>18500000</v>
      </c>
      <c r="M38" s="218">
        <f t="shared" si="14"/>
        <v>18500000</v>
      </c>
      <c r="N38" s="218">
        <f t="shared" si="14"/>
        <v>883890</v>
      </c>
      <c r="O38" s="219">
        <f t="shared" si="14"/>
        <v>0</v>
      </c>
      <c r="P38" s="213"/>
      <c r="Q38" s="220">
        <f>SUM(Q39:Q41)</f>
        <v>0</v>
      </c>
    </row>
    <row r="39" spans="1:18" s="207" customFormat="1" ht="18" customHeight="1">
      <c r="A39" s="221" t="s">
        <v>606</v>
      </c>
      <c r="B39" s="222" t="s">
        <v>607</v>
      </c>
      <c r="C39" s="222">
        <f t="shared" si="0"/>
        <v>0</v>
      </c>
      <c r="D39" s="222"/>
      <c r="E39" s="222"/>
      <c r="F39" s="223">
        <v>2000000</v>
      </c>
      <c r="G39" s="223">
        <v>0</v>
      </c>
      <c r="H39" s="223">
        <v>0</v>
      </c>
      <c r="I39" s="223">
        <v>0</v>
      </c>
      <c r="J39" s="223">
        <v>2000000</v>
      </c>
      <c r="K39" s="223">
        <v>0</v>
      </c>
      <c r="L39" s="223">
        <v>0</v>
      </c>
      <c r="M39" s="223">
        <v>0</v>
      </c>
      <c r="N39" s="223">
        <v>0</v>
      </c>
      <c r="O39" s="224">
        <v>0</v>
      </c>
      <c r="P39" s="225"/>
      <c r="Q39" s="226"/>
    </row>
    <row r="40" spans="1:18" s="207" customFormat="1" ht="18" customHeight="1">
      <c r="A40" s="221" t="s">
        <v>608</v>
      </c>
      <c r="B40" s="222" t="s">
        <v>469</v>
      </c>
      <c r="C40" s="222">
        <f t="shared" si="0"/>
        <v>6000000</v>
      </c>
      <c r="D40" s="222"/>
      <c r="E40" s="222"/>
      <c r="F40" s="223">
        <v>9500000</v>
      </c>
      <c r="G40" s="223">
        <v>0</v>
      </c>
      <c r="H40" s="223">
        <v>2000000</v>
      </c>
      <c r="I40" s="223">
        <v>0</v>
      </c>
      <c r="J40" s="223">
        <v>1500000</v>
      </c>
      <c r="K40" s="223">
        <v>6000000</v>
      </c>
      <c r="L40" s="223">
        <v>6000000</v>
      </c>
      <c r="M40" s="223">
        <v>6000000</v>
      </c>
      <c r="N40" s="223">
        <v>0</v>
      </c>
      <c r="O40" s="224">
        <v>0</v>
      </c>
      <c r="P40" s="225"/>
      <c r="Q40" s="226"/>
    </row>
    <row r="41" spans="1:18" s="215" customFormat="1" ht="18" customHeight="1">
      <c r="A41" s="216" t="s">
        <v>609</v>
      </c>
      <c r="B41" s="217" t="s">
        <v>610</v>
      </c>
      <c r="C41" s="217">
        <f t="shared" si="0"/>
        <v>12500000</v>
      </c>
      <c r="D41" s="217"/>
      <c r="E41" s="217"/>
      <c r="F41" s="218">
        <v>12500000</v>
      </c>
      <c r="G41" s="218">
        <v>0</v>
      </c>
      <c r="H41" s="218">
        <v>0</v>
      </c>
      <c r="I41" s="218">
        <v>0</v>
      </c>
      <c r="J41" s="218">
        <v>0</v>
      </c>
      <c r="K41" s="218">
        <v>12500000</v>
      </c>
      <c r="L41" s="218">
        <f t="shared" ref="L41:O41" si="15">L42+L43</f>
        <v>12500000</v>
      </c>
      <c r="M41" s="218">
        <f t="shared" si="15"/>
        <v>12500000</v>
      </c>
      <c r="N41" s="218">
        <f t="shared" si="15"/>
        <v>883890</v>
      </c>
      <c r="O41" s="219">
        <f t="shared" si="15"/>
        <v>0</v>
      </c>
      <c r="P41" s="213"/>
      <c r="Q41" s="220">
        <f>Q42+Q43</f>
        <v>0</v>
      </c>
    </row>
    <row r="42" spans="1:18" s="207" customFormat="1" ht="18" customHeight="1">
      <c r="A42" s="221" t="s">
        <v>611</v>
      </c>
      <c r="B42" s="222" t="s">
        <v>612</v>
      </c>
      <c r="C42" s="222">
        <f t="shared" si="0"/>
        <v>9500000</v>
      </c>
      <c r="D42" s="222"/>
      <c r="E42" s="222"/>
      <c r="F42" s="223">
        <v>9500000</v>
      </c>
      <c r="G42" s="223">
        <v>0</v>
      </c>
      <c r="H42" s="223">
        <v>0</v>
      </c>
      <c r="I42" s="223">
        <v>0</v>
      </c>
      <c r="J42" s="223">
        <v>0</v>
      </c>
      <c r="K42" s="223">
        <v>9500000</v>
      </c>
      <c r="L42" s="223">
        <v>9500000</v>
      </c>
      <c r="M42" s="223">
        <v>9500000</v>
      </c>
      <c r="N42" s="223">
        <v>883890</v>
      </c>
      <c r="O42" s="224">
        <v>0</v>
      </c>
      <c r="P42" s="225"/>
      <c r="Q42" s="226"/>
    </row>
    <row r="43" spans="1:18" s="207" customFormat="1" ht="18" customHeight="1">
      <c r="A43" s="221" t="s">
        <v>613</v>
      </c>
      <c r="B43" s="222" t="s">
        <v>614</v>
      </c>
      <c r="C43" s="222">
        <f t="shared" si="0"/>
        <v>3000000</v>
      </c>
      <c r="D43" s="222"/>
      <c r="E43" s="222"/>
      <c r="F43" s="223">
        <v>3000000</v>
      </c>
      <c r="G43" s="223">
        <v>0</v>
      </c>
      <c r="H43" s="223">
        <v>0</v>
      </c>
      <c r="I43" s="223">
        <v>0</v>
      </c>
      <c r="J43" s="223">
        <v>0</v>
      </c>
      <c r="K43" s="223">
        <v>3000000</v>
      </c>
      <c r="L43" s="223">
        <v>3000000</v>
      </c>
      <c r="M43" s="223">
        <v>3000000</v>
      </c>
      <c r="N43" s="223">
        <v>0</v>
      </c>
      <c r="O43" s="224">
        <v>0</v>
      </c>
      <c r="P43" s="225"/>
      <c r="Q43" s="226"/>
    </row>
    <row r="44" spans="1:18" s="215" customFormat="1" ht="18" customHeight="1">
      <c r="A44" s="216" t="s">
        <v>615</v>
      </c>
      <c r="B44" s="217" t="s">
        <v>36</v>
      </c>
      <c r="C44" s="217">
        <f t="shared" si="0"/>
        <v>113835000</v>
      </c>
      <c r="D44" s="217"/>
      <c r="E44" s="217"/>
      <c r="F44" s="218">
        <v>132500000</v>
      </c>
      <c r="G44" s="218">
        <v>11500000</v>
      </c>
      <c r="H44" s="218">
        <v>15165000</v>
      </c>
      <c r="I44" s="218">
        <v>0</v>
      </c>
      <c r="J44" s="218">
        <v>15000000</v>
      </c>
      <c r="K44" s="218">
        <v>113835000</v>
      </c>
      <c r="L44" s="218">
        <f t="shared" ref="L44:O44" si="16">SUM(L45:L47)+SUM(L54:L55)+SUM(L60:L64)</f>
        <v>63813024.549999997</v>
      </c>
      <c r="M44" s="218">
        <f t="shared" si="16"/>
        <v>32813024.550000001</v>
      </c>
      <c r="N44" s="218">
        <f t="shared" si="16"/>
        <v>16929724.550000001</v>
      </c>
      <c r="O44" s="219">
        <f t="shared" si="16"/>
        <v>14568618.050000001</v>
      </c>
      <c r="P44" s="213"/>
      <c r="Q44" s="220">
        <f>SUM(Q45:Q47)+SUM(Q54:Q55)+SUM(Q60:Q64)</f>
        <v>0</v>
      </c>
    </row>
    <row r="45" spans="1:18" s="207" customFormat="1" ht="18" customHeight="1">
      <c r="A45" s="221" t="s">
        <v>616</v>
      </c>
      <c r="B45" s="222" t="s">
        <v>617</v>
      </c>
      <c r="C45" s="222">
        <f t="shared" si="0"/>
        <v>0</v>
      </c>
      <c r="D45" s="222"/>
      <c r="E45" s="222"/>
      <c r="F45" s="223">
        <v>2500000</v>
      </c>
      <c r="G45" s="223">
        <v>0</v>
      </c>
      <c r="H45" s="223">
        <v>0</v>
      </c>
      <c r="I45" s="223">
        <v>0</v>
      </c>
      <c r="J45" s="223">
        <v>2500000</v>
      </c>
      <c r="K45" s="223">
        <v>0</v>
      </c>
      <c r="L45" s="223">
        <v>0</v>
      </c>
      <c r="M45" s="223">
        <v>0</v>
      </c>
      <c r="N45" s="223">
        <v>0</v>
      </c>
      <c r="O45" s="224">
        <v>0</v>
      </c>
      <c r="P45" s="225"/>
      <c r="Q45" s="226"/>
    </row>
    <row r="46" spans="1:18" s="207" customFormat="1" ht="18" customHeight="1">
      <c r="A46" s="221" t="s">
        <v>618</v>
      </c>
      <c r="B46" s="222" t="s">
        <v>470</v>
      </c>
      <c r="C46" s="222">
        <f t="shared" si="0"/>
        <v>12400000</v>
      </c>
      <c r="D46" s="222"/>
      <c r="E46" s="222"/>
      <c r="F46" s="223">
        <v>11000000</v>
      </c>
      <c r="G46" s="223">
        <v>4400000</v>
      </c>
      <c r="H46" s="223">
        <v>0</v>
      </c>
      <c r="I46" s="223">
        <v>0</v>
      </c>
      <c r="J46" s="223">
        <v>3000000</v>
      </c>
      <c r="K46" s="223">
        <v>12400000</v>
      </c>
      <c r="L46" s="223">
        <v>5400000</v>
      </c>
      <c r="M46" s="223">
        <v>5400000</v>
      </c>
      <c r="N46" s="223">
        <v>0</v>
      </c>
      <c r="O46" s="224">
        <v>0</v>
      </c>
      <c r="P46" s="225"/>
      <c r="Q46" s="226"/>
    </row>
    <row r="47" spans="1:18" s="215" customFormat="1" ht="18" customHeight="1">
      <c r="A47" s="216" t="s">
        <v>619</v>
      </c>
      <c r="B47" s="217" t="s">
        <v>620</v>
      </c>
      <c r="C47" s="217">
        <f t="shared" si="0"/>
        <v>37400000</v>
      </c>
      <c r="D47" s="217"/>
      <c r="E47" s="217"/>
      <c r="F47" s="218">
        <v>38000000</v>
      </c>
      <c r="G47" s="218">
        <v>6000000</v>
      </c>
      <c r="H47" s="218">
        <v>6600000</v>
      </c>
      <c r="I47" s="218">
        <v>0</v>
      </c>
      <c r="J47" s="218">
        <v>0</v>
      </c>
      <c r="K47" s="218">
        <v>37400000</v>
      </c>
      <c r="L47" s="218">
        <f t="shared" ref="L47:O47" si="17">SUM(L48:L49)+L53</f>
        <v>38924125</v>
      </c>
      <c r="M47" s="218">
        <f t="shared" si="17"/>
        <v>7924125</v>
      </c>
      <c r="N47" s="218">
        <f t="shared" si="17"/>
        <v>4280825</v>
      </c>
      <c r="O47" s="219">
        <f t="shared" si="17"/>
        <v>4280825</v>
      </c>
      <c r="P47" s="213"/>
      <c r="Q47" s="220">
        <f>SUM(Q48:Q49)+Q53</f>
        <v>0</v>
      </c>
    </row>
    <row r="48" spans="1:18" s="207" customFormat="1" ht="18" customHeight="1">
      <c r="A48" s="221" t="s">
        <v>621</v>
      </c>
      <c r="B48" s="222" t="s">
        <v>622</v>
      </c>
      <c r="C48" s="222">
        <f t="shared" si="0"/>
        <v>24742122</v>
      </c>
      <c r="D48" s="222"/>
      <c r="E48" s="222"/>
      <c r="F48" s="223">
        <v>19742122</v>
      </c>
      <c r="G48" s="223">
        <v>5000000</v>
      </c>
      <c r="H48" s="223">
        <v>0</v>
      </c>
      <c r="I48" s="223">
        <v>0</v>
      </c>
      <c r="J48" s="223">
        <v>0</v>
      </c>
      <c r="K48" s="223">
        <v>24742122</v>
      </c>
      <c r="L48" s="223">
        <v>24697491</v>
      </c>
      <c r="M48" s="223">
        <v>2943357</v>
      </c>
      <c r="N48" s="223">
        <v>2943357</v>
      </c>
      <c r="O48" s="224">
        <v>2943357</v>
      </c>
      <c r="P48" s="225"/>
      <c r="Q48" s="226"/>
    </row>
    <row r="49" spans="1:17" s="215" customFormat="1" ht="18" customHeight="1">
      <c r="A49" s="216" t="s">
        <v>623</v>
      </c>
      <c r="B49" s="217" t="s">
        <v>624</v>
      </c>
      <c r="C49" s="217">
        <f t="shared" si="0"/>
        <v>8983334</v>
      </c>
      <c r="D49" s="217"/>
      <c r="E49" s="217"/>
      <c r="F49" s="218">
        <v>15583334</v>
      </c>
      <c r="G49" s="218">
        <v>0</v>
      </c>
      <c r="H49" s="218">
        <v>6600000</v>
      </c>
      <c r="I49" s="218">
        <v>0</v>
      </c>
      <c r="J49" s="218">
        <v>0</v>
      </c>
      <c r="K49" s="218">
        <v>8983334</v>
      </c>
      <c r="L49" s="218">
        <f t="shared" ref="L49:O49" si="18">SUM(L50:L52)</f>
        <v>10583334</v>
      </c>
      <c r="M49" s="218">
        <f t="shared" si="18"/>
        <v>1337468</v>
      </c>
      <c r="N49" s="218">
        <f t="shared" si="18"/>
        <v>1337468</v>
      </c>
      <c r="O49" s="219">
        <f t="shared" si="18"/>
        <v>1337468</v>
      </c>
      <c r="P49" s="213"/>
      <c r="Q49" s="220">
        <f>SUM(Q50:Q52)</f>
        <v>0</v>
      </c>
    </row>
    <row r="50" spans="1:17" s="207" customFormat="1" ht="18" customHeight="1">
      <c r="A50" s="221" t="s">
        <v>625</v>
      </c>
      <c r="B50" s="222" t="s">
        <v>626</v>
      </c>
      <c r="C50" s="222">
        <f t="shared" si="0"/>
        <v>1416667</v>
      </c>
      <c r="D50" s="222"/>
      <c r="E50" s="222"/>
      <c r="F50" s="223">
        <v>1416667</v>
      </c>
      <c r="G50" s="223">
        <v>0</v>
      </c>
      <c r="H50" s="223">
        <v>0</v>
      </c>
      <c r="I50" s="223">
        <v>0</v>
      </c>
      <c r="J50" s="223">
        <v>0</v>
      </c>
      <c r="K50" s="223">
        <v>1416667</v>
      </c>
      <c r="L50" s="223">
        <v>1416667</v>
      </c>
      <c r="M50" s="223">
        <v>121588</v>
      </c>
      <c r="N50" s="223">
        <v>121588</v>
      </c>
      <c r="O50" s="224">
        <v>121588</v>
      </c>
      <c r="P50" s="225"/>
      <c r="Q50" s="226"/>
    </row>
    <row r="51" spans="1:17" s="207" customFormat="1" ht="18" customHeight="1">
      <c r="A51" s="221" t="s">
        <v>627</v>
      </c>
      <c r="B51" s="222" t="s">
        <v>628</v>
      </c>
      <c r="C51" s="222">
        <f t="shared" si="0"/>
        <v>6150000</v>
      </c>
      <c r="D51" s="222"/>
      <c r="E51" s="222"/>
      <c r="F51" s="223">
        <v>12750000</v>
      </c>
      <c r="G51" s="223">
        <v>0</v>
      </c>
      <c r="H51" s="223">
        <v>6600000</v>
      </c>
      <c r="I51" s="223">
        <v>0</v>
      </c>
      <c r="J51" s="223">
        <v>0</v>
      </c>
      <c r="K51" s="223">
        <v>6150000</v>
      </c>
      <c r="L51" s="223">
        <v>7750000</v>
      </c>
      <c r="M51" s="223">
        <v>1094292</v>
      </c>
      <c r="N51" s="223">
        <v>1094292</v>
      </c>
      <c r="O51" s="224">
        <v>1094292</v>
      </c>
      <c r="P51" s="225"/>
      <c r="Q51" s="226"/>
    </row>
    <row r="52" spans="1:17" s="207" customFormat="1" ht="18" customHeight="1">
      <c r="A52" s="221" t="s">
        <v>629</v>
      </c>
      <c r="B52" s="222" t="s">
        <v>630</v>
      </c>
      <c r="C52" s="222">
        <f t="shared" si="0"/>
        <v>1416667</v>
      </c>
      <c r="D52" s="222"/>
      <c r="E52" s="222"/>
      <c r="F52" s="223">
        <v>1416667</v>
      </c>
      <c r="G52" s="223">
        <v>0</v>
      </c>
      <c r="H52" s="223">
        <v>0</v>
      </c>
      <c r="I52" s="223">
        <v>0</v>
      </c>
      <c r="J52" s="223">
        <v>0</v>
      </c>
      <c r="K52" s="223">
        <v>1416667</v>
      </c>
      <c r="L52" s="223">
        <v>1416667</v>
      </c>
      <c r="M52" s="223">
        <v>121588</v>
      </c>
      <c r="N52" s="223">
        <v>121588</v>
      </c>
      <c r="O52" s="224">
        <v>121588</v>
      </c>
      <c r="P52" s="225"/>
      <c r="Q52" s="226"/>
    </row>
    <row r="53" spans="1:17" s="207" customFormat="1" ht="18" customHeight="1">
      <c r="A53" s="221" t="s">
        <v>631</v>
      </c>
      <c r="B53" s="222" t="s">
        <v>632</v>
      </c>
      <c r="C53" s="222">
        <f t="shared" si="0"/>
        <v>3674544</v>
      </c>
      <c r="D53" s="222"/>
      <c r="E53" s="222"/>
      <c r="F53" s="223">
        <v>2674544</v>
      </c>
      <c r="G53" s="223">
        <v>1000000</v>
      </c>
      <c r="H53" s="223">
        <v>0</v>
      </c>
      <c r="I53" s="223">
        <v>0</v>
      </c>
      <c r="J53" s="223">
        <v>0</v>
      </c>
      <c r="K53" s="223">
        <v>3674544</v>
      </c>
      <c r="L53" s="223">
        <v>3643300</v>
      </c>
      <c r="M53" s="223">
        <v>3643300</v>
      </c>
      <c r="N53" s="223">
        <v>0</v>
      </c>
      <c r="O53" s="224">
        <v>0</v>
      </c>
      <c r="P53" s="225"/>
      <c r="Q53" s="226"/>
    </row>
    <row r="54" spans="1:17" s="207" customFormat="1" ht="18" customHeight="1">
      <c r="A54" s="221" t="s">
        <v>633</v>
      </c>
      <c r="B54" s="222" t="s">
        <v>634</v>
      </c>
      <c r="C54" s="222">
        <f t="shared" si="0"/>
        <v>6000000</v>
      </c>
      <c r="D54" s="222"/>
      <c r="E54" s="222"/>
      <c r="F54" s="223">
        <v>6000000</v>
      </c>
      <c r="G54" s="223">
        <v>0</v>
      </c>
      <c r="H54" s="223">
        <v>0</v>
      </c>
      <c r="I54" s="223">
        <v>0</v>
      </c>
      <c r="J54" s="223">
        <v>0</v>
      </c>
      <c r="K54" s="223">
        <v>6000000</v>
      </c>
      <c r="L54" s="223">
        <v>0</v>
      </c>
      <c r="M54" s="223">
        <v>0</v>
      </c>
      <c r="N54" s="223">
        <v>0</v>
      </c>
      <c r="O54" s="224">
        <v>0</v>
      </c>
      <c r="P54" s="225"/>
      <c r="Q54" s="226"/>
    </row>
    <row r="55" spans="1:17" s="215" customFormat="1" ht="18" customHeight="1">
      <c r="A55" s="216" t="s">
        <v>635</v>
      </c>
      <c r="B55" s="217" t="s">
        <v>636</v>
      </c>
      <c r="C55" s="217">
        <f t="shared" si="0"/>
        <v>35000000</v>
      </c>
      <c r="D55" s="217"/>
      <c r="E55" s="217"/>
      <c r="F55" s="218">
        <v>40000000</v>
      </c>
      <c r="G55" s="218">
        <v>0</v>
      </c>
      <c r="H55" s="218">
        <v>2000000</v>
      </c>
      <c r="I55" s="218">
        <v>0</v>
      </c>
      <c r="J55" s="218">
        <v>3000000</v>
      </c>
      <c r="K55" s="218">
        <v>35000000</v>
      </c>
      <c r="L55" s="218">
        <f t="shared" ref="L55:O55" si="19">SUM(L56:L59)</f>
        <v>8108259.0499999998</v>
      </c>
      <c r="M55" s="218">
        <f t="shared" si="19"/>
        <v>8108259.0499999998</v>
      </c>
      <c r="N55" s="218">
        <f t="shared" si="19"/>
        <v>8108259.0499999998</v>
      </c>
      <c r="O55" s="219">
        <f t="shared" si="19"/>
        <v>7989209.0499999998</v>
      </c>
      <c r="P55" s="213"/>
      <c r="Q55" s="220">
        <f>SUM(Q56:Q59)</f>
        <v>0</v>
      </c>
    </row>
    <row r="56" spans="1:17" s="207" customFormat="1" ht="18" customHeight="1">
      <c r="A56" s="221" t="s">
        <v>637</v>
      </c>
      <c r="B56" s="222" t="s">
        <v>638</v>
      </c>
      <c r="C56" s="222">
        <f t="shared" si="0"/>
        <v>10340000</v>
      </c>
      <c r="D56" s="222"/>
      <c r="E56" s="222"/>
      <c r="F56" s="223">
        <v>10340000</v>
      </c>
      <c r="G56" s="223">
        <v>0</v>
      </c>
      <c r="H56" s="223">
        <v>0</v>
      </c>
      <c r="I56" s="223">
        <v>0</v>
      </c>
      <c r="J56" s="223">
        <v>0</v>
      </c>
      <c r="K56" s="223">
        <v>10340000</v>
      </c>
      <c r="L56" s="223">
        <v>2573830</v>
      </c>
      <c r="M56" s="223">
        <v>2573830</v>
      </c>
      <c r="N56" s="223">
        <v>2573830</v>
      </c>
      <c r="O56" s="224">
        <v>2573830</v>
      </c>
      <c r="P56" s="225"/>
      <c r="Q56" s="226"/>
    </row>
    <row r="57" spans="1:17" s="207" customFormat="1" ht="18" customHeight="1">
      <c r="A57" s="221" t="s">
        <v>639</v>
      </c>
      <c r="B57" s="222" t="s">
        <v>640</v>
      </c>
      <c r="C57" s="222">
        <f t="shared" si="0"/>
        <v>13000000</v>
      </c>
      <c r="D57" s="222"/>
      <c r="E57" s="222"/>
      <c r="F57" s="223">
        <v>18000000</v>
      </c>
      <c r="G57" s="223">
        <v>0</v>
      </c>
      <c r="H57" s="223">
        <v>2000000</v>
      </c>
      <c r="I57" s="223">
        <v>0</v>
      </c>
      <c r="J57" s="223">
        <v>3000000</v>
      </c>
      <c r="K57" s="223">
        <v>13000000</v>
      </c>
      <c r="L57" s="223">
        <v>4004019.05</v>
      </c>
      <c r="M57" s="223">
        <v>4004019.05</v>
      </c>
      <c r="N57" s="223">
        <v>4004019.05</v>
      </c>
      <c r="O57" s="224">
        <v>4004019.05</v>
      </c>
      <c r="P57" s="225"/>
      <c r="Q57" s="226"/>
    </row>
    <row r="58" spans="1:17" s="207" customFormat="1" ht="18" customHeight="1">
      <c r="A58" s="221" t="s">
        <v>641</v>
      </c>
      <c r="B58" s="222" t="s">
        <v>642</v>
      </c>
      <c r="C58" s="222">
        <f t="shared" si="0"/>
        <v>9900000</v>
      </c>
      <c r="D58" s="222"/>
      <c r="E58" s="222"/>
      <c r="F58" s="223">
        <v>9900000</v>
      </c>
      <c r="G58" s="223">
        <v>0</v>
      </c>
      <c r="H58" s="223">
        <v>0</v>
      </c>
      <c r="I58" s="223">
        <v>0</v>
      </c>
      <c r="J58" s="223">
        <v>0</v>
      </c>
      <c r="K58" s="223">
        <v>9900000</v>
      </c>
      <c r="L58" s="223">
        <v>1147200</v>
      </c>
      <c r="M58" s="223">
        <v>1147200</v>
      </c>
      <c r="N58" s="223">
        <v>1147200</v>
      </c>
      <c r="O58" s="224">
        <v>1147200</v>
      </c>
      <c r="P58" s="225"/>
      <c r="Q58" s="226"/>
    </row>
    <row r="59" spans="1:17" s="207" customFormat="1" ht="18" customHeight="1">
      <c r="A59" s="221" t="s">
        <v>643</v>
      </c>
      <c r="B59" s="222" t="s">
        <v>644</v>
      </c>
      <c r="C59" s="222">
        <f t="shared" si="0"/>
        <v>1760000</v>
      </c>
      <c r="D59" s="222"/>
      <c r="E59" s="222"/>
      <c r="F59" s="223">
        <v>1760000</v>
      </c>
      <c r="G59" s="223">
        <v>0</v>
      </c>
      <c r="H59" s="223">
        <v>0</v>
      </c>
      <c r="I59" s="223">
        <v>0</v>
      </c>
      <c r="J59" s="223">
        <v>0</v>
      </c>
      <c r="K59" s="223">
        <v>1760000</v>
      </c>
      <c r="L59" s="223">
        <v>383210</v>
      </c>
      <c r="M59" s="223">
        <v>383210</v>
      </c>
      <c r="N59" s="223">
        <v>383210</v>
      </c>
      <c r="O59" s="224">
        <v>264160</v>
      </c>
      <c r="P59" s="225"/>
      <c r="Q59" s="226"/>
    </row>
    <row r="60" spans="1:17" s="207" customFormat="1" ht="18" customHeight="1">
      <c r="A60" s="221" t="s">
        <v>645</v>
      </c>
      <c r="B60" s="222" t="s">
        <v>646</v>
      </c>
      <c r="C60" s="222">
        <f t="shared" si="0"/>
        <v>0</v>
      </c>
      <c r="D60" s="222"/>
      <c r="E60" s="222"/>
      <c r="F60" s="223">
        <v>0</v>
      </c>
      <c r="G60" s="223">
        <v>0</v>
      </c>
      <c r="H60" s="223">
        <v>0</v>
      </c>
      <c r="I60" s="223">
        <v>0</v>
      </c>
      <c r="J60" s="223">
        <v>0</v>
      </c>
      <c r="K60" s="223">
        <v>0</v>
      </c>
      <c r="L60" s="223">
        <v>0</v>
      </c>
      <c r="M60" s="223">
        <v>0</v>
      </c>
      <c r="N60" s="223">
        <v>0</v>
      </c>
      <c r="O60" s="224">
        <v>0</v>
      </c>
      <c r="P60" s="225"/>
      <c r="Q60" s="226"/>
    </row>
    <row r="61" spans="1:17" s="207" customFormat="1" ht="18" customHeight="1">
      <c r="A61" s="221" t="s">
        <v>647</v>
      </c>
      <c r="B61" s="222" t="s">
        <v>648</v>
      </c>
      <c r="C61" s="222">
        <f t="shared" si="0"/>
        <v>15935000</v>
      </c>
      <c r="D61" s="222"/>
      <c r="E61" s="222"/>
      <c r="F61" s="223">
        <v>23000000</v>
      </c>
      <c r="G61" s="223">
        <v>0</v>
      </c>
      <c r="H61" s="223">
        <v>3065000</v>
      </c>
      <c r="I61" s="223">
        <v>0</v>
      </c>
      <c r="J61" s="223">
        <v>4000000</v>
      </c>
      <c r="K61" s="223">
        <v>15935000</v>
      </c>
      <c r="L61" s="223">
        <v>6960640.5</v>
      </c>
      <c r="M61" s="223">
        <v>6960640.5</v>
      </c>
      <c r="N61" s="223">
        <v>4540640.5</v>
      </c>
      <c r="O61" s="224">
        <v>2298584</v>
      </c>
      <c r="P61" s="225"/>
      <c r="Q61" s="226"/>
    </row>
    <row r="62" spans="1:17" s="207" customFormat="1" ht="18" customHeight="1">
      <c r="A62" s="221" t="s">
        <v>649</v>
      </c>
      <c r="B62" s="222" t="s">
        <v>650</v>
      </c>
      <c r="C62" s="222">
        <f t="shared" si="0"/>
        <v>2000000</v>
      </c>
      <c r="D62" s="222"/>
      <c r="E62" s="222"/>
      <c r="F62" s="223">
        <v>3000000</v>
      </c>
      <c r="G62" s="223">
        <v>0</v>
      </c>
      <c r="H62" s="223">
        <v>1000000</v>
      </c>
      <c r="I62" s="223">
        <v>0</v>
      </c>
      <c r="J62" s="223">
        <v>0</v>
      </c>
      <c r="K62" s="223">
        <v>2000000</v>
      </c>
      <c r="L62" s="223">
        <v>2000000</v>
      </c>
      <c r="M62" s="223">
        <v>2000000</v>
      </c>
      <c r="N62" s="223">
        <v>0</v>
      </c>
      <c r="O62" s="224">
        <v>0</v>
      </c>
      <c r="P62" s="225"/>
      <c r="Q62" s="226"/>
    </row>
    <row r="63" spans="1:17" s="207" customFormat="1" ht="18" customHeight="1">
      <c r="A63" s="221" t="s">
        <v>651</v>
      </c>
      <c r="B63" s="222" t="s">
        <v>652</v>
      </c>
      <c r="C63" s="222">
        <f t="shared" si="0"/>
        <v>2500000</v>
      </c>
      <c r="D63" s="222"/>
      <c r="E63" s="222"/>
      <c r="F63" s="223">
        <v>5000000</v>
      </c>
      <c r="G63" s="223">
        <v>0</v>
      </c>
      <c r="H63" s="223">
        <v>0</v>
      </c>
      <c r="I63" s="223">
        <v>0</v>
      </c>
      <c r="J63" s="223">
        <v>2500000</v>
      </c>
      <c r="K63" s="223">
        <v>2500000</v>
      </c>
      <c r="L63" s="223">
        <v>2420000</v>
      </c>
      <c r="M63" s="223">
        <v>2420000</v>
      </c>
      <c r="N63" s="223">
        <v>0</v>
      </c>
      <c r="O63" s="224">
        <v>0</v>
      </c>
      <c r="P63" s="225"/>
      <c r="Q63" s="226"/>
    </row>
    <row r="64" spans="1:17" s="215" customFormat="1" ht="18" customHeight="1">
      <c r="A64" s="216" t="s">
        <v>653</v>
      </c>
      <c r="B64" s="217" t="s">
        <v>654</v>
      </c>
      <c r="C64" s="217">
        <f t="shared" si="0"/>
        <v>2600000</v>
      </c>
      <c r="D64" s="217"/>
      <c r="E64" s="217"/>
      <c r="F64" s="218">
        <v>4000000</v>
      </c>
      <c r="G64" s="218">
        <v>1100000</v>
      </c>
      <c r="H64" s="218">
        <v>2500000</v>
      </c>
      <c r="I64" s="218">
        <v>0</v>
      </c>
      <c r="J64" s="218">
        <v>0</v>
      </c>
      <c r="K64" s="218">
        <v>2600000</v>
      </c>
      <c r="L64" s="218">
        <f t="shared" ref="L64:O64" si="20">SUM(L65:L66)</f>
        <v>0</v>
      </c>
      <c r="M64" s="218">
        <f t="shared" si="20"/>
        <v>0</v>
      </c>
      <c r="N64" s="218">
        <f t="shared" si="20"/>
        <v>0</v>
      </c>
      <c r="O64" s="219">
        <f t="shared" si="20"/>
        <v>0</v>
      </c>
      <c r="P64" s="213"/>
      <c r="Q64" s="220">
        <f>SUM(Q65:Q66)</f>
        <v>0</v>
      </c>
    </row>
    <row r="65" spans="1:17" s="207" customFormat="1" ht="18" customHeight="1">
      <c r="A65" s="221" t="s">
        <v>655</v>
      </c>
      <c r="B65" s="222" t="s">
        <v>656</v>
      </c>
      <c r="C65" s="222">
        <f t="shared" si="0"/>
        <v>1100000</v>
      </c>
      <c r="D65" s="222"/>
      <c r="E65" s="222"/>
      <c r="F65" s="223">
        <v>2500000</v>
      </c>
      <c r="G65" s="223">
        <v>1100000</v>
      </c>
      <c r="H65" s="223">
        <v>2500000</v>
      </c>
      <c r="I65" s="223">
        <v>0</v>
      </c>
      <c r="J65" s="223">
        <v>0</v>
      </c>
      <c r="K65" s="223">
        <v>1100000</v>
      </c>
      <c r="L65" s="223">
        <v>0</v>
      </c>
      <c r="M65" s="223">
        <v>0</v>
      </c>
      <c r="N65" s="223">
        <v>0</v>
      </c>
      <c r="O65" s="224">
        <v>0</v>
      </c>
      <c r="P65" s="225"/>
      <c r="Q65" s="226"/>
    </row>
    <row r="66" spans="1:17" s="207" customFormat="1" ht="18" customHeight="1">
      <c r="A66" s="221" t="s">
        <v>657</v>
      </c>
      <c r="B66" s="222" t="s">
        <v>658</v>
      </c>
      <c r="C66" s="222">
        <f t="shared" si="0"/>
        <v>1500000</v>
      </c>
      <c r="D66" s="222"/>
      <c r="E66" s="222"/>
      <c r="F66" s="223">
        <v>1500000</v>
      </c>
      <c r="G66" s="223">
        <v>0</v>
      </c>
      <c r="H66" s="223">
        <v>0</v>
      </c>
      <c r="I66" s="223">
        <v>0</v>
      </c>
      <c r="J66" s="223">
        <v>0</v>
      </c>
      <c r="K66" s="223">
        <v>1500000</v>
      </c>
      <c r="L66" s="223">
        <v>0</v>
      </c>
      <c r="M66" s="223">
        <v>0</v>
      </c>
      <c r="N66" s="223">
        <v>0</v>
      </c>
      <c r="O66" s="224">
        <v>0</v>
      </c>
      <c r="P66" s="225"/>
      <c r="Q66" s="226"/>
    </row>
    <row r="67" spans="1:17" s="207" customFormat="1" ht="18" customHeight="1">
      <c r="A67" s="221" t="s">
        <v>659</v>
      </c>
      <c r="B67" s="222" t="s">
        <v>660</v>
      </c>
      <c r="C67" s="222">
        <f t="shared" ref="C67:C87" si="21">K67</f>
        <v>3801237</v>
      </c>
      <c r="D67" s="222"/>
      <c r="E67" s="222"/>
      <c r="F67" s="223">
        <v>3500000</v>
      </c>
      <c r="G67" s="223">
        <v>0</v>
      </c>
      <c r="H67" s="223">
        <v>0</v>
      </c>
      <c r="I67" s="223">
        <v>301237</v>
      </c>
      <c r="J67" s="223">
        <v>0</v>
      </c>
      <c r="K67" s="223">
        <v>3801237</v>
      </c>
      <c r="L67" s="223">
        <v>0</v>
      </c>
      <c r="M67" s="223">
        <v>0</v>
      </c>
      <c r="N67" s="223">
        <v>0</v>
      </c>
      <c r="O67" s="224">
        <v>0</v>
      </c>
      <c r="P67" s="225"/>
      <c r="Q67" s="226"/>
    </row>
    <row r="68" spans="1:17" s="207" customFormat="1" ht="18" customHeight="1">
      <c r="A68" s="221" t="s">
        <v>661</v>
      </c>
      <c r="B68" s="222" t="s">
        <v>662</v>
      </c>
      <c r="C68" s="222">
        <f t="shared" si="21"/>
        <v>1000000</v>
      </c>
      <c r="D68" s="222"/>
      <c r="E68" s="222"/>
      <c r="F68" s="223">
        <v>2000000</v>
      </c>
      <c r="G68" s="223">
        <v>0</v>
      </c>
      <c r="H68" s="223">
        <v>1000000</v>
      </c>
      <c r="I68" s="223">
        <v>0</v>
      </c>
      <c r="J68" s="223">
        <v>0</v>
      </c>
      <c r="K68" s="223">
        <v>1000000</v>
      </c>
      <c r="L68" s="223">
        <v>0</v>
      </c>
      <c r="M68" s="223">
        <v>0</v>
      </c>
      <c r="N68" s="223">
        <v>0</v>
      </c>
      <c r="O68" s="224">
        <v>0</v>
      </c>
      <c r="P68" s="225"/>
      <c r="Q68" s="226"/>
    </row>
    <row r="69" spans="1:17" s="207" customFormat="1" ht="18" customHeight="1">
      <c r="A69" s="221" t="s">
        <v>663</v>
      </c>
      <c r="B69" s="222" t="s">
        <v>664</v>
      </c>
      <c r="C69" s="222">
        <f t="shared" si="21"/>
        <v>3000000</v>
      </c>
      <c r="D69" s="222"/>
      <c r="E69" s="222"/>
      <c r="F69" s="223">
        <v>3000000</v>
      </c>
      <c r="G69" s="223">
        <v>0</v>
      </c>
      <c r="H69" s="223">
        <v>0</v>
      </c>
      <c r="I69" s="223">
        <v>0</v>
      </c>
      <c r="J69" s="223">
        <v>0</v>
      </c>
      <c r="K69" s="223">
        <v>3000000</v>
      </c>
      <c r="L69" s="223">
        <v>655100</v>
      </c>
      <c r="M69" s="223">
        <v>655100</v>
      </c>
      <c r="N69" s="223">
        <v>655100</v>
      </c>
      <c r="O69" s="224">
        <v>350000</v>
      </c>
      <c r="P69" s="225"/>
      <c r="Q69" s="226"/>
    </row>
    <row r="70" spans="1:17" s="215" customFormat="1" ht="18" customHeight="1">
      <c r="A70" s="216" t="s">
        <v>665</v>
      </c>
      <c r="B70" s="217" t="s">
        <v>666</v>
      </c>
      <c r="C70" s="217">
        <f t="shared" si="21"/>
        <v>247831144.66</v>
      </c>
      <c r="D70" s="217"/>
      <c r="E70" s="217"/>
      <c r="F70" s="218">
        <v>247831144.66</v>
      </c>
      <c r="G70" s="218">
        <v>0</v>
      </c>
      <c r="H70" s="218">
        <v>0</v>
      </c>
      <c r="I70" s="218">
        <v>0</v>
      </c>
      <c r="J70" s="218">
        <v>0</v>
      </c>
      <c r="K70" s="218">
        <v>247831144.66</v>
      </c>
      <c r="L70" s="218">
        <f t="shared" ref="L70:O70" si="22">SUM(L71:L73)+SUM(L76:L76)+SUM(L81:L83)</f>
        <v>39427050</v>
      </c>
      <c r="M70" s="218">
        <f t="shared" si="22"/>
        <v>39427050</v>
      </c>
      <c r="N70" s="218">
        <f t="shared" si="22"/>
        <v>39685250</v>
      </c>
      <c r="O70" s="219">
        <f t="shared" si="22"/>
        <v>35427050</v>
      </c>
      <c r="P70" s="213"/>
      <c r="Q70" s="220">
        <f>SUM(Q71:Q73)+SUM(Q76:Q76)+SUM(Q81:Q83)</f>
        <v>0</v>
      </c>
    </row>
    <row r="71" spans="1:17" s="207" customFormat="1" ht="18" customHeight="1">
      <c r="A71" s="221" t="s">
        <v>667</v>
      </c>
      <c r="B71" s="222" t="s">
        <v>668</v>
      </c>
      <c r="C71" s="222">
        <f t="shared" si="21"/>
        <v>15194920.039999999</v>
      </c>
      <c r="D71" s="222"/>
      <c r="E71" s="222"/>
      <c r="F71" s="223">
        <v>15194920.039999999</v>
      </c>
      <c r="G71" s="223">
        <v>0</v>
      </c>
      <c r="H71" s="223">
        <v>0</v>
      </c>
      <c r="I71" s="223">
        <v>0</v>
      </c>
      <c r="J71" s="223">
        <v>0</v>
      </c>
      <c r="K71" s="223">
        <v>15194920.039999999</v>
      </c>
      <c r="L71" s="223">
        <v>2151626</v>
      </c>
      <c r="M71" s="223">
        <v>2151626</v>
      </c>
      <c r="N71" s="223">
        <v>2409826</v>
      </c>
      <c r="O71" s="224">
        <v>2151626</v>
      </c>
      <c r="P71" s="225"/>
      <c r="Q71" s="226"/>
    </row>
    <row r="72" spans="1:17" s="207" customFormat="1" ht="18" customHeight="1">
      <c r="A72" s="221" t="s">
        <v>669</v>
      </c>
      <c r="B72" s="222" t="s">
        <v>670</v>
      </c>
      <c r="C72" s="222">
        <f t="shared" si="21"/>
        <v>1000000</v>
      </c>
      <c r="D72" s="222"/>
      <c r="E72" s="222"/>
      <c r="F72" s="223">
        <v>1000000</v>
      </c>
      <c r="G72" s="223">
        <v>0</v>
      </c>
      <c r="H72" s="223">
        <v>0</v>
      </c>
      <c r="I72" s="223">
        <v>0</v>
      </c>
      <c r="J72" s="223">
        <v>0</v>
      </c>
      <c r="K72" s="223">
        <v>1000000</v>
      </c>
      <c r="L72" s="223">
        <v>0</v>
      </c>
      <c r="M72" s="223">
        <v>0</v>
      </c>
      <c r="N72" s="223">
        <v>0</v>
      </c>
      <c r="O72" s="224">
        <v>0</v>
      </c>
      <c r="P72" s="225"/>
      <c r="Q72" s="226"/>
    </row>
    <row r="73" spans="1:17" s="215" customFormat="1" ht="25.5" customHeight="1">
      <c r="A73" s="216" t="s">
        <v>671</v>
      </c>
      <c r="B73" s="217" t="s">
        <v>672</v>
      </c>
      <c r="C73" s="217">
        <f t="shared" si="21"/>
        <v>0</v>
      </c>
      <c r="D73" s="217"/>
      <c r="E73" s="217"/>
      <c r="F73" s="218">
        <v>0</v>
      </c>
      <c r="G73" s="218">
        <v>0</v>
      </c>
      <c r="H73" s="218">
        <v>0</v>
      </c>
      <c r="I73" s="218">
        <v>0</v>
      </c>
      <c r="J73" s="218">
        <v>0</v>
      </c>
      <c r="K73" s="218">
        <v>0</v>
      </c>
      <c r="L73" s="218">
        <f t="shared" ref="L73:O73" si="23">SUM(L74:L75)</f>
        <v>0</v>
      </c>
      <c r="M73" s="218">
        <f t="shared" si="23"/>
        <v>0</v>
      </c>
      <c r="N73" s="218">
        <f t="shared" si="23"/>
        <v>0</v>
      </c>
      <c r="O73" s="219">
        <f t="shared" si="23"/>
        <v>0</v>
      </c>
      <c r="P73" s="213"/>
      <c r="Q73" s="220">
        <f>SUM(Q74:Q75)</f>
        <v>0</v>
      </c>
    </row>
    <row r="74" spans="1:17" s="207" customFormat="1" ht="18" customHeight="1">
      <c r="A74" s="221" t="s">
        <v>673</v>
      </c>
      <c r="B74" s="222" t="s">
        <v>674</v>
      </c>
      <c r="C74" s="222">
        <f t="shared" si="21"/>
        <v>0</v>
      </c>
      <c r="D74" s="222"/>
      <c r="E74" s="222"/>
      <c r="F74" s="223">
        <v>0</v>
      </c>
      <c r="G74" s="223">
        <v>0</v>
      </c>
      <c r="H74" s="223">
        <v>0</v>
      </c>
      <c r="I74" s="223">
        <v>0</v>
      </c>
      <c r="J74" s="223">
        <v>0</v>
      </c>
      <c r="K74" s="223">
        <v>0</v>
      </c>
      <c r="L74" s="223">
        <v>0</v>
      </c>
      <c r="M74" s="223">
        <v>0</v>
      </c>
      <c r="N74" s="223">
        <v>0</v>
      </c>
      <c r="O74" s="224">
        <v>0</v>
      </c>
      <c r="P74" s="225"/>
      <c r="Q74" s="226"/>
    </row>
    <row r="75" spans="1:17" s="207" customFormat="1" ht="18" customHeight="1">
      <c r="A75" s="221" t="s">
        <v>675</v>
      </c>
      <c r="B75" s="222" t="s">
        <v>676</v>
      </c>
      <c r="C75" s="222">
        <f t="shared" si="21"/>
        <v>0</v>
      </c>
      <c r="D75" s="222"/>
      <c r="E75" s="222"/>
      <c r="F75" s="223">
        <v>0</v>
      </c>
      <c r="G75" s="223">
        <v>0</v>
      </c>
      <c r="H75" s="223">
        <v>0</v>
      </c>
      <c r="I75" s="223">
        <v>0</v>
      </c>
      <c r="J75" s="223">
        <v>0</v>
      </c>
      <c r="K75" s="223">
        <v>0</v>
      </c>
      <c r="L75" s="223">
        <v>0</v>
      </c>
      <c r="M75" s="223">
        <v>0</v>
      </c>
      <c r="N75" s="223">
        <v>0</v>
      </c>
      <c r="O75" s="224">
        <v>0</v>
      </c>
      <c r="P75" s="225"/>
      <c r="Q75" s="226"/>
    </row>
    <row r="76" spans="1:17" s="215" customFormat="1" ht="25.5" customHeight="1">
      <c r="A76" s="216" t="s">
        <v>677</v>
      </c>
      <c r="B76" s="217" t="s">
        <v>678</v>
      </c>
      <c r="C76" s="217">
        <f t="shared" si="21"/>
        <v>201103993.94</v>
      </c>
      <c r="D76" s="217"/>
      <c r="E76" s="217"/>
      <c r="F76" s="218">
        <v>201103993.94</v>
      </c>
      <c r="G76" s="218">
        <v>0</v>
      </c>
      <c r="H76" s="218">
        <v>0</v>
      </c>
      <c r="I76" s="218">
        <v>0</v>
      </c>
      <c r="J76" s="218">
        <v>0</v>
      </c>
      <c r="K76" s="218">
        <v>201103993.94</v>
      </c>
      <c r="L76" s="218">
        <f t="shared" ref="L76:O76" si="24">L77+L80</f>
        <v>37275424</v>
      </c>
      <c r="M76" s="218">
        <f t="shared" si="24"/>
        <v>37275424</v>
      </c>
      <c r="N76" s="218">
        <f t="shared" si="24"/>
        <v>37275424</v>
      </c>
      <c r="O76" s="219">
        <f t="shared" si="24"/>
        <v>33275424</v>
      </c>
      <c r="P76" s="213"/>
      <c r="Q76" s="220">
        <f>Q77+Q80</f>
        <v>0</v>
      </c>
    </row>
    <row r="77" spans="1:17" s="215" customFormat="1" ht="18" customHeight="1">
      <c r="A77" s="216" t="s">
        <v>679</v>
      </c>
      <c r="B77" s="217" t="s">
        <v>680</v>
      </c>
      <c r="C77" s="217">
        <f t="shared" si="21"/>
        <v>170787884.44</v>
      </c>
      <c r="D77" s="217"/>
      <c r="E77" s="217"/>
      <c r="F77" s="218">
        <v>170787884.44</v>
      </c>
      <c r="G77" s="218">
        <v>0</v>
      </c>
      <c r="H77" s="218">
        <v>0</v>
      </c>
      <c r="I77" s="218">
        <v>0</v>
      </c>
      <c r="J77" s="218">
        <v>0</v>
      </c>
      <c r="K77" s="218">
        <v>170787884.44</v>
      </c>
      <c r="L77" s="218">
        <f t="shared" ref="L77:O77" si="25">SUM(L78:L79)</f>
        <v>37275424</v>
      </c>
      <c r="M77" s="218">
        <f t="shared" si="25"/>
        <v>37275424</v>
      </c>
      <c r="N77" s="218">
        <f t="shared" si="25"/>
        <v>37275424</v>
      </c>
      <c r="O77" s="219">
        <f t="shared" si="25"/>
        <v>33275424</v>
      </c>
      <c r="P77" s="213"/>
      <c r="Q77" s="220">
        <f>SUM(Q78:Q79)</f>
        <v>0</v>
      </c>
    </row>
    <row r="78" spans="1:17" s="207" customFormat="1" ht="18" customHeight="1">
      <c r="A78" s="221" t="s">
        <v>681</v>
      </c>
      <c r="B78" s="222" t="s">
        <v>682</v>
      </c>
      <c r="C78" s="222">
        <f t="shared" si="21"/>
        <v>90061634.439999998</v>
      </c>
      <c r="D78" s="222"/>
      <c r="E78" s="222"/>
      <c r="F78" s="223">
        <v>90061634.439999998</v>
      </c>
      <c r="G78" s="223">
        <v>0</v>
      </c>
      <c r="H78" s="223">
        <v>0</v>
      </c>
      <c r="I78" s="223">
        <v>0</v>
      </c>
      <c r="J78" s="223">
        <v>0</v>
      </c>
      <c r="K78" s="223">
        <v>90061634.439999998</v>
      </c>
      <c r="L78" s="223">
        <v>23885424</v>
      </c>
      <c r="M78" s="223">
        <v>23885424</v>
      </c>
      <c r="N78" s="223">
        <v>23885424</v>
      </c>
      <c r="O78" s="224">
        <v>19885424</v>
      </c>
      <c r="P78" s="225"/>
      <c r="Q78" s="226"/>
    </row>
    <row r="79" spans="1:17" s="207" customFormat="1" ht="18" customHeight="1">
      <c r="A79" s="221" t="s">
        <v>683</v>
      </c>
      <c r="B79" s="222" t="s">
        <v>684</v>
      </c>
      <c r="C79" s="222">
        <f t="shared" si="21"/>
        <v>80726250</v>
      </c>
      <c r="D79" s="222"/>
      <c r="E79" s="222"/>
      <c r="F79" s="223">
        <v>80726250</v>
      </c>
      <c r="G79" s="223">
        <v>0</v>
      </c>
      <c r="H79" s="223">
        <v>0</v>
      </c>
      <c r="I79" s="223">
        <v>0</v>
      </c>
      <c r="J79" s="223">
        <v>0</v>
      </c>
      <c r="K79" s="223">
        <v>80726250</v>
      </c>
      <c r="L79" s="223">
        <v>13390000</v>
      </c>
      <c r="M79" s="223">
        <v>13390000</v>
      </c>
      <c r="N79" s="223">
        <v>13390000</v>
      </c>
      <c r="O79" s="224">
        <v>13390000</v>
      </c>
      <c r="P79" s="225"/>
      <c r="Q79" s="226"/>
    </row>
    <row r="80" spans="1:17" s="207" customFormat="1" ht="18" customHeight="1">
      <c r="A80" s="221" t="s">
        <v>685</v>
      </c>
      <c r="B80" s="222" t="s">
        <v>686</v>
      </c>
      <c r="C80" s="222">
        <f t="shared" si="21"/>
        <v>30316109.5</v>
      </c>
      <c r="D80" s="222"/>
      <c r="E80" s="222"/>
      <c r="F80" s="223">
        <v>30316109.5</v>
      </c>
      <c r="G80" s="223">
        <v>0</v>
      </c>
      <c r="H80" s="223">
        <v>0</v>
      </c>
      <c r="I80" s="223">
        <v>0</v>
      </c>
      <c r="J80" s="223">
        <v>0</v>
      </c>
      <c r="K80" s="223">
        <v>30316109.5</v>
      </c>
      <c r="L80" s="223">
        <v>0</v>
      </c>
      <c r="M80" s="223">
        <v>0</v>
      </c>
      <c r="N80" s="223">
        <v>0</v>
      </c>
      <c r="O80" s="224">
        <v>0</v>
      </c>
      <c r="P80" s="225"/>
      <c r="Q80" s="226"/>
    </row>
    <row r="81" spans="1:17" s="207" customFormat="1" ht="18" customHeight="1">
      <c r="A81" s="221" t="s">
        <v>687</v>
      </c>
      <c r="B81" s="222" t="s">
        <v>688</v>
      </c>
      <c r="C81" s="222">
        <f t="shared" si="21"/>
        <v>28623966.260000002</v>
      </c>
      <c r="D81" s="222"/>
      <c r="E81" s="222"/>
      <c r="F81" s="223">
        <v>28623966.260000002</v>
      </c>
      <c r="G81" s="223">
        <v>0</v>
      </c>
      <c r="H81" s="223">
        <v>0</v>
      </c>
      <c r="I81" s="223">
        <v>0</v>
      </c>
      <c r="J81" s="223">
        <v>0</v>
      </c>
      <c r="K81" s="223">
        <v>28623966.260000002</v>
      </c>
      <c r="L81" s="223">
        <v>0</v>
      </c>
      <c r="M81" s="223">
        <v>0</v>
      </c>
      <c r="N81" s="223">
        <v>0</v>
      </c>
      <c r="O81" s="224">
        <v>0</v>
      </c>
      <c r="P81" s="225"/>
      <c r="Q81" s="226"/>
    </row>
    <row r="82" spans="1:17" s="207" customFormat="1" ht="18" customHeight="1">
      <c r="A82" s="221" t="s">
        <v>689</v>
      </c>
      <c r="B82" s="222" t="s">
        <v>690</v>
      </c>
      <c r="C82" s="222">
        <f t="shared" si="21"/>
        <v>1908264.42</v>
      </c>
      <c r="D82" s="222"/>
      <c r="E82" s="222"/>
      <c r="F82" s="223">
        <v>1908264.42</v>
      </c>
      <c r="G82" s="223">
        <v>0</v>
      </c>
      <c r="H82" s="223">
        <v>0</v>
      </c>
      <c r="I82" s="223">
        <v>0</v>
      </c>
      <c r="J82" s="223">
        <v>0</v>
      </c>
      <c r="K82" s="223">
        <v>1908264.42</v>
      </c>
      <c r="L82" s="223">
        <v>0</v>
      </c>
      <c r="M82" s="223">
        <v>0</v>
      </c>
      <c r="N82" s="223">
        <v>0</v>
      </c>
      <c r="O82" s="224">
        <v>0</v>
      </c>
      <c r="P82" s="225"/>
      <c r="Q82" s="226"/>
    </row>
    <row r="83" spans="1:17" s="207" customFormat="1" ht="18" customHeight="1">
      <c r="A83" s="221" t="s">
        <v>691</v>
      </c>
      <c r="B83" s="222" t="s">
        <v>692</v>
      </c>
      <c r="C83" s="222">
        <f t="shared" si="21"/>
        <v>0</v>
      </c>
      <c r="D83" s="222"/>
      <c r="E83" s="222"/>
      <c r="F83" s="223">
        <v>0</v>
      </c>
      <c r="G83" s="223">
        <v>0</v>
      </c>
      <c r="H83" s="223">
        <v>0</v>
      </c>
      <c r="I83" s="223">
        <v>0</v>
      </c>
      <c r="J83" s="223">
        <v>0</v>
      </c>
      <c r="K83" s="223">
        <v>0</v>
      </c>
      <c r="L83" s="223">
        <v>0</v>
      </c>
      <c r="M83" s="223">
        <v>0</v>
      </c>
      <c r="N83" s="223">
        <v>0</v>
      </c>
      <c r="O83" s="224">
        <v>0</v>
      </c>
      <c r="P83" s="225"/>
      <c r="Q83" s="226"/>
    </row>
    <row r="84" spans="1:17" s="215" customFormat="1" ht="18" customHeight="1">
      <c r="A84" s="216" t="s">
        <v>482</v>
      </c>
      <c r="B84" s="217" t="s">
        <v>483</v>
      </c>
      <c r="C84" s="217">
        <f t="shared" si="21"/>
        <v>211771123</v>
      </c>
      <c r="D84" s="217"/>
      <c r="E84" s="217"/>
      <c r="F84" s="218">
        <v>211771123</v>
      </c>
      <c r="G84" s="218">
        <v>0</v>
      </c>
      <c r="H84" s="218">
        <v>0</v>
      </c>
      <c r="I84" s="218">
        <v>0</v>
      </c>
      <c r="J84" s="218">
        <v>0</v>
      </c>
      <c r="K84" s="218">
        <v>211771123</v>
      </c>
      <c r="L84" s="218">
        <f t="shared" ref="L84:O84" si="26">L85</f>
        <v>42737583</v>
      </c>
      <c r="M84" s="218">
        <f t="shared" si="26"/>
        <v>42737583</v>
      </c>
      <c r="N84" s="218">
        <f t="shared" si="26"/>
        <v>42737583</v>
      </c>
      <c r="O84" s="219">
        <f t="shared" si="26"/>
        <v>41597943</v>
      </c>
      <c r="P84" s="213"/>
      <c r="Q84" s="220">
        <f>Q85</f>
        <v>0</v>
      </c>
    </row>
    <row r="85" spans="1:17" s="215" customFormat="1" ht="18" customHeight="1">
      <c r="A85" s="216" t="s">
        <v>484</v>
      </c>
      <c r="B85" s="217" t="s">
        <v>693</v>
      </c>
      <c r="C85" s="217">
        <f t="shared" si="21"/>
        <v>211771123</v>
      </c>
      <c r="D85" s="217"/>
      <c r="E85" s="217"/>
      <c r="F85" s="218">
        <v>211771123</v>
      </c>
      <c r="G85" s="218">
        <v>0</v>
      </c>
      <c r="H85" s="218">
        <v>0</v>
      </c>
      <c r="I85" s="218">
        <v>0</v>
      </c>
      <c r="J85" s="218">
        <v>0</v>
      </c>
      <c r="K85" s="218">
        <v>211771123</v>
      </c>
      <c r="L85" s="218">
        <f t="shared" ref="L85:O85" si="27">L86+L90</f>
        <v>42737583</v>
      </c>
      <c r="M85" s="218">
        <f t="shared" si="27"/>
        <v>42737583</v>
      </c>
      <c r="N85" s="218">
        <f t="shared" si="27"/>
        <v>42737583</v>
      </c>
      <c r="O85" s="219">
        <f t="shared" si="27"/>
        <v>41597943</v>
      </c>
      <c r="P85" s="213"/>
      <c r="Q85" s="220">
        <f>Q86+Q90</f>
        <v>0</v>
      </c>
    </row>
    <row r="86" spans="1:17" s="215" customFormat="1" ht="18" customHeight="1">
      <c r="A86" s="216" t="s">
        <v>485</v>
      </c>
      <c r="B86" s="217" t="s">
        <v>694</v>
      </c>
      <c r="C86" s="217">
        <f t="shared" si="21"/>
        <v>201182567</v>
      </c>
      <c r="D86" s="217"/>
      <c r="E86" s="217"/>
      <c r="F86" s="218">
        <v>201182567</v>
      </c>
      <c r="G86" s="218">
        <v>0</v>
      </c>
      <c r="H86" s="218">
        <v>0</v>
      </c>
      <c r="I86" s="218">
        <v>0</v>
      </c>
      <c r="J86" s="218">
        <v>0</v>
      </c>
      <c r="K86" s="218">
        <v>201182567</v>
      </c>
      <c r="L86" s="218">
        <f t="shared" ref="L86:O86" si="28">L87</f>
        <v>41549626.649999999</v>
      </c>
      <c r="M86" s="218">
        <f t="shared" si="28"/>
        <v>41549626.649999999</v>
      </c>
      <c r="N86" s="218">
        <f t="shared" si="28"/>
        <v>41549626.649999999</v>
      </c>
      <c r="O86" s="219">
        <f t="shared" si="28"/>
        <v>40409986.649999999</v>
      </c>
      <c r="P86" s="213"/>
      <c r="Q86" s="220">
        <f>Q87</f>
        <v>0</v>
      </c>
    </row>
    <row r="87" spans="1:17" s="215" customFormat="1" ht="18" customHeight="1">
      <c r="A87" s="216" t="s">
        <v>695</v>
      </c>
      <c r="B87" s="217" t="s">
        <v>491</v>
      </c>
      <c r="C87" s="217">
        <f t="shared" si="21"/>
        <v>201182567</v>
      </c>
      <c r="D87" s="217"/>
      <c r="E87" s="217"/>
      <c r="F87" s="218">
        <v>201182567</v>
      </c>
      <c r="G87" s="218">
        <v>0</v>
      </c>
      <c r="H87" s="218">
        <v>0</v>
      </c>
      <c r="I87" s="218">
        <v>0</v>
      </c>
      <c r="J87" s="218">
        <v>0</v>
      </c>
      <c r="K87" s="218">
        <v>201182567</v>
      </c>
      <c r="L87" s="218">
        <f t="shared" ref="L87:O87" si="29">SUM(L88:L89)</f>
        <v>41549626.649999999</v>
      </c>
      <c r="M87" s="218">
        <f t="shared" si="29"/>
        <v>41549626.649999999</v>
      </c>
      <c r="N87" s="218">
        <f t="shared" si="29"/>
        <v>41549626.649999999</v>
      </c>
      <c r="O87" s="219">
        <f t="shared" si="29"/>
        <v>40409986.649999999</v>
      </c>
      <c r="P87" s="213"/>
      <c r="Q87" s="220">
        <f>SUM(Q88:Q89)</f>
        <v>0</v>
      </c>
    </row>
    <row r="88" spans="1:17" s="207" customFormat="1" ht="18" customHeight="1">
      <c r="A88" s="221" t="s">
        <v>696</v>
      </c>
      <c r="B88" s="222" t="s">
        <v>486</v>
      </c>
      <c r="C88" s="222">
        <f t="shared" ref="C88:C151" si="30">K88</f>
        <v>152634651</v>
      </c>
      <c r="D88" s="222"/>
      <c r="E88" s="222"/>
      <c r="F88" s="223">
        <v>152634651</v>
      </c>
      <c r="G88" s="223">
        <v>0</v>
      </c>
      <c r="H88" s="223">
        <v>0</v>
      </c>
      <c r="I88" s="223">
        <v>0</v>
      </c>
      <c r="J88" s="223">
        <v>0</v>
      </c>
      <c r="K88" s="223">
        <v>152634651</v>
      </c>
      <c r="L88" s="223">
        <v>32191620.699999999</v>
      </c>
      <c r="M88" s="223">
        <v>32191620.699999999</v>
      </c>
      <c r="N88" s="223">
        <v>32191620.699999999</v>
      </c>
      <c r="O88" s="224">
        <v>32191620.699999999</v>
      </c>
      <c r="P88" s="225"/>
      <c r="Q88" s="226"/>
    </row>
    <row r="89" spans="1:17" s="207" customFormat="1" ht="18" customHeight="1">
      <c r="A89" s="221" t="s">
        <v>697</v>
      </c>
      <c r="B89" s="222" t="s">
        <v>488</v>
      </c>
      <c r="C89" s="222">
        <f t="shared" si="30"/>
        <v>48547916</v>
      </c>
      <c r="D89" s="222"/>
      <c r="E89" s="222"/>
      <c r="F89" s="223">
        <v>48547916</v>
      </c>
      <c r="G89" s="223">
        <v>0</v>
      </c>
      <c r="H89" s="223">
        <v>0</v>
      </c>
      <c r="I89" s="223">
        <v>0</v>
      </c>
      <c r="J89" s="223">
        <v>0</v>
      </c>
      <c r="K89" s="223">
        <v>48547916</v>
      </c>
      <c r="L89" s="223">
        <v>9358005.9499999993</v>
      </c>
      <c r="M89" s="223">
        <v>9358005.9499999993</v>
      </c>
      <c r="N89" s="223">
        <v>9358005.9499999993</v>
      </c>
      <c r="O89" s="224">
        <v>8218365.9500000002</v>
      </c>
      <c r="P89" s="225"/>
      <c r="Q89" s="226"/>
    </row>
    <row r="90" spans="1:17" s="215" customFormat="1" ht="18" customHeight="1">
      <c r="A90" s="216" t="s">
        <v>487</v>
      </c>
      <c r="B90" s="217" t="s">
        <v>492</v>
      </c>
      <c r="C90" s="217">
        <f t="shared" si="30"/>
        <v>10588556</v>
      </c>
      <c r="D90" s="217"/>
      <c r="E90" s="217"/>
      <c r="F90" s="218">
        <v>10588556</v>
      </c>
      <c r="G90" s="218">
        <v>0</v>
      </c>
      <c r="H90" s="218">
        <v>0</v>
      </c>
      <c r="I90" s="218">
        <v>0</v>
      </c>
      <c r="J90" s="218">
        <v>0</v>
      </c>
      <c r="K90" s="218">
        <v>10588556</v>
      </c>
      <c r="L90" s="218">
        <f t="shared" ref="L90:O90" si="31">SUM(L91:L92)</f>
        <v>1187956.3500000001</v>
      </c>
      <c r="M90" s="218">
        <f t="shared" si="31"/>
        <v>1187956.3500000001</v>
      </c>
      <c r="N90" s="218">
        <f t="shared" si="31"/>
        <v>1187956.3500000001</v>
      </c>
      <c r="O90" s="219">
        <f t="shared" si="31"/>
        <v>1187956.3500000001</v>
      </c>
      <c r="P90" s="213"/>
      <c r="Q90" s="220">
        <f>SUM(Q91:Q92)</f>
        <v>0</v>
      </c>
    </row>
    <row r="91" spans="1:17" s="207" customFormat="1" ht="18" customHeight="1">
      <c r="A91" s="221" t="s">
        <v>698</v>
      </c>
      <c r="B91" s="222" t="s">
        <v>486</v>
      </c>
      <c r="C91" s="222">
        <f t="shared" si="30"/>
        <v>8033403</v>
      </c>
      <c r="D91" s="222"/>
      <c r="E91" s="222"/>
      <c r="F91" s="223">
        <v>8033403</v>
      </c>
      <c r="G91" s="223">
        <v>0</v>
      </c>
      <c r="H91" s="223">
        <v>0</v>
      </c>
      <c r="I91" s="223">
        <v>0</v>
      </c>
      <c r="J91" s="223">
        <v>0</v>
      </c>
      <c r="K91" s="223">
        <v>8033403</v>
      </c>
      <c r="L91" s="223">
        <v>1027058.3</v>
      </c>
      <c r="M91" s="223">
        <v>1027058.3</v>
      </c>
      <c r="N91" s="223">
        <v>1027058.3</v>
      </c>
      <c r="O91" s="224">
        <v>1027058.3</v>
      </c>
      <c r="P91" s="225"/>
      <c r="Q91" s="226"/>
    </row>
    <row r="92" spans="1:17" s="207" customFormat="1" ht="18" customHeight="1">
      <c r="A92" s="221" t="s">
        <v>699</v>
      </c>
      <c r="B92" s="222" t="s">
        <v>488</v>
      </c>
      <c r="C92" s="222">
        <f t="shared" si="30"/>
        <v>2555153</v>
      </c>
      <c r="D92" s="222"/>
      <c r="E92" s="222"/>
      <c r="F92" s="223">
        <v>2555153</v>
      </c>
      <c r="G92" s="223">
        <v>0</v>
      </c>
      <c r="H92" s="223">
        <v>0</v>
      </c>
      <c r="I92" s="223">
        <v>0</v>
      </c>
      <c r="J92" s="223">
        <v>0</v>
      </c>
      <c r="K92" s="223">
        <v>2555153</v>
      </c>
      <c r="L92" s="223">
        <v>160898.04999999999</v>
      </c>
      <c r="M92" s="223">
        <v>160898.04999999999</v>
      </c>
      <c r="N92" s="223">
        <v>160898.04999999999</v>
      </c>
      <c r="O92" s="224">
        <v>160898.04999999999</v>
      </c>
      <c r="P92" s="225"/>
      <c r="Q92" s="226"/>
    </row>
    <row r="93" spans="1:17" s="215" customFormat="1" ht="18" customHeight="1">
      <c r="A93" s="216" t="s">
        <v>493</v>
      </c>
      <c r="B93" s="217" t="s">
        <v>489</v>
      </c>
      <c r="C93" s="217">
        <f t="shared" si="30"/>
        <v>5183222616.0200005</v>
      </c>
      <c r="D93" s="217"/>
      <c r="E93" s="217"/>
      <c r="F93" s="218">
        <v>3126315600.9499998</v>
      </c>
      <c r="G93" s="218">
        <v>211726349.16</v>
      </c>
      <c r="H93" s="218">
        <v>211726349.16</v>
      </c>
      <c r="I93" s="218">
        <v>2430793057.0300002</v>
      </c>
      <c r="J93" s="218">
        <v>373886041.95999998</v>
      </c>
      <c r="K93" s="218">
        <v>5183222616.0200005</v>
      </c>
      <c r="L93" s="218">
        <f t="shared" ref="L93:O93" si="32">L94+L127+L334+L378+L393</f>
        <v>2070324301.0899999</v>
      </c>
      <c r="M93" s="218">
        <f t="shared" si="32"/>
        <v>1878861119.3099999</v>
      </c>
      <c r="N93" s="218">
        <f t="shared" si="32"/>
        <v>605359013.53999996</v>
      </c>
      <c r="O93" s="219">
        <f t="shared" si="32"/>
        <v>462972354.98000002</v>
      </c>
      <c r="P93" s="213"/>
      <c r="Q93" s="220">
        <f>Q94+Q127+Q334+Q378+Q393</f>
        <v>0</v>
      </c>
    </row>
    <row r="94" spans="1:17" s="215" customFormat="1" ht="18" customHeight="1">
      <c r="A94" s="216" t="s">
        <v>494</v>
      </c>
      <c r="B94" s="217" t="s">
        <v>700</v>
      </c>
      <c r="C94" s="217">
        <f t="shared" si="30"/>
        <v>139665937.90000001</v>
      </c>
      <c r="D94" s="217"/>
      <c r="E94" s="217"/>
      <c r="F94" s="218">
        <v>144843605.90000001</v>
      </c>
      <c r="G94" s="218">
        <v>21897123</v>
      </c>
      <c r="H94" s="218">
        <v>21897123</v>
      </c>
      <c r="I94" s="218">
        <v>4822332</v>
      </c>
      <c r="J94" s="218">
        <v>10000000</v>
      </c>
      <c r="K94" s="218">
        <v>139665937.90000001</v>
      </c>
      <c r="L94" s="218">
        <f t="shared" ref="L94:O94" si="33">L95+L102+L104</f>
        <v>64462158</v>
      </c>
      <c r="M94" s="218">
        <f t="shared" si="33"/>
        <v>38797873</v>
      </c>
      <c r="N94" s="218">
        <f t="shared" si="33"/>
        <v>1981323</v>
      </c>
      <c r="O94" s="219">
        <f t="shared" si="33"/>
        <v>0</v>
      </c>
      <c r="P94" s="213"/>
      <c r="Q94" s="220">
        <f>Q95+Q102+Q104</f>
        <v>0</v>
      </c>
    </row>
    <row r="95" spans="1:17" s="215" customFormat="1">
      <c r="A95" s="237" t="s">
        <v>495</v>
      </c>
      <c r="B95" s="238" t="s">
        <v>496</v>
      </c>
      <c r="C95" s="238">
        <f t="shared" si="30"/>
        <v>21343605.899999999</v>
      </c>
      <c r="D95" s="238"/>
      <c r="E95" s="238"/>
      <c r="F95" s="218">
        <v>21343605.899999999</v>
      </c>
      <c r="G95" s="218">
        <v>0</v>
      </c>
      <c r="H95" s="218">
        <v>0</v>
      </c>
      <c r="I95" s="218">
        <v>0</v>
      </c>
      <c r="J95" s="218">
        <v>0</v>
      </c>
      <c r="K95" s="218">
        <v>21343605.899999999</v>
      </c>
      <c r="L95" s="218">
        <f t="shared" ref="L95:O95" si="34">SUM(L96:L101)</f>
        <v>0</v>
      </c>
      <c r="M95" s="218">
        <f t="shared" si="34"/>
        <v>0</v>
      </c>
      <c r="N95" s="218">
        <f t="shared" si="34"/>
        <v>0</v>
      </c>
      <c r="O95" s="219">
        <f t="shared" si="34"/>
        <v>0</v>
      </c>
      <c r="P95" s="213"/>
      <c r="Q95" s="220">
        <f>SUM(Q96:Q101)</f>
        <v>0</v>
      </c>
    </row>
    <row r="96" spans="1:17" s="207" customFormat="1">
      <c r="A96" s="228" t="s">
        <v>497</v>
      </c>
      <c r="B96" s="229" t="s">
        <v>498</v>
      </c>
      <c r="C96" s="229">
        <f t="shared" si="30"/>
        <v>0</v>
      </c>
      <c r="D96" s="229"/>
      <c r="E96" s="229"/>
      <c r="F96" s="223">
        <v>0</v>
      </c>
      <c r="G96" s="223">
        <v>0</v>
      </c>
      <c r="H96" s="223">
        <v>0</v>
      </c>
      <c r="I96" s="223">
        <v>0</v>
      </c>
      <c r="J96" s="223">
        <v>0</v>
      </c>
      <c r="K96" s="223">
        <v>0</v>
      </c>
      <c r="L96" s="223">
        <v>0</v>
      </c>
      <c r="M96" s="223">
        <v>0</v>
      </c>
      <c r="N96" s="223">
        <v>0</v>
      </c>
      <c r="O96" s="224">
        <v>0</v>
      </c>
      <c r="P96" s="225"/>
      <c r="Q96" s="226"/>
    </row>
    <row r="97" spans="1:17" s="207" customFormat="1">
      <c r="A97" s="228" t="s">
        <v>499</v>
      </c>
      <c r="B97" s="229" t="s">
        <v>502</v>
      </c>
      <c r="C97" s="229">
        <f t="shared" si="30"/>
        <v>0</v>
      </c>
      <c r="D97" s="229"/>
      <c r="E97" s="229"/>
      <c r="F97" s="223">
        <v>0</v>
      </c>
      <c r="G97" s="223">
        <v>0</v>
      </c>
      <c r="H97" s="223">
        <v>0</v>
      </c>
      <c r="I97" s="223">
        <v>0</v>
      </c>
      <c r="J97" s="223">
        <v>0</v>
      </c>
      <c r="K97" s="223">
        <v>0</v>
      </c>
      <c r="L97" s="223">
        <v>0</v>
      </c>
      <c r="M97" s="223">
        <v>0</v>
      </c>
      <c r="N97" s="223">
        <v>0</v>
      </c>
      <c r="O97" s="224">
        <v>0</v>
      </c>
      <c r="P97" s="225"/>
      <c r="Q97" s="226"/>
    </row>
    <row r="98" spans="1:17" s="207" customFormat="1">
      <c r="A98" s="228" t="s">
        <v>500</v>
      </c>
      <c r="B98" s="229" t="s">
        <v>504</v>
      </c>
      <c r="C98" s="229">
        <f t="shared" si="30"/>
        <v>11843605.9</v>
      </c>
      <c r="D98" s="229"/>
      <c r="E98" s="229"/>
      <c r="F98" s="223">
        <v>11843605.9</v>
      </c>
      <c r="G98" s="223">
        <v>0</v>
      </c>
      <c r="H98" s="223">
        <v>0</v>
      </c>
      <c r="I98" s="223">
        <v>0</v>
      </c>
      <c r="J98" s="223">
        <v>0</v>
      </c>
      <c r="K98" s="223">
        <v>11843605.9</v>
      </c>
      <c r="L98" s="223">
        <v>0</v>
      </c>
      <c r="M98" s="223">
        <v>0</v>
      </c>
      <c r="N98" s="223">
        <v>0</v>
      </c>
      <c r="O98" s="224">
        <v>0</v>
      </c>
      <c r="P98" s="225"/>
      <c r="Q98" s="226"/>
    </row>
    <row r="99" spans="1:17" s="207" customFormat="1">
      <c r="A99" s="228" t="s">
        <v>501</v>
      </c>
      <c r="B99" s="229" t="s">
        <v>701</v>
      </c>
      <c r="C99" s="229">
        <f t="shared" si="30"/>
        <v>1000000</v>
      </c>
      <c r="D99" s="229"/>
      <c r="E99" s="229"/>
      <c r="F99" s="223">
        <v>1000000</v>
      </c>
      <c r="G99" s="223">
        <v>0</v>
      </c>
      <c r="H99" s="223">
        <v>0</v>
      </c>
      <c r="I99" s="223">
        <v>0</v>
      </c>
      <c r="J99" s="223">
        <v>0</v>
      </c>
      <c r="K99" s="223">
        <v>1000000</v>
      </c>
      <c r="L99" s="223">
        <v>0</v>
      </c>
      <c r="M99" s="223">
        <v>0</v>
      </c>
      <c r="N99" s="223">
        <v>0</v>
      </c>
      <c r="O99" s="224">
        <v>0</v>
      </c>
      <c r="P99" s="225"/>
      <c r="Q99" s="226"/>
    </row>
    <row r="100" spans="1:17" s="207" customFormat="1">
      <c r="A100" s="228" t="s">
        <v>503</v>
      </c>
      <c r="B100" s="229" t="s">
        <v>125</v>
      </c>
      <c r="C100" s="229">
        <f t="shared" si="30"/>
        <v>2000000</v>
      </c>
      <c r="D100" s="229"/>
      <c r="E100" s="229"/>
      <c r="F100" s="223">
        <v>2000000</v>
      </c>
      <c r="G100" s="223">
        <v>0</v>
      </c>
      <c r="H100" s="223">
        <v>0</v>
      </c>
      <c r="I100" s="223">
        <v>0</v>
      </c>
      <c r="J100" s="223">
        <v>0</v>
      </c>
      <c r="K100" s="223">
        <v>2000000</v>
      </c>
      <c r="L100" s="223">
        <v>0</v>
      </c>
      <c r="M100" s="223">
        <v>0</v>
      </c>
      <c r="N100" s="223">
        <v>0</v>
      </c>
      <c r="O100" s="224">
        <v>0</v>
      </c>
      <c r="P100" s="225"/>
      <c r="Q100" s="226"/>
    </row>
    <row r="101" spans="1:17" s="207" customFormat="1">
      <c r="A101" s="228" t="s">
        <v>505</v>
      </c>
      <c r="B101" s="229" t="s">
        <v>702</v>
      </c>
      <c r="C101" s="229">
        <f t="shared" si="30"/>
        <v>6500000</v>
      </c>
      <c r="D101" s="229"/>
      <c r="E101" s="229"/>
      <c r="F101" s="223">
        <v>6500000</v>
      </c>
      <c r="G101" s="223">
        <v>0</v>
      </c>
      <c r="H101" s="223">
        <v>0</v>
      </c>
      <c r="I101" s="223">
        <v>0</v>
      </c>
      <c r="J101" s="223">
        <v>0</v>
      </c>
      <c r="K101" s="223">
        <v>6500000</v>
      </c>
      <c r="L101" s="223">
        <v>0</v>
      </c>
      <c r="M101" s="223">
        <v>0</v>
      </c>
      <c r="N101" s="223">
        <v>0</v>
      </c>
      <c r="O101" s="224">
        <v>0</v>
      </c>
      <c r="P101" s="225"/>
      <c r="Q101" s="226"/>
    </row>
    <row r="102" spans="1:17" s="215" customFormat="1">
      <c r="A102" s="216" t="s">
        <v>513</v>
      </c>
      <c r="B102" s="217" t="s">
        <v>514</v>
      </c>
      <c r="C102" s="217">
        <f t="shared" si="30"/>
        <v>2000000</v>
      </c>
      <c r="D102" s="217"/>
      <c r="E102" s="217"/>
      <c r="F102" s="218">
        <v>2000000</v>
      </c>
      <c r="G102" s="218">
        <v>0</v>
      </c>
      <c r="H102" s="218">
        <v>0</v>
      </c>
      <c r="I102" s="218">
        <v>0</v>
      </c>
      <c r="J102" s="218">
        <v>0</v>
      </c>
      <c r="K102" s="218">
        <v>2000000</v>
      </c>
      <c r="L102" s="218">
        <f t="shared" ref="L102:O102" si="35">L103</f>
        <v>0</v>
      </c>
      <c r="M102" s="218">
        <f t="shared" si="35"/>
        <v>0</v>
      </c>
      <c r="N102" s="218">
        <f t="shared" si="35"/>
        <v>0</v>
      </c>
      <c r="O102" s="219">
        <f t="shared" si="35"/>
        <v>0</v>
      </c>
      <c r="P102" s="213"/>
      <c r="Q102" s="220">
        <f>Q103</f>
        <v>0</v>
      </c>
    </row>
    <row r="103" spans="1:17" s="207" customFormat="1">
      <c r="A103" s="228" t="s">
        <v>515</v>
      </c>
      <c r="B103" s="229" t="s">
        <v>516</v>
      </c>
      <c r="C103" s="222">
        <f t="shared" si="30"/>
        <v>2000000</v>
      </c>
      <c r="D103" s="222"/>
      <c r="E103" s="222"/>
      <c r="F103" s="223">
        <v>2000000</v>
      </c>
      <c r="G103" s="223">
        <v>0</v>
      </c>
      <c r="H103" s="223">
        <v>0</v>
      </c>
      <c r="I103" s="223">
        <v>0</v>
      </c>
      <c r="J103" s="223">
        <v>0</v>
      </c>
      <c r="K103" s="223">
        <v>2000000</v>
      </c>
      <c r="L103" s="223">
        <v>0</v>
      </c>
      <c r="M103" s="223">
        <v>0</v>
      </c>
      <c r="N103" s="223">
        <v>0</v>
      </c>
      <c r="O103" s="224">
        <v>0</v>
      </c>
      <c r="P103" s="225"/>
      <c r="Q103" s="226"/>
    </row>
    <row r="104" spans="1:17" s="215" customFormat="1">
      <c r="A104" s="216" t="s">
        <v>517</v>
      </c>
      <c r="B104" s="217" t="s">
        <v>490</v>
      </c>
      <c r="C104" s="217">
        <f t="shared" si="30"/>
        <v>116322332</v>
      </c>
      <c r="D104" s="217"/>
      <c r="E104" s="217"/>
      <c r="F104" s="218">
        <v>121500000</v>
      </c>
      <c r="G104" s="218">
        <v>21897123</v>
      </c>
      <c r="H104" s="218">
        <v>21897123</v>
      </c>
      <c r="I104" s="218">
        <v>4822332</v>
      </c>
      <c r="J104" s="218">
        <v>10000000</v>
      </c>
      <c r="K104" s="218">
        <v>116322332</v>
      </c>
      <c r="L104" s="218">
        <f t="shared" ref="L104:O104" si="36">SUM(L105+L107+L109+L111)</f>
        <v>64462158</v>
      </c>
      <c r="M104" s="218">
        <f t="shared" si="36"/>
        <v>38797873</v>
      </c>
      <c r="N104" s="218">
        <f t="shared" si="36"/>
        <v>1981323</v>
      </c>
      <c r="O104" s="219">
        <f t="shared" si="36"/>
        <v>0</v>
      </c>
      <c r="P104" s="213"/>
      <c r="Q104" s="220">
        <f>SUM(Q105+Q107+Q109+Q111)</f>
        <v>0</v>
      </c>
    </row>
    <row r="105" spans="1:17" s="215" customFormat="1">
      <c r="A105" s="216" t="s">
        <v>518</v>
      </c>
      <c r="B105" s="217" t="s">
        <v>703</v>
      </c>
      <c r="C105" s="217">
        <f t="shared" si="30"/>
        <v>4500000</v>
      </c>
      <c r="D105" s="217"/>
      <c r="E105" s="217"/>
      <c r="F105" s="218">
        <v>4500000</v>
      </c>
      <c r="G105" s="218">
        <v>0</v>
      </c>
      <c r="H105" s="218">
        <v>0</v>
      </c>
      <c r="I105" s="218">
        <v>0</v>
      </c>
      <c r="J105" s="218">
        <v>0</v>
      </c>
      <c r="K105" s="218">
        <v>4500000</v>
      </c>
      <c r="L105" s="218">
        <f t="shared" ref="L105:O105" si="37">L106</f>
        <v>0</v>
      </c>
      <c r="M105" s="218">
        <f t="shared" si="37"/>
        <v>0</v>
      </c>
      <c r="N105" s="218">
        <f t="shared" si="37"/>
        <v>0</v>
      </c>
      <c r="O105" s="219">
        <f t="shared" si="37"/>
        <v>0</v>
      </c>
      <c r="P105" s="213"/>
      <c r="Q105" s="220">
        <f>Q106</f>
        <v>0</v>
      </c>
    </row>
    <row r="106" spans="1:17" s="207" customFormat="1">
      <c r="A106" s="228" t="s">
        <v>519</v>
      </c>
      <c r="B106" s="229" t="s">
        <v>520</v>
      </c>
      <c r="C106" s="222">
        <f t="shared" si="30"/>
        <v>4500000</v>
      </c>
      <c r="D106" s="222"/>
      <c r="E106" s="222"/>
      <c r="F106" s="223">
        <v>4500000</v>
      </c>
      <c r="G106" s="223">
        <v>0</v>
      </c>
      <c r="H106" s="223">
        <v>0</v>
      </c>
      <c r="I106" s="223">
        <v>0</v>
      </c>
      <c r="J106" s="223">
        <v>0</v>
      </c>
      <c r="K106" s="223">
        <v>4500000</v>
      </c>
      <c r="L106" s="223">
        <v>0</v>
      </c>
      <c r="M106" s="223">
        <v>0</v>
      </c>
      <c r="N106" s="223">
        <v>0</v>
      </c>
      <c r="O106" s="224">
        <v>0</v>
      </c>
      <c r="P106" s="225"/>
      <c r="Q106" s="226"/>
    </row>
    <row r="107" spans="1:17" s="215" customFormat="1">
      <c r="A107" s="216" t="s">
        <v>521</v>
      </c>
      <c r="B107" s="217" t="s">
        <v>522</v>
      </c>
      <c r="C107" s="217">
        <f t="shared" si="30"/>
        <v>4000000</v>
      </c>
      <c r="D107" s="217"/>
      <c r="E107" s="217"/>
      <c r="F107" s="218">
        <v>4000000</v>
      </c>
      <c r="G107" s="218">
        <v>0</v>
      </c>
      <c r="H107" s="218">
        <v>0</v>
      </c>
      <c r="I107" s="218">
        <v>0</v>
      </c>
      <c r="J107" s="218">
        <v>0</v>
      </c>
      <c r="K107" s="218">
        <v>4000000</v>
      </c>
      <c r="L107" s="218">
        <f t="shared" ref="L107:O107" si="38">L108</f>
        <v>0</v>
      </c>
      <c r="M107" s="218">
        <f t="shared" si="38"/>
        <v>0</v>
      </c>
      <c r="N107" s="218">
        <f t="shared" si="38"/>
        <v>0</v>
      </c>
      <c r="O107" s="219">
        <f t="shared" si="38"/>
        <v>0</v>
      </c>
      <c r="P107" s="213"/>
      <c r="Q107" s="220">
        <f>Q108</f>
        <v>0</v>
      </c>
    </row>
    <row r="108" spans="1:17" s="207" customFormat="1">
      <c r="A108" s="228" t="s">
        <v>523</v>
      </c>
      <c r="B108" s="229" t="s">
        <v>524</v>
      </c>
      <c r="C108" s="222">
        <f t="shared" si="30"/>
        <v>4000000</v>
      </c>
      <c r="D108" s="222"/>
      <c r="E108" s="222"/>
      <c r="F108" s="223">
        <v>4000000</v>
      </c>
      <c r="G108" s="223">
        <v>0</v>
      </c>
      <c r="H108" s="223">
        <v>0</v>
      </c>
      <c r="I108" s="223">
        <v>0</v>
      </c>
      <c r="J108" s="223">
        <v>0</v>
      </c>
      <c r="K108" s="223">
        <v>4000000</v>
      </c>
      <c r="L108" s="223">
        <v>0</v>
      </c>
      <c r="M108" s="223">
        <v>0</v>
      </c>
      <c r="N108" s="223">
        <v>0</v>
      </c>
      <c r="O108" s="224">
        <v>0</v>
      </c>
      <c r="P108" s="225"/>
      <c r="Q108" s="226"/>
    </row>
    <row r="109" spans="1:17" s="215" customFormat="1">
      <c r="A109" s="216" t="s">
        <v>525</v>
      </c>
      <c r="B109" s="217" t="s">
        <v>171</v>
      </c>
      <c r="C109" s="217">
        <f t="shared" si="30"/>
        <v>6000000</v>
      </c>
      <c r="D109" s="217"/>
      <c r="E109" s="217"/>
      <c r="F109" s="218">
        <v>6000000</v>
      </c>
      <c r="G109" s="218">
        <v>0</v>
      </c>
      <c r="H109" s="218">
        <v>0</v>
      </c>
      <c r="I109" s="218">
        <v>0</v>
      </c>
      <c r="J109" s="218">
        <v>0</v>
      </c>
      <c r="K109" s="218">
        <v>6000000</v>
      </c>
      <c r="L109" s="218">
        <f t="shared" ref="L109:O109" si="39">L110</f>
        <v>0</v>
      </c>
      <c r="M109" s="218">
        <f t="shared" si="39"/>
        <v>0</v>
      </c>
      <c r="N109" s="218">
        <f t="shared" si="39"/>
        <v>0</v>
      </c>
      <c r="O109" s="219">
        <f t="shared" si="39"/>
        <v>0</v>
      </c>
      <c r="P109" s="213"/>
      <c r="Q109" s="220">
        <f>Q110</f>
        <v>0</v>
      </c>
    </row>
    <row r="110" spans="1:17" s="207" customFormat="1">
      <c r="A110" s="228" t="s">
        <v>526</v>
      </c>
      <c r="B110" s="229" t="s">
        <v>524</v>
      </c>
      <c r="C110" s="222">
        <f t="shared" si="30"/>
        <v>6000000</v>
      </c>
      <c r="D110" s="222"/>
      <c r="E110" s="222"/>
      <c r="F110" s="223">
        <v>6000000</v>
      </c>
      <c r="G110" s="223">
        <v>0</v>
      </c>
      <c r="H110" s="223">
        <v>0</v>
      </c>
      <c r="I110" s="223">
        <v>0</v>
      </c>
      <c r="J110" s="223">
        <v>0</v>
      </c>
      <c r="K110" s="223">
        <v>6000000</v>
      </c>
      <c r="L110" s="223">
        <v>0</v>
      </c>
      <c r="M110" s="223">
        <v>0</v>
      </c>
      <c r="N110" s="223">
        <v>0</v>
      </c>
      <c r="O110" s="224">
        <v>0</v>
      </c>
      <c r="P110" s="225"/>
      <c r="Q110" s="226"/>
    </row>
    <row r="111" spans="1:17" s="215" customFormat="1">
      <c r="A111" s="216" t="s">
        <v>527</v>
      </c>
      <c r="B111" s="217" t="s">
        <v>528</v>
      </c>
      <c r="C111" s="217">
        <f t="shared" si="30"/>
        <v>101822332</v>
      </c>
      <c r="D111" s="217"/>
      <c r="E111" s="217"/>
      <c r="F111" s="218">
        <v>107000000</v>
      </c>
      <c r="G111" s="218">
        <v>21897123</v>
      </c>
      <c r="H111" s="218">
        <v>21897123</v>
      </c>
      <c r="I111" s="218">
        <v>4822332</v>
      </c>
      <c r="J111" s="218">
        <v>10000000</v>
      </c>
      <c r="K111" s="218">
        <v>101822332</v>
      </c>
      <c r="L111" s="218">
        <f t="shared" ref="L111:O111" si="40">SUM(L112:L126)</f>
        <v>64462158</v>
      </c>
      <c r="M111" s="218">
        <f t="shared" si="40"/>
        <v>38797873</v>
      </c>
      <c r="N111" s="218">
        <f t="shared" si="40"/>
        <v>1981323</v>
      </c>
      <c r="O111" s="219">
        <f t="shared" si="40"/>
        <v>0</v>
      </c>
      <c r="P111" s="213"/>
      <c r="Q111" s="220">
        <f>SUM(Q112:Q126)</f>
        <v>0</v>
      </c>
    </row>
    <row r="112" spans="1:17" s="207" customFormat="1">
      <c r="A112" s="228" t="s">
        <v>529</v>
      </c>
      <c r="B112" s="229" t="s">
        <v>531</v>
      </c>
      <c r="C112" s="222">
        <f t="shared" si="30"/>
        <v>3500000</v>
      </c>
      <c r="D112" s="222"/>
      <c r="E112" s="222"/>
      <c r="F112" s="223">
        <v>3500000</v>
      </c>
      <c r="G112" s="223">
        <v>0</v>
      </c>
      <c r="H112" s="223">
        <v>0</v>
      </c>
      <c r="I112" s="223">
        <v>0</v>
      </c>
      <c r="J112" s="223">
        <v>0</v>
      </c>
      <c r="K112" s="223">
        <v>3500000</v>
      </c>
      <c r="L112" s="223">
        <v>0</v>
      </c>
      <c r="M112" s="223">
        <v>0</v>
      </c>
      <c r="N112" s="223">
        <v>0</v>
      </c>
      <c r="O112" s="224">
        <v>0</v>
      </c>
      <c r="P112" s="225"/>
      <c r="Q112" s="226"/>
    </row>
    <row r="113" spans="1:17" s="207" customFormat="1">
      <c r="A113" s="228" t="s">
        <v>530</v>
      </c>
      <c r="B113" s="229" t="s">
        <v>704</v>
      </c>
      <c r="C113" s="222">
        <f t="shared" si="30"/>
        <v>3500000</v>
      </c>
      <c r="D113" s="222"/>
      <c r="E113" s="222"/>
      <c r="F113" s="223">
        <v>3500000</v>
      </c>
      <c r="G113" s="223">
        <v>0</v>
      </c>
      <c r="H113" s="223">
        <v>0</v>
      </c>
      <c r="I113" s="223">
        <v>0</v>
      </c>
      <c r="J113" s="223">
        <v>0</v>
      </c>
      <c r="K113" s="223">
        <v>3500000</v>
      </c>
      <c r="L113" s="223">
        <v>0</v>
      </c>
      <c r="M113" s="223">
        <v>0</v>
      </c>
      <c r="N113" s="223">
        <v>0</v>
      </c>
      <c r="O113" s="224">
        <v>0</v>
      </c>
      <c r="P113" s="225"/>
      <c r="Q113" s="226"/>
    </row>
    <row r="114" spans="1:17" s="207" customFormat="1">
      <c r="A114" s="228" t="s">
        <v>532</v>
      </c>
      <c r="B114" s="229" t="s">
        <v>705</v>
      </c>
      <c r="C114" s="222">
        <f t="shared" si="30"/>
        <v>0</v>
      </c>
      <c r="D114" s="222"/>
      <c r="E114" s="222"/>
      <c r="F114" s="223">
        <v>3000000</v>
      </c>
      <c r="G114" s="223">
        <v>0</v>
      </c>
      <c r="H114" s="223">
        <v>0</v>
      </c>
      <c r="I114" s="223">
        <v>0</v>
      </c>
      <c r="J114" s="223">
        <v>3000000</v>
      </c>
      <c r="K114" s="223">
        <v>0</v>
      </c>
      <c r="L114" s="223">
        <v>0</v>
      </c>
      <c r="M114" s="223">
        <v>0</v>
      </c>
      <c r="N114" s="223">
        <v>0</v>
      </c>
      <c r="O114" s="224">
        <v>0</v>
      </c>
      <c r="P114" s="225"/>
      <c r="Q114" s="226"/>
    </row>
    <row r="115" spans="1:17" s="207" customFormat="1">
      <c r="A115" s="228" t="s">
        <v>533</v>
      </c>
      <c r="B115" s="229" t="s">
        <v>133</v>
      </c>
      <c r="C115" s="222">
        <f t="shared" si="30"/>
        <v>3000000</v>
      </c>
      <c r="D115" s="222"/>
      <c r="E115" s="222"/>
      <c r="F115" s="223">
        <v>9000000</v>
      </c>
      <c r="G115" s="223">
        <v>0</v>
      </c>
      <c r="H115" s="223">
        <v>0</v>
      </c>
      <c r="I115" s="223">
        <v>0</v>
      </c>
      <c r="J115" s="223">
        <v>6000000</v>
      </c>
      <c r="K115" s="223">
        <v>3000000</v>
      </c>
      <c r="L115" s="223">
        <v>1000000</v>
      </c>
      <c r="M115" s="223">
        <v>1000000</v>
      </c>
      <c r="N115" s="223">
        <v>0</v>
      </c>
      <c r="O115" s="224">
        <v>0</v>
      </c>
      <c r="P115" s="225"/>
      <c r="Q115" s="226"/>
    </row>
    <row r="116" spans="1:17" s="207" customFormat="1">
      <c r="A116" s="228" t="s">
        <v>534</v>
      </c>
      <c r="B116" s="229" t="s">
        <v>539</v>
      </c>
      <c r="C116" s="222">
        <f t="shared" si="30"/>
        <v>34994553</v>
      </c>
      <c r="D116" s="222"/>
      <c r="E116" s="222"/>
      <c r="F116" s="223">
        <v>48000000</v>
      </c>
      <c r="G116" s="223">
        <v>2658838</v>
      </c>
      <c r="H116" s="223">
        <v>15664285</v>
      </c>
      <c r="I116" s="223">
        <v>0</v>
      </c>
      <c r="J116" s="223">
        <v>0</v>
      </c>
      <c r="K116" s="223">
        <v>34994553</v>
      </c>
      <c r="L116" s="223">
        <v>25194553</v>
      </c>
      <c r="M116" s="223">
        <v>25194553</v>
      </c>
      <c r="N116" s="223">
        <v>1981323</v>
      </c>
      <c r="O116" s="224">
        <v>0</v>
      </c>
      <c r="P116" s="225"/>
      <c r="Q116" s="226"/>
    </row>
    <row r="117" spans="1:17" s="207" customFormat="1">
      <c r="A117" s="228" t="s">
        <v>535</v>
      </c>
      <c r="B117" s="229" t="s">
        <v>541</v>
      </c>
      <c r="C117" s="222">
        <f t="shared" si="30"/>
        <v>1426000</v>
      </c>
      <c r="D117" s="222"/>
      <c r="E117" s="222"/>
      <c r="F117" s="223">
        <v>5000000</v>
      </c>
      <c r="G117" s="223">
        <v>0</v>
      </c>
      <c r="H117" s="223">
        <v>3574000</v>
      </c>
      <c r="I117" s="223">
        <v>0</v>
      </c>
      <c r="J117" s="223">
        <v>0</v>
      </c>
      <c r="K117" s="223">
        <v>1426000</v>
      </c>
      <c r="L117" s="223">
        <v>0</v>
      </c>
      <c r="M117" s="223">
        <v>0</v>
      </c>
      <c r="N117" s="223">
        <v>0</v>
      </c>
      <c r="O117" s="224">
        <v>0</v>
      </c>
      <c r="P117" s="225"/>
      <c r="Q117" s="226"/>
    </row>
    <row r="118" spans="1:17" s="207" customFormat="1">
      <c r="A118" s="228" t="s">
        <v>536</v>
      </c>
      <c r="B118" s="229" t="s">
        <v>1</v>
      </c>
      <c r="C118" s="222">
        <f t="shared" si="30"/>
        <v>4000000</v>
      </c>
      <c r="D118" s="222"/>
      <c r="E118" s="222"/>
      <c r="F118" s="223">
        <v>6000000</v>
      </c>
      <c r="G118" s="223">
        <v>0</v>
      </c>
      <c r="H118" s="223">
        <v>2000000</v>
      </c>
      <c r="I118" s="223">
        <v>0</v>
      </c>
      <c r="J118" s="223">
        <v>0</v>
      </c>
      <c r="K118" s="223">
        <v>4000000</v>
      </c>
      <c r="L118" s="223">
        <v>4000000</v>
      </c>
      <c r="M118" s="223">
        <v>4000000</v>
      </c>
      <c r="N118" s="223">
        <v>0</v>
      </c>
      <c r="O118" s="224">
        <v>0</v>
      </c>
      <c r="P118" s="225"/>
      <c r="Q118" s="226"/>
    </row>
    <row r="119" spans="1:17" s="207" customFormat="1">
      <c r="A119" s="228" t="s">
        <v>537</v>
      </c>
      <c r="B119" s="229" t="s">
        <v>3</v>
      </c>
      <c r="C119" s="222">
        <f t="shared" si="30"/>
        <v>3000000</v>
      </c>
      <c r="D119" s="222"/>
      <c r="E119" s="222"/>
      <c r="F119" s="223">
        <v>3000000</v>
      </c>
      <c r="G119" s="223">
        <v>0</v>
      </c>
      <c r="H119" s="223">
        <v>0</v>
      </c>
      <c r="I119" s="223">
        <v>0</v>
      </c>
      <c r="J119" s="223">
        <v>0</v>
      </c>
      <c r="K119" s="223">
        <v>3000000</v>
      </c>
      <c r="L119" s="223">
        <v>0</v>
      </c>
      <c r="M119" s="223">
        <v>0</v>
      </c>
      <c r="N119" s="223">
        <v>0</v>
      </c>
      <c r="O119" s="224">
        <v>0</v>
      </c>
      <c r="P119" s="225"/>
      <c r="Q119" s="226"/>
    </row>
    <row r="120" spans="1:17" s="207" customFormat="1">
      <c r="A120" s="228" t="s">
        <v>538</v>
      </c>
      <c r="B120" s="229" t="s">
        <v>706</v>
      </c>
      <c r="C120" s="222">
        <f t="shared" si="30"/>
        <v>13396332</v>
      </c>
      <c r="D120" s="222"/>
      <c r="E120" s="222"/>
      <c r="F120" s="223">
        <v>6000000</v>
      </c>
      <c r="G120" s="223">
        <v>3574000</v>
      </c>
      <c r="H120" s="223">
        <v>0</v>
      </c>
      <c r="I120" s="223">
        <v>4822332</v>
      </c>
      <c r="J120" s="223">
        <v>1000000</v>
      </c>
      <c r="K120" s="223">
        <v>13396332</v>
      </c>
      <c r="L120" s="223">
        <v>8574000</v>
      </c>
      <c r="M120" s="223">
        <v>8574000</v>
      </c>
      <c r="N120" s="223">
        <v>0</v>
      </c>
      <c r="O120" s="224">
        <v>0</v>
      </c>
      <c r="P120" s="225"/>
      <c r="Q120" s="226"/>
    </row>
    <row r="121" spans="1:17" s="207" customFormat="1">
      <c r="A121" s="228" t="s">
        <v>540</v>
      </c>
      <c r="B121" s="229" t="s">
        <v>707</v>
      </c>
      <c r="C121" s="222">
        <f t="shared" si="30"/>
        <v>6000000</v>
      </c>
      <c r="D121" s="222"/>
      <c r="E121" s="222"/>
      <c r="F121" s="223">
        <v>6000000</v>
      </c>
      <c r="G121" s="223">
        <v>0</v>
      </c>
      <c r="H121" s="223">
        <v>0</v>
      </c>
      <c r="I121" s="223">
        <v>0</v>
      </c>
      <c r="J121" s="223">
        <v>0</v>
      </c>
      <c r="K121" s="223">
        <v>6000000</v>
      </c>
      <c r="L121" s="223">
        <v>0</v>
      </c>
      <c r="M121" s="223">
        <v>0</v>
      </c>
      <c r="N121" s="223">
        <v>0</v>
      </c>
      <c r="O121" s="224">
        <v>0</v>
      </c>
      <c r="P121" s="225"/>
      <c r="Q121" s="226"/>
    </row>
    <row r="122" spans="1:17" s="207" customFormat="1">
      <c r="A122" s="228" t="s">
        <v>0</v>
      </c>
      <c r="B122" s="229" t="s">
        <v>708</v>
      </c>
      <c r="C122" s="222">
        <f t="shared" si="30"/>
        <v>0</v>
      </c>
      <c r="D122" s="222"/>
      <c r="E122" s="222"/>
      <c r="F122" s="223">
        <v>0</v>
      </c>
      <c r="G122" s="223">
        <v>0</v>
      </c>
      <c r="H122" s="223">
        <v>0</v>
      </c>
      <c r="I122" s="223">
        <v>0</v>
      </c>
      <c r="J122" s="223">
        <v>0</v>
      </c>
      <c r="K122" s="223">
        <v>0</v>
      </c>
      <c r="L122" s="223">
        <v>0</v>
      </c>
      <c r="M122" s="223">
        <v>0</v>
      </c>
      <c r="N122" s="223">
        <v>0</v>
      </c>
      <c r="O122" s="224">
        <v>0</v>
      </c>
      <c r="P122" s="225"/>
      <c r="Q122" s="226"/>
    </row>
    <row r="123" spans="1:17" s="207" customFormat="1">
      <c r="A123" s="228" t="s">
        <v>2</v>
      </c>
      <c r="B123" s="229" t="s">
        <v>709</v>
      </c>
      <c r="C123" s="222">
        <f t="shared" si="30"/>
        <v>341162</v>
      </c>
      <c r="D123" s="222"/>
      <c r="E123" s="222"/>
      <c r="F123" s="223">
        <v>1000000</v>
      </c>
      <c r="G123" s="223">
        <v>0</v>
      </c>
      <c r="H123" s="223">
        <v>658838</v>
      </c>
      <c r="I123" s="223">
        <v>0</v>
      </c>
      <c r="J123" s="223">
        <v>0</v>
      </c>
      <c r="K123" s="223">
        <v>341162</v>
      </c>
      <c r="L123" s="223">
        <v>29320</v>
      </c>
      <c r="M123" s="223">
        <v>29320</v>
      </c>
      <c r="N123" s="223">
        <v>0</v>
      </c>
      <c r="O123" s="224">
        <v>0</v>
      </c>
      <c r="P123" s="225"/>
      <c r="Q123" s="226"/>
    </row>
    <row r="124" spans="1:17" s="207" customFormat="1">
      <c r="A124" s="228" t="s">
        <v>4</v>
      </c>
      <c r="B124" s="229" t="s">
        <v>710</v>
      </c>
      <c r="C124" s="222">
        <f t="shared" si="30"/>
        <v>3000000</v>
      </c>
      <c r="D124" s="222"/>
      <c r="E124" s="222"/>
      <c r="F124" s="223">
        <v>3000000</v>
      </c>
      <c r="G124" s="223">
        <v>0</v>
      </c>
      <c r="H124" s="223">
        <v>0</v>
      </c>
      <c r="I124" s="223">
        <v>0</v>
      </c>
      <c r="J124" s="223">
        <v>0</v>
      </c>
      <c r="K124" s="223">
        <v>3000000</v>
      </c>
      <c r="L124" s="223">
        <v>0</v>
      </c>
      <c r="M124" s="223">
        <v>0</v>
      </c>
      <c r="N124" s="223">
        <v>0</v>
      </c>
      <c r="O124" s="224">
        <v>0</v>
      </c>
      <c r="P124" s="225"/>
      <c r="Q124" s="226"/>
    </row>
    <row r="125" spans="1:17" s="207" customFormat="1">
      <c r="A125" s="228" t="s">
        <v>5</v>
      </c>
      <c r="B125" s="229" t="s">
        <v>711</v>
      </c>
      <c r="C125" s="222">
        <f t="shared" si="30"/>
        <v>25664285</v>
      </c>
      <c r="D125" s="222"/>
      <c r="E125" s="222"/>
      <c r="F125" s="223">
        <v>10000000</v>
      </c>
      <c r="G125" s="223">
        <v>15664285</v>
      </c>
      <c r="H125" s="223">
        <v>0</v>
      </c>
      <c r="I125" s="223">
        <v>0</v>
      </c>
      <c r="J125" s="223">
        <v>0</v>
      </c>
      <c r="K125" s="223">
        <v>25664285</v>
      </c>
      <c r="L125" s="223">
        <v>25664285</v>
      </c>
      <c r="M125" s="223">
        <v>0</v>
      </c>
      <c r="N125" s="223">
        <v>0</v>
      </c>
      <c r="O125" s="224">
        <v>0</v>
      </c>
      <c r="P125" s="225"/>
      <c r="Q125" s="226"/>
    </row>
    <row r="126" spans="1:17" s="207" customFormat="1">
      <c r="A126" s="228" t="s">
        <v>6</v>
      </c>
      <c r="B126" s="229" t="s">
        <v>712</v>
      </c>
      <c r="C126" s="222">
        <f t="shared" si="30"/>
        <v>0</v>
      </c>
      <c r="D126" s="222"/>
      <c r="E126" s="222"/>
      <c r="F126" s="223">
        <v>0</v>
      </c>
      <c r="G126" s="223">
        <v>0</v>
      </c>
      <c r="H126" s="223">
        <v>0</v>
      </c>
      <c r="I126" s="223">
        <v>0</v>
      </c>
      <c r="J126" s="223">
        <v>0</v>
      </c>
      <c r="K126" s="223">
        <v>0</v>
      </c>
      <c r="L126" s="223">
        <v>0</v>
      </c>
      <c r="M126" s="223">
        <v>0</v>
      </c>
      <c r="N126" s="223">
        <v>0</v>
      </c>
      <c r="O126" s="224">
        <v>0</v>
      </c>
      <c r="P126" s="225"/>
      <c r="Q126" s="226"/>
    </row>
    <row r="127" spans="1:17" s="215" customFormat="1">
      <c r="A127" s="216" t="s">
        <v>7</v>
      </c>
      <c r="B127" s="217" t="s">
        <v>8</v>
      </c>
      <c r="C127" s="217">
        <f t="shared" si="30"/>
        <v>945121439.39999998</v>
      </c>
      <c r="D127" s="217"/>
      <c r="E127" s="217"/>
      <c r="F127" s="218">
        <v>1143442463.4200001</v>
      </c>
      <c r="G127" s="218">
        <v>189829226.16</v>
      </c>
      <c r="H127" s="218">
        <v>189829226.16</v>
      </c>
      <c r="I127" s="218">
        <v>105934914.22</v>
      </c>
      <c r="J127" s="218">
        <v>304255938.24000001</v>
      </c>
      <c r="K127" s="218">
        <v>945121439.39999998</v>
      </c>
      <c r="L127" s="218">
        <f t="shared" ref="L127:O127" si="41">L128+L144+L147+L296+L332</f>
        <v>347423078.30999994</v>
      </c>
      <c r="M127" s="218">
        <f t="shared" si="41"/>
        <v>262423078.31</v>
      </c>
      <c r="N127" s="218">
        <f t="shared" si="41"/>
        <v>44010405</v>
      </c>
      <c r="O127" s="219">
        <f t="shared" si="41"/>
        <v>19893338.990000002</v>
      </c>
      <c r="P127" s="213"/>
      <c r="Q127" s="220">
        <f>Q128+Q144+Q147+Q296+Q332</f>
        <v>0</v>
      </c>
    </row>
    <row r="128" spans="1:17" s="215" customFormat="1">
      <c r="A128" s="216" t="s">
        <v>9</v>
      </c>
      <c r="B128" s="217" t="s">
        <v>496</v>
      </c>
      <c r="C128" s="217">
        <f t="shared" si="30"/>
        <v>179698884</v>
      </c>
      <c r="D128" s="217"/>
      <c r="E128" s="217"/>
      <c r="F128" s="218">
        <v>169401588.78</v>
      </c>
      <c r="G128" s="218">
        <v>15808960</v>
      </c>
      <c r="H128" s="218">
        <v>15808960</v>
      </c>
      <c r="I128" s="218">
        <v>25246555.219999999</v>
      </c>
      <c r="J128" s="218">
        <v>14949260</v>
      </c>
      <c r="K128" s="218">
        <v>179698884</v>
      </c>
      <c r="L128" s="218">
        <f t="shared" ref="L128:O128" si="42">L129+L139+L141</f>
        <v>19471290</v>
      </c>
      <c r="M128" s="218">
        <f t="shared" si="42"/>
        <v>19471290</v>
      </c>
      <c r="N128" s="218">
        <f t="shared" si="42"/>
        <v>3662330</v>
      </c>
      <c r="O128" s="219">
        <f t="shared" si="42"/>
        <v>3662329.99</v>
      </c>
      <c r="P128" s="213"/>
      <c r="Q128" s="220">
        <f>Q129+Q139+Q141</f>
        <v>0</v>
      </c>
    </row>
    <row r="129" spans="1:17" s="215" customFormat="1">
      <c r="A129" s="216" t="s">
        <v>10</v>
      </c>
      <c r="B129" s="217" t="s">
        <v>713</v>
      </c>
      <c r="C129" s="217">
        <f t="shared" si="30"/>
        <v>119056884</v>
      </c>
      <c r="D129" s="217"/>
      <c r="E129" s="217"/>
      <c r="F129" s="218">
        <v>114457328.78</v>
      </c>
      <c r="G129" s="218">
        <v>15808960</v>
      </c>
      <c r="H129" s="218">
        <v>15808960</v>
      </c>
      <c r="I129" s="218">
        <v>4599555.22</v>
      </c>
      <c r="J129" s="218">
        <v>0</v>
      </c>
      <c r="K129" s="218">
        <v>119056884</v>
      </c>
      <c r="L129" s="218">
        <f t="shared" ref="L129:O129" si="43">SUM(L130:L133)+SUM(L136:L138)</f>
        <v>19471290</v>
      </c>
      <c r="M129" s="218">
        <f t="shared" si="43"/>
        <v>19471290</v>
      </c>
      <c r="N129" s="218">
        <f t="shared" si="43"/>
        <v>3662330</v>
      </c>
      <c r="O129" s="219">
        <f t="shared" si="43"/>
        <v>3662329.99</v>
      </c>
      <c r="P129" s="213"/>
      <c r="Q129" s="220">
        <f>SUM(Q130:Q133)+SUM(Q136:Q138)</f>
        <v>0</v>
      </c>
    </row>
    <row r="130" spans="1:17" s="207" customFormat="1">
      <c r="A130" s="243" t="s">
        <v>11</v>
      </c>
      <c r="B130" s="244" t="s">
        <v>714</v>
      </c>
      <c r="C130" s="222">
        <f t="shared" si="30"/>
        <v>22500000</v>
      </c>
      <c r="D130" s="222"/>
      <c r="E130" s="222"/>
      <c r="F130" s="223">
        <v>22500000</v>
      </c>
      <c r="G130" s="223">
        <v>0</v>
      </c>
      <c r="H130" s="223">
        <v>0</v>
      </c>
      <c r="I130" s="223">
        <v>0</v>
      </c>
      <c r="J130" s="223">
        <v>0</v>
      </c>
      <c r="K130" s="223">
        <v>22500000</v>
      </c>
      <c r="L130" s="223">
        <v>0</v>
      </c>
      <c r="M130" s="223">
        <v>0</v>
      </c>
      <c r="N130" s="223">
        <v>0</v>
      </c>
      <c r="O130" s="224">
        <v>0</v>
      </c>
      <c r="P130" s="225"/>
      <c r="Q130" s="226"/>
    </row>
    <row r="131" spans="1:17" s="207" customFormat="1">
      <c r="A131" s="243" t="s">
        <v>12</v>
      </c>
      <c r="B131" s="244" t="s">
        <v>715</v>
      </c>
      <c r="C131" s="222">
        <f t="shared" si="30"/>
        <v>39156884</v>
      </c>
      <c r="D131" s="222"/>
      <c r="E131" s="222"/>
      <c r="F131" s="223">
        <v>34557328.780000001</v>
      </c>
      <c r="G131" s="223">
        <v>0</v>
      </c>
      <c r="H131" s="223">
        <v>0</v>
      </c>
      <c r="I131" s="223">
        <v>4599555.22</v>
      </c>
      <c r="J131" s="223">
        <v>0</v>
      </c>
      <c r="K131" s="223">
        <v>39156884</v>
      </c>
      <c r="L131" s="223">
        <v>0</v>
      </c>
      <c r="M131" s="223">
        <v>0</v>
      </c>
      <c r="N131" s="223">
        <v>0</v>
      </c>
      <c r="O131" s="224">
        <v>0</v>
      </c>
      <c r="P131" s="225"/>
      <c r="Q131" s="226"/>
    </row>
    <row r="132" spans="1:17" s="207" customFormat="1" ht="25.5">
      <c r="A132" s="243" t="s">
        <v>13</v>
      </c>
      <c r="B132" s="244" t="s">
        <v>716</v>
      </c>
      <c r="C132" s="222">
        <f t="shared" si="30"/>
        <v>14000000</v>
      </c>
      <c r="D132" s="222"/>
      <c r="E132" s="222"/>
      <c r="F132" s="223">
        <v>14000000</v>
      </c>
      <c r="G132" s="223">
        <v>0</v>
      </c>
      <c r="H132" s="223">
        <v>0</v>
      </c>
      <c r="I132" s="223">
        <v>0</v>
      </c>
      <c r="J132" s="223">
        <v>0</v>
      </c>
      <c r="K132" s="223">
        <v>14000000</v>
      </c>
      <c r="L132" s="223">
        <v>0</v>
      </c>
      <c r="M132" s="223">
        <v>0</v>
      </c>
      <c r="N132" s="223">
        <v>0</v>
      </c>
      <c r="O132" s="224">
        <v>0</v>
      </c>
      <c r="P132" s="225"/>
      <c r="Q132" s="226"/>
    </row>
    <row r="133" spans="1:17" s="215" customFormat="1">
      <c r="A133" s="216" t="s">
        <v>14</v>
      </c>
      <c r="B133" s="217" t="s">
        <v>717</v>
      </c>
      <c r="C133" s="217">
        <f t="shared" si="30"/>
        <v>22400000</v>
      </c>
      <c r="D133" s="217"/>
      <c r="E133" s="217"/>
      <c r="F133" s="218">
        <v>22400000</v>
      </c>
      <c r="G133" s="218">
        <v>0</v>
      </c>
      <c r="H133" s="218">
        <v>0</v>
      </c>
      <c r="I133" s="218">
        <v>0</v>
      </c>
      <c r="J133" s="218">
        <v>0</v>
      </c>
      <c r="K133" s="218">
        <v>22400000</v>
      </c>
      <c r="L133" s="218">
        <f t="shared" ref="L133:O133" si="44">SUM(L134:L135)</f>
        <v>3662330</v>
      </c>
      <c r="M133" s="218">
        <f t="shared" si="44"/>
        <v>3662330</v>
      </c>
      <c r="N133" s="218">
        <f t="shared" si="44"/>
        <v>3662330</v>
      </c>
      <c r="O133" s="219">
        <f t="shared" si="44"/>
        <v>3662329.99</v>
      </c>
      <c r="P133" s="213"/>
      <c r="Q133" s="220">
        <f>SUM(Q134:Q135)</f>
        <v>0</v>
      </c>
    </row>
    <row r="134" spans="1:17" s="207" customFormat="1">
      <c r="A134" s="243" t="s">
        <v>718</v>
      </c>
      <c r="B134" s="244" t="s">
        <v>719</v>
      </c>
      <c r="C134" s="222">
        <f t="shared" si="30"/>
        <v>11750000</v>
      </c>
      <c r="D134" s="222"/>
      <c r="E134" s="222"/>
      <c r="F134" s="223">
        <v>11750000</v>
      </c>
      <c r="G134" s="223">
        <v>0</v>
      </c>
      <c r="H134" s="223">
        <v>0</v>
      </c>
      <c r="I134" s="223">
        <v>0</v>
      </c>
      <c r="J134" s="223">
        <v>0</v>
      </c>
      <c r="K134" s="223">
        <v>11750000</v>
      </c>
      <c r="L134" s="223">
        <v>1551250</v>
      </c>
      <c r="M134" s="223">
        <v>1551250</v>
      </c>
      <c r="N134" s="223">
        <v>1551250</v>
      </c>
      <c r="O134" s="224">
        <v>1551250</v>
      </c>
      <c r="P134" s="225"/>
      <c r="Q134" s="226"/>
    </row>
    <row r="135" spans="1:17" s="207" customFormat="1">
      <c r="A135" s="243" t="s">
        <v>720</v>
      </c>
      <c r="B135" s="244" t="s">
        <v>638</v>
      </c>
      <c r="C135" s="222">
        <f t="shared" si="30"/>
        <v>10650000</v>
      </c>
      <c r="D135" s="222"/>
      <c r="E135" s="222"/>
      <c r="F135" s="223">
        <v>10650000</v>
      </c>
      <c r="G135" s="223">
        <v>0</v>
      </c>
      <c r="H135" s="223">
        <v>0</v>
      </c>
      <c r="I135" s="223">
        <v>0</v>
      </c>
      <c r="J135" s="223">
        <v>0</v>
      </c>
      <c r="K135" s="223">
        <v>10650000</v>
      </c>
      <c r="L135" s="223">
        <v>2111080</v>
      </c>
      <c r="M135" s="223">
        <v>2111080</v>
      </c>
      <c r="N135" s="223">
        <v>2111080</v>
      </c>
      <c r="O135" s="224">
        <v>2111079.9900000002</v>
      </c>
      <c r="P135" s="225"/>
      <c r="Q135" s="226"/>
    </row>
    <row r="136" spans="1:17" s="207" customFormat="1">
      <c r="A136" s="243" t="s">
        <v>15</v>
      </c>
      <c r="B136" s="244" t="s">
        <v>721</v>
      </c>
      <c r="C136" s="222">
        <f t="shared" si="30"/>
        <v>4191040</v>
      </c>
      <c r="D136" s="222"/>
      <c r="E136" s="222"/>
      <c r="F136" s="223">
        <v>20000000</v>
      </c>
      <c r="G136" s="223">
        <v>0</v>
      </c>
      <c r="H136" s="223">
        <v>15808960</v>
      </c>
      <c r="I136" s="223">
        <v>0</v>
      </c>
      <c r="J136" s="223">
        <v>0</v>
      </c>
      <c r="K136" s="223">
        <v>4191040</v>
      </c>
      <c r="L136" s="223">
        <v>0</v>
      </c>
      <c r="M136" s="223">
        <v>0</v>
      </c>
      <c r="N136" s="223">
        <v>0</v>
      </c>
      <c r="O136" s="224">
        <v>0</v>
      </c>
      <c r="P136" s="225"/>
      <c r="Q136" s="226"/>
    </row>
    <row r="137" spans="1:17" s="207" customFormat="1">
      <c r="A137" s="243" t="s">
        <v>16</v>
      </c>
      <c r="B137" s="244" t="s">
        <v>115</v>
      </c>
      <c r="C137" s="222">
        <f t="shared" si="30"/>
        <v>15808960</v>
      </c>
      <c r="D137" s="222"/>
      <c r="E137" s="222"/>
      <c r="F137" s="223">
        <v>0</v>
      </c>
      <c r="G137" s="223">
        <v>15808960</v>
      </c>
      <c r="H137" s="223">
        <v>0</v>
      </c>
      <c r="I137" s="223">
        <v>0</v>
      </c>
      <c r="J137" s="223">
        <v>0</v>
      </c>
      <c r="K137" s="223">
        <v>15808960</v>
      </c>
      <c r="L137" s="223">
        <v>15808960</v>
      </c>
      <c r="M137" s="223">
        <v>15808960</v>
      </c>
      <c r="N137" s="223">
        <v>0</v>
      </c>
      <c r="O137" s="224">
        <v>0</v>
      </c>
      <c r="P137" s="225"/>
      <c r="Q137" s="226"/>
    </row>
    <row r="138" spans="1:17" s="207" customFormat="1">
      <c r="A138" s="243" t="s">
        <v>17</v>
      </c>
      <c r="B138" s="244" t="s">
        <v>722</v>
      </c>
      <c r="C138" s="222">
        <f t="shared" si="30"/>
        <v>1000000</v>
      </c>
      <c r="D138" s="222"/>
      <c r="E138" s="222"/>
      <c r="F138" s="223">
        <v>1000000</v>
      </c>
      <c r="G138" s="223">
        <v>0</v>
      </c>
      <c r="H138" s="223">
        <v>0</v>
      </c>
      <c r="I138" s="223">
        <v>0</v>
      </c>
      <c r="J138" s="223">
        <v>0</v>
      </c>
      <c r="K138" s="223">
        <v>1000000</v>
      </c>
      <c r="L138" s="223">
        <v>0</v>
      </c>
      <c r="M138" s="223">
        <v>0</v>
      </c>
      <c r="N138" s="223">
        <v>0</v>
      </c>
      <c r="O138" s="224">
        <v>0</v>
      </c>
      <c r="P138" s="225"/>
      <c r="Q138" s="226"/>
    </row>
    <row r="139" spans="1:17" s="215" customFormat="1">
      <c r="A139" s="216" t="s">
        <v>723</v>
      </c>
      <c r="B139" s="217" t="s">
        <v>724</v>
      </c>
      <c r="C139" s="217">
        <f t="shared" si="30"/>
        <v>50642000</v>
      </c>
      <c r="D139" s="217"/>
      <c r="E139" s="217"/>
      <c r="F139" s="218">
        <v>44944260</v>
      </c>
      <c r="G139" s="218">
        <v>0</v>
      </c>
      <c r="H139" s="218">
        <v>0</v>
      </c>
      <c r="I139" s="218">
        <v>20647000</v>
      </c>
      <c r="J139" s="218">
        <v>14949260</v>
      </c>
      <c r="K139" s="218">
        <v>50642000</v>
      </c>
      <c r="L139" s="218">
        <f t="shared" ref="L139:O139" si="45">SUM(L140:L140)</f>
        <v>0</v>
      </c>
      <c r="M139" s="218">
        <f t="shared" si="45"/>
        <v>0</v>
      </c>
      <c r="N139" s="218">
        <f t="shared" si="45"/>
        <v>0</v>
      </c>
      <c r="O139" s="219">
        <f t="shared" si="45"/>
        <v>0</v>
      </c>
      <c r="P139" s="213"/>
      <c r="Q139" s="220">
        <f>SUM(Q140:Q140)</f>
        <v>0</v>
      </c>
    </row>
    <row r="140" spans="1:17" s="207" customFormat="1" ht="25.5">
      <c r="A140" s="243" t="s">
        <v>725</v>
      </c>
      <c r="B140" s="244" t="s">
        <v>726</v>
      </c>
      <c r="C140" s="222">
        <f t="shared" si="30"/>
        <v>50642000</v>
      </c>
      <c r="D140" s="222"/>
      <c r="E140" s="222"/>
      <c r="F140" s="223">
        <v>44944260</v>
      </c>
      <c r="G140" s="223">
        <v>0</v>
      </c>
      <c r="H140" s="223">
        <v>0</v>
      </c>
      <c r="I140" s="223">
        <v>20647000</v>
      </c>
      <c r="J140" s="223">
        <v>14949260</v>
      </c>
      <c r="K140" s="223">
        <v>50642000</v>
      </c>
      <c r="L140" s="223">
        <v>0</v>
      </c>
      <c r="M140" s="223">
        <v>0</v>
      </c>
      <c r="N140" s="223">
        <v>0</v>
      </c>
      <c r="O140" s="224">
        <v>0</v>
      </c>
      <c r="P140" s="225"/>
      <c r="Q140" s="226"/>
    </row>
    <row r="141" spans="1:17" s="215" customFormat="1" ht="25.5">
      <c r="A141" s="216" t="s">
        <v>727</v>
      </c>
      <c r="B141" s="217" t="s">
        <v>728</v>
      </c>
      <c r="C141" s="217">
        <f t="shared" si="30"/>
        <v>10000000</v>
      </c>
      <c r="D141" s="217"/>
      <c r="E141" s="217"/>
      <c r="F141" s="218">
        <v>10000000</v>
      </c>
      <c r="G141" s="218">
        <v>0</v>
      </c>
      <c r="H141" s="218">
        <v>0</v>
      </c>
      <c r="I141" s="218">
        <v>0</v>
      </c>
      <c r="J141" s="218">
        <v>0</v>
      </c>
      <c r="K141" s="218">
        <v>10000000</v>
      </c>
      <c r="L141" s="218">
        <f t="shared" ref="L141:O141" si="46">SUM(L142:L143)</f>
        <v>0</v>
      </c>
      <c r="M141" s="218">
        <f t="shared" si="46"/>
        <v>0</v>
      </c>
      <c r="N141" s="218">
        <f t="shared" si="46"/>
        <v>0</v>
      </c>
      <c r="O141" s="219">
        <f t="shared" si="46"/>
        <v>0</v>
      </c>
      <c r="P141" s="213"/>
      <c r="Q141" s="220">
        <f>SUM(Q142:Q143)</f>
        <v>0</v>
      </c>
    </row>
    <row r="142" spans="1:17" s="207" customFormat="1">
      <c r="A142" s="243" t="s">
        <v>729</v>
      </c>
      <c r="B142" s="244" t="s">
        <v>730</v>
      </c>
      <c r="C142" s="222">
        <f t="shared" si="30"/>
        <v>8000000</v>
      </c>
      <c r="D142" s="222"/>
      <c r="E142" s="222"/>
      <c r="F142" s="223">
        <v>8000000</v>
      </c>
      <c r="G142" s="223">
        <v>0</v>
      </c>
      <c r="H142" s="223">
        <v>0</v>
      </c>
      <c r="I142" s="223">
        <v>0</v>
      </c>
      <c r="J142" s="223">
        <v>0</v>
      </c>
      <c r="K142" s="223">
        <v>8000000</v>
      </c>
      <c r="L142" s="223">
        <v>0</v>
      </c>
      <c r="M142" s="223">
        <v>0</v>
      </c>
      <c r="N142" s="223">
        <v>0</v>
      </c>
      <c r="O142" s="224">
        <v>0</v>
      </c>
      <c r="P142" s="225"/>
      <c r="Q142" s="226"/>
    </row>
    <row r="143" spans="1:17" s="207" customFormat="1">
      <c r="A143" s="243" t="s">
        <v>731</v>
      </c>
      <c r="B143" s="244" t="s">
        <v>732</v>
      </c>
      <c r="C143" s="222">
        <f t="shared" si="30"/>
        <v>2000000</v>
      </c>
      <c r="D143" s="222"/>
      <c r="E143" s="222"/>
      <c r="F143" s="223">
        <v>2000000</v>
      </c>
      <c r="G143" s="223">
        <v>0</v>
      </c>
      <c r="H143" s="223">
        <v>0</v>
      </c>
      <c r="I143" s="223">
        <v>0</v>
      </c>
      <c r="J143" s="223">
        <v>0</v>
      </c>
      <c r="K143" s="223">
        <v>2000000</v>
      </c>
      <c r="L143" s="223">
        <v>0</v>
      </c>
      <c r="M143" s="223">
        <v>0</v>
      </c>
      <c r="N143" s="223">
        <v>0</v>
      </c>
      <c r="O143" s="224">
        <v>0</v>
      </c>
      <c r="P143" s="225"/>
      <c r="Q143" s="226"/>
    </row>
    <row r="144" spans="1:17" s="215" customFormat="1">
      <c r="A144" s="216" t="s">
        <v>18</v>
      </c>
      <c r="B144" s="217" t="s">
        <v>514</v>
      </c>
      <c r="C144" s="217">
        <f t="shared" si="30"/>
        <v>19262412.399999999</v>
      </c>
      <c r="D144" s="217"/>
      <c r="E144" s="217"/>
      <c r="F144" s="218">
        <v>18300962.399999999</v>
      </c>
      <c r="G144" s="218">
        <v>3411380</v>
      </c>
      <c r="H144" s="218">
        <v>3411380</v>
      </c>
      <c r="I144" s="218">
        <v>961450</v>
      </c>
      <c r="J144" s="218">
        <v>0</v>
      </c>
      <c r="K144" s="218">
        <v>19262412.399999999</v>
      </c>
      <c r="L144" s="218">
        <f t="shared" ref="L144:O144" si="47">SUM(L145:L146)</f>
        <v>19179660.399999999</v>
      </c>
      <c r="M144" s="218">
        <f t="shared" si="47"/>
        <v>19179660.399999999</v>
      </c>
      <c r="N144" s="218">
        <f t="shared" si="47"/>
        <v>0</v>
      </c>
      <c r="O144" s="219">
        <f t="shared" si="47"/>
        <v>0</v>
      </c>
      <c r="P144" s="213"/>
      <c r="Q144" s="220">
        <f>SUM(Q145:Q146)</f>
        <v>0</v>
      </c>
    </row>
    <row r="145" spans="1:17" s="207" customFormat="1">
      <c r="A145" s="243" t="s">
        <v>19</v>
      </c>
      <c r="B145" s="244" t="s">
        <v>733</v>
      </c>
      <c r="C145" s="222">
        <f t="shared" si="30"/>
        <v>4988620</v>
      </c>
      <c r="D145" s="222"/>
      <c r="E145" s="222"/>
      <c r="F145" s="223">
        <v>8400000</v>
      </c>
      <c r="G145" s="223">
        <v>0</v>
      </c>
      <c r="H145" s="223">
        <v>3411380</v>
      </c>
      <c r="I145" s="223">
        <v>0</v>
      </c>
      <c r="J145" s="223">
        <v>0</v>
      </c>
      <c r="K145" s="223">
        <v>4988620</v>
      </c>
      <c r="L145" s="223">
        <v>4988620</v>
      </c>
      <c r="M145" s="223">
        <v>4988620</v>
      </c>
      <c r="N145" s="223">
        <v>0</v>
      </c>
      <c r="O145" s="224">
        <v>0</v>
      </c>
      <c r="P145" s="225"/>
      <c r="Q145" s="226"/>
    </row>
    <row r="146" spans="1:17" s="207" customFormat="1" ht="25.5">
      <c r="A146" s="243" t="s">
        <v>20</v>
      </c>
      <c r="B146" s="244" t="s">
        <v>734</v>
      </c>
      <c r="C146" s="222">
        <f t="shared" si="30"/>
        <v>14273792.4</v>
      </c>
      <c r="D146" s="222"/>
      <c r="E146" s="222"/>
      <c r="F146" s="223">
        <v>9900962.4000000004</v>
      </c>
      <c r="G146" s="223">
        <v>3411380</v>
      </c>
      <c r="H146" s="223">
        <v>0</v>
      </c>
      <c r="I146" s="223">
        <v>961450</v>
      </c>
      <c r="J146" s="223">
        <v>0</v>
      </c>
      <c r="K146" s="223">
        <v>14273792.4</v>
      </c>
      <c r="L146" s="223">
        <v>14191040.4</v>
      </c>
      <c r="M146" s="223">
        <v>14191040.4</v>
      </c>
      <c r="N146" s="223">
        <v>0</v>
      </c>
      <c r="O146" s="224">
        <v>0</v>
      </c>
      <c r="P146" s="225"/>
      <c r="Q146" s="226"/>
    </row>
    <row r="147" spans="1:17" s="215" customFormat="1">
      <c r="A147" s="216" t="s">
        <v>21</v>
      </c>
      <c r="B147" s="217" t="s">
        <v>490</v>
      </c>
      <c r="C147" s="217">
        <f t="shared" si="30"/>
        <v>427606473</v>
      </c>
      <c r="D147" s="217"/>
      <c r="E147" s="217"/>
      <c r="F147" s="218">
        <v>586531448.86000001</v>
      </c>
      <c r="G147" s="218">
        <v>47274311.159999996</v>
      </c>
      <c r="H147" s="218">
        <v>47274311.159999996</v>
      </c>
      <c r="I147" s="218">
        <v>79726909</v>
      </c>
      <c r="J147" s="218">
        <v>238651884.86000001</v>
      </c>
      <c r="K147" s="218">
        <v>427606473</v>
      </c>
      <c r="L147" s="218">
        <f t="shared" ref="L147:O147" si="48">L148+L154+L163</f>
        <v>233252575</v>
      </c>
      <c r="M147" s="218">
        <f t="shared" si="48"/>
        <v>148252575</v>
      </c>
      <c r="N147" s="218">
        <f t="shared" si="48"/>
        <v>16642196</v>
      </c>
      <c r="O147" s="219">
        <f t="shared" si="48"/>
        <v>7525130</v>
      </c>
      <c r="P147" s="213"/>
      <c r="Q147" s="220">
        <f>Q148+Q154+Q163</f>
        <v>0</v>
      </c>
    </row>
    <row r="148" spans="1:17" s="215" customFormat="1">
      <c r="A148" s="216" t="s">
        <v>22</v>
      </c>
      <c r="B148" s="217" t="s">
        <v>735</v>
      </c>
      <c r="C148" s="217">
        <f t="shared" si="30"/>
        <v>57329740</v>
      </c>
      <c r="D148" s="217"/>
      <c r="E148" s="217"/>
      <c r="F148" s="218">
        <v>56818281.960000001</v>
      </c>
      <c r="G148" s="218">
        <v>0</v>
      </c>
      <c r="H148" s="218">
        <v>0</v>
      </c>
      <c r="I148" s="218">
        <v>42399771</v>
      </c>
      <c r="J148" s="218">
        <v>41888312.960000001</v>
      </c>
      <c r="K148" s="218">
        <v>57329740</v>
      </c>
      <c r="L148" s="218">
        <f t="shared" ref="L148:O148" si="49">SUM(L149:L153)</f>
        <v>14929969</v>
      </c>
      <c r="M148" s="218">
        <f t="shared" si="49"/>
        <v>14929969</v>
      </c>
      <c r="N148" s="218">
        <f t="shared" si="49"/>
        <v>0</v>
      </c>
      <c r="O148" s="219">
        <f t="shared" si="49"/>
        <v>0</v>
      </c>
      <c r="P148" s="213"/>
      <c r="Q148" s="220">
        <f>SUM(Q149:Q153)</f>
        <v>0</v>
      </c>
    </row>
    <row r="149" spans="1:17" s="207" customFormat="1" ht="25.5">
      <c r="A149" s="243" t="s">
        <v>23</v>
      </c>
      <c r="B149" s="244" t="s">
        <v>736</v>
      </c>
      <c r="C149" s="222">
        <f t="shared" si="30"/>
        <v>9000000</v>
      </c>
      <c r="D149" s="222"/>
      <c r="E149" s="222"/>
      <c r="F149" s="223">
        <v>12818281.960000001</v>
      </c>
      <c r="G149" s="223">
        <v>0</v>
      </c>
      <c r="H149" s="223">
        <v>0</v>
      </c>
      <c r="I149" s="223">
        <v>9000000</v>
      </c>
      <c r="J149" s="223">
        <v>12818281.960000001</v>
      </c>
      <c r="K149" s="223">
        <v>9000000</v>
      </c>
      <c r="L149" s="223">
        <v>0</v>
      </c>
      <c r="M149" s="223">
        <v>0</v>
      </c>
      <c r="N149" s="223">
        <v>0</v>
      </c>
      <c r="O149" s="224">
        <v>0</v>
      </c>
      <c r="P149" s="225"/>
      <c r="Q149" s="226"/>
    </row>
    <row r="150" spans="1:17" s="207" customFormat="1" ht="25.5">
      <c r="A150" s="243" t="s">
        <v>737</v>
      </c>
      <c r="B150" s="244" t="s">
        <v>738</v>
      </c>
      <c r="C150" s="222">
        <f t="shared" si="30"/>
        <v>33399771</v>
      </c>
      <c r="D150" s="222"/>
      <c r="E150" s="222"/>
      <c r="F150" s="223">
        <v>9000000</v>
      </c>
      <c r="G150" s="223">
        <v>0</v>
      </c>
      <c r="H150" s="223">
        <v>0</v>
      </c>
      <c r="I150" s="223">
        <v>33399771</v>
      </c>
      <c r="J150" s="223">
        <v>9000000</v>
      </c>
      <c r="K150" s="223">
        <v>33399771</v>
      </c>
      <c r="L150" s="223">
        <v>0</v>
      </c>
      <c r="M150" s="223">
        <v>0</v>
      </c>
      <c r="N150" s="223">
        <v>0</v>
      </c>
      <c r="O150" s="224">
        <v>0</v>
      </c>
      <c r="P150" s="225"/>
      <c r="Q150" s="226"/>
    </row>
    <row r="151" spans="1:17" s="207" customFormat="1" ht="25.5">
      <c r="A151" s="243" t="s">
        <v>739</v>
      </c>
      <c r="B151" s="244" t="s">
        <v>740</v>
      </c>
      <c r="C151" s="222">
        <f t="shared" si="30"/>
        <v>0</v>
      </c>
      <c r="D151" s="222"/>
      <c r="E151" s="222"/>
      <c r="F151" s="223">
        <v>10000000</v>
      </c>
      <c r="G151" s="223">
        <v>0</v>
      </c>
      <c r="H151" s="223">
        <v>0</v>
      </c>
      <c r="I151" s="223">
        <v>0</v>
      </c>
      <c r="J151" s="223">
        <v>10000000</v>
      </c>
      <c r="K151" s="223">
        <v>0</v>
      </c>
      <c r="L151" s="223">
        <v>0</v>
      </c>
      <c r="M151" s="223">
        <v>0</v>
      </c>
      <c r="N151" s="223">
        <v>0</v>
      </c>
      <c r="O151" s="224">
        <v>0</v>
      </c>
      <c r="P151" s="225"/>
      <c r="Q151" s="226"/>
    </row>
    <row r="152" spans="1:17" s="207" customFormat="1">
      <c r="A152" s="243" t="s">
        <v>741</v>
      </c>
      <c r="B152" s="244" t="s">
        <v>742</v>
      </c>
      <c r="C152" s="222">
        <f t="shared" ref="C152:C215" si="50">K152</f>
        <v>0</v>
      </c>
      <c r="D152" s="222"/>
      <c r="E152" s="222"/>
      <c r="F152" s="223">
        <v>0</v>
      </c>
      <c r="G152" s="223">
        <v>0</v>
      </c>
      <c r="H152" s="223">
        <v>0</v>
      </c>
      <c r="I152" s="223">
        <v>0</v>
      </c>
      <c r="J152" s="223">
        <v>0</v>
      </c>
      <c r="K152" s="223">
        <v>0</v>
      </c>
      <c r="L152" s="223">
        <v>0</v>
      </c>
      <c r="M152" s="223">
        <v>0</v>
      </c>
      <c r="N152" s="223">
        <v>0</v>
      </c>
      <c r="O152" s="224">
        <v>0</v>
      </c>
      <c r="P152" s="225"/>
      <c r="Q152" s="226"/>
    </row>
    <row r="153" spans="1:17" s="207" customFormat="1" ht="25.5">
      <c r="A153" s="243" t="s">
        <v>743</v>
      </c>
      <c r="B153" s="244" t="s">
        <v>744</v>
      </c>
      <c r="C153" s="222">
        <f t="shared" si="50"/>
        <v>14929969</v>
      </c>
      <c r="D153" s="222"/>
      <c r="E153" s="222"/>
      <c r="F153" s="223">
        <v>25000000</v>
      </c>
      <c r="G153" s="223">
        <v>0</v>
      </c>
      <c r="H153" s="223">
        <v>0</v>
      </c>
      <c r="I153" s="223">
        <v>0</v>
      </c>
      <c r="J153" s="223">
        <v>10070031</v>
      </c>
      <c r="K153" s="223">
        <v>14929969</v>
      </c>
      <c r="L153" s="223">
        <v>14929969</v>
      </c>
      <c r="M153" s="223">
        <v>14929969</v>
      </c>
      <c r="N153" s="223">
        <v>0</v>
      </c>
      <c r="O153" s="224">
        <v>0</v>
      </c>
      <c r="P153" s="225"/>
      <c r="Q153" s="226"/>
    </row>
    <row r="154" spans="1:17" s="215" customFormat="1">
      <c r="A154" s="216" t="s">
        <v>24</v>
      </c>
      <c r="B154" s="217" t="s">
        <v>116</v>
      </c>
      <c r="C154" s="217">
        <f t="shared" si="50"/>
        <v>42997303</v>
      </c>
      <c r="D154" s="217"/>
      <c r="E154" s="217"/>
      <c r="F154" s="218">
        <v>43509356.640000001</v>
      </c>
      <c r="G154" s="218">
        <v>0</v>
      </c>
      <c r="H154" s="218">
        <v>0</v>
      </c>
      <c r="I154" s="218">
        <v>31799827</v>
      </c>
      <c r="J154" s="218">
        <v>32311880.640000001</v>
      </c>
      <c r="K154" s="218">
        <v>42997303</v>
      </c>
      <c r="L154" s="218">
        <f t="shared" ref="L154:O154" si="51">SUM(L155:L162)</f>
        <v>11197476</v>
      </c>
      <c r="M154" s="218">
        <f t="shared" si="51"/>
        <v>11197476</v>
      </c>
      <c r="N154" s="218">
        <f t="shared" si="51"/>
        <v>0</v>
      </c>
      <c r="O154" s="219">
        <f t="shared" si="51"/>
        <v>0</v>
      </c>
      <c r="P154" s="213"/>
      <c r="Q154" s="220">
        <f>SUM(Q155:Q162)</f>
        <v>0</v>
      </c>
    </row>
    <row r="155" spans="1:17" s="207" customFormat="1" ht="25.5">
      <c r="A155" s="243" t="s">
        <v>745</v>
      </c>
      <c r="B155" s="244" t="s">
        <v>746</v>
      </c>
      <c r="C155" s="222">
        <f t="shared" si="50"/>
        <v>21799827</v>
      </c>
      <c r="D155" s="222"/>
      <c r="E155" s="222"/>
      <c r="F155" s="223">
        <v>4749356.6399999997</v>
      </c>
      <c r="G155" s="223">
        <v>0</v>
      </c>
      <c r="H155" s="223">
        <v>0</v>
      </c>
      <c r="I155" s="223">
        <v>21799827</v>
      </c>
      <c r="J155" s="223">
        <v>4749356.6399999997</v>
      </c>
      <c r="K155" s="223">
        <v>21799827</v>
      </c>
      <c r="L155" s="223">
        <v>0</v>
      </c>
      <c r="M155" s="223">
        <v>0</v>
      </c>
      <c r="N155" s="223">
        <v>0</v>
      </c>
      <c r="O155" s="224">
        <v>0</v>
      </c>
      <c r="P155" s="225"/>
      <c r="Q155" s="226"/>
    </row>
    <row r="156" spans="1:17" s="207" customFormat="1">
      <c r="A156" s="243" t="s">
        <v>747</v>
      </c>
      <c r="B156" s="244" t="s">
        <v>748</v>
      </c>
      <c r="C156" s="222">
        <f t="shared" si="50"/>
        <v>0</v>
      </c>
      <c r="D156" s="222"/>
      <c r="E156" s="222"/>
      <c r="F156" s="223">
        <v>0</v>
      </c>
      <c r="G156" s="223">
        <v>0</v>
      </c>
      <c r="H156" s="223">
        <v>0</v>
      </c>
      <c r="I156" s="223">
        <v>0</v>
      </c>
      <c r="J156" s="223">
        <v>0</v>
      </c>
      <c r="K156" s="223">
        <v>0</v>
      </c>
      <c r="L156" s="223">
        <v>0</v>
      </c>
      <c r="M156" s="223">
        <v>0</v>
      </c>
      <c r="N156" s="223">
        <v>0</v>
      </c>
      <c r="O156" s="224">
        <v>0</v>
      </c>
      <c r="P156" s="225"/>
      <c r="Q156" s="226"/>
    </row>
    <row r="157" spans="1:17" s="207" customFormat="1">
      <c r="A157" s="243" t="s">
        <v>749</v>
      </c>
      <c r="B157" s="244" t="s">
        <v>750</v>
      </c>
      <c r="C157" s="222">
        <f t="shared" si="50"/>
        <v>0</v>
      </c>
      <c r="D157" s="222"/>
      <c r="E157" s="222"/>
      <c r="F157" s="223">
        <v>2000000</v>
      </c>
      <c r="G157" s="223">
        <v>0</v>
      </c>
      <c r="H157" s="223">
        <v>0</v>
      </c>
      <c r="I157" s="223">
        <v>0</v>
      </c>
      <c r="J157" s="223">
        <v>2000000</v>
      </c>
      <c r="K157" s="223">
        <v>0</v>
      </c>
      <c r="L157" s="223">
        <v>0</v>
      </c>
      <c r="M157" s="223">
        <v>0</v>
      </c>
      <c r="N157" s="223">
        <v>0</v>
      </c>
      <c r="O157" s="224">
        <v>0</v>
      </c>
      <c r="P157" s="225"/>
      <c r="Q157" s="226"/>
    </row>
    <row r="158" spans="1:17" s="207" customFormat="1">
      <c r="A158" s="243" t="s">
        <v>751</v>
      </c>
      <c r="B158" s="244" t="s">
        <v>742</v>
      </c>
      <c r="C158" s="222">
        <f t="shared" si="50"/>
        <v>0</v>
      </c>
      <c r="D158" s="222"/>
      <c r="E158" s="222"/>
      <c r="F158" s="223">
        <v>8000000</v>
      </c>
      <c r="G158" s="223">
        <v>0</v>
      </c>
      <c r="H158" s="223">
        <v>0</v>
      </c>
      <c r="I158" s="223">
        <v>0</v>
      </c>
      <c r="J158" s="223">
        <v>8000000</v>
      </c>
      <c r="K158" s="223">
        <v>0</v>
      </c>
      <c r="L158" s="223">
        <v>0</v>
      </c>
      <c r="M158" s="223">
        <v>0</v>
      </c>
      <c r="N158" s="223">
        <v>0</v>
      </c>
      <c r="O158" s="224">
        <v>0</v>
      </c>
      <c r="P158" s="225"/>
      <c r="Q158" s="226"/>
    </row>
    <row r="159" spans="1:17" s="207" customFormat="1" ht="25.5">
      <c r="A159" s="243" t="s">
        <v>752</v>
      </c>
      <c r="B159" s="244" t="s">
        <v>753</v>
      </c>
      <c r="C159" s="222">
        <f t="shared" si="50"/>
        <v>0</v>
      </c>
      <c r="D159" s="222"/>
      <c r="E159" s="222"/>
      <c r="F159" s="223">
        <v>12000000</v>
      </c>
      <c r="G159" s="223">
        <v>0</v>
      </c>
      <c r="H159" s="223">
        <v>0</v>
      </c>
      <c r="I159" s="223">
        <v>0</v>
      </c>
      <c r="J159" s="223">
        <v>12000000</v>
      </c>
      <c r="K159" s="223">
        <v>0</v>
      </c>
      <c r="L159" s="223">
        <v>0</v>
      </c>
      <c r="M159" s="223">
        <v>0</v>
      </c>
      <c r="N159" s="223">
        <v>0</v>
      </c>
      <c r="O159" s="224">
        <v>0</v>
      </c>
      <c r="P159" s="225"/>
      <c r="Q159" s="226"/>
    </row>
    <row r="160" spans="1:17" s="207" customFormat="1">
      <c r="A160" s="243" t="s">
        <v>754</v>
      </c>
      <c r="B160" s="244" t="s">
        <v>755</v>
      </c>
      <c r="C160" s="222">
        <f t="shared" si="50"/>
        <v>0</v>
      </c>
      <c r="D160" s="222"/>
      <c r="E160" s="222"/>
      <c r="F160" s="223">
        <v>1000000</v>
      </c>
      <c r="G160" s="223">
        <v>0</v>
      </c>
      <c r="H160" s="223">
        <v>0</v>
      </c>
      <c r="I160" s="223">
        <v>0</v>
      </c>
      <c r="J160" s="223">
        <v>1000000</v>
      </c>
      <c r="K160" s="223">
        <v>0</v>
      </c>
      <c r="L160" s="223">
        <v>0</v>
      </c>
      <c r="M160" s="223">
        <v>0</v>
      </c>
      <c r="N160" s="223">
        <v>0</v>
      </c>
      <c r="O160" s="224">
        <v>0</v>
      </c>
      <c r="P160" s="225"/>
      <c r="Q160" s="226"/>
    </row>
    <row r="161" spans="1:17" s="207" customFormat="1">
      <c r="A161" s="243" t="s">
        <v>756</v>
      </c>
      <c r="B161" s="244" t="s">
        <v>757</v>
      </c>
      <c r="C161" s="222">
        <f t="shared" si="50"/>
        <v>10000000</v>
      </c>
      <c r="D161" s="222"/>
      <c r="E161" s="222"/>
      <c r="F161" s="223">
        <v>4000000</v>
      </c>
      <c r="G161" s="223">
        <v>0</v>
      </c>
      <c r="H161" s="223">
        <v>0</v>
      </c>
      <c r="I161" s="223">
        <v>10000000</v>
      </c>
      <c r="J161" s="223">
        <v>4000000</v>
      </c>
      <c r="K161" s="223">
        <v>10000000</v>
      </c>
      <c r="L161" s="223">
        <v>0</v>
      </c>
      <c r="M161" s="223">
        <v>0</v>
      </c>
      <c r="N161" s="223">
        <v>0</v>
      </c>
      <c r="O161" s="224">
        <v>0</v>
      </c>
      <c r="P161" s="225"/>
      <c r="Q161" s="226"/>
    </row>
    <row r="162" spans="1:17" s="207" customFormat="1">
      <c r="A162" s="243" t="s">
        <v>758</v>
      </c>
      <c r="B162" s="244" t="s">
        <v>759</v>
      </c>
      <c r="C162" s="222">
        <f t="shared" si="50"/>
        <v>11197476</v>
      </c>
      <c r="D162" s="222"/>
      <c r="E162" s="222"/>
      <c r="F162" s="223">
        <v>11760000</v>
      </c>
      <c r="G162" s="223">
        <v>0</v>
      </c>
      <c r="H162" s="223">
        <v>0</v>
      </c>
      <c r="I162" s="223">
        <v>0</v>
      </c>
      <c r="J162" s="223">
        <v>562524</v>
      </c>
      <c r="K162" s="223">
        <v>11197476</v>
      </c>
      <c r="L162" s="223">
        <v>11197476</v>
      </c>
      <c r="M162" s="223">
        <v>11197476</v>
      </c>
      <c r="N162" s="223">
        <v>0</v>
      </c>
      <c r="O162" s="224">
        <v>0</v>
      </c>
      <c r="P162" s="225"/>
      <c r="Q162" s="226"/>
    </row>
    <row r="163" spans="1:17" s="215" customFormat="1">
      <c r="A163" s="216" t="s">
        <v>25</v>
      </c>
      <c r="B163" s="217" t="s">
        <v>528</v>
      </c>
      <c r="C163" s="217">
        <f t="shared" si="50"/>
        <v>327279430</v>
      </c>
      <c r="D163" s="217"/>
      <c r="E163" s="217"/>
      <c r="F163" s="218">
        <v>486203810.25999999</v>
      </c>
      <c r="G163" s="218">
        <v>47274311.159999996</v>
      </c>
      <c r="H163" s="218">
        <v>47274311.159999996</v>
      </c>
      <c r="I163" s="218">
        <v>5527311</v>
      </c>
      <c r="J163" s="218">
        <v>164451691.25999999</v>
      </c>
      <c r="K163" s="218">
        <v>327279430</v>
      </c>
      <c r="L163" s="218">
        <f t="shared" ref="L163:O163" si="52">L164+L168+L171+L179+L186+L244+L254+L262+L271+L277+L283+L287+L289+L291</f>
        <v>207125130</v>
      </c>
      <c r="M163" s="218">
        <f t="shared" si="52"/>
        <v>122125130</v>
      </c>
      <c r="N163" s="218">
        <f t="shared" si="52"/>
        <v>16642196</v>
      </c>
      <c r="O163" s="219">
        <f t="shared" si="52"/>
        <v>7525130</v>
      </c>
      <c r="P163" s="213"/>
      <c r="Q163" s="220">
        <f>Q164+Q168+Q171+Q179+Q186+Q244+Q254+Q262+Q271+Q277+Q283+Q287+Q289+Q291</f>
        <v>0</v>
      </c>
    </row>
    <row r="164" spans="1:17" s="215" customFormat="1">
      <c r="A164" s="216" t="s">
        <v>760</v>
      </c>
      <c r="B164" s="217" t="s">
        <v>761</v>
      </c>
      <c r="C164" s="217">
        <f t="shared" si="50"/>
        <v>7100000</v>
      </c>
      <c r="D164" s="217"/>
      <c r="E164" s="217"/>
      <c r="F164" s="218">
        <v>17600000</v>
      </c>
      <c r="G164" s="218">
        <v>972689</v>
      </c>
      <c r="H164" s="218">
        <v>0</v>
      </c>
      <c r="I164" s="218">
        <v>5527311</v>
      </c>
      <c r="J164" s="218">
        <v>17000000</v>
      </c>
      <c r="K164" s="218">
        <v>7100000</v>
      </c>
      <c r="L164" s="218">
        <f t="shared" ref="L164:O164" si="53">SUM(L165:L167)</f>
        <v>0</v>
      </c>
      <c r="M164" s="218">
        <f t="shared" si="53"/>
        <v>0</v>
      </c>
      <c r="N164" s="218">
        <f t="shared" si="53"/>
        <v>0</v>
      </c>
      <c r="O164" s="219">
        <f t="shared" si="53"/>
        <v>0</v>
      </c>
      <c r="P164" s="213"/>
      <c r="Q164" s="220">
        <f>SUM(Q165:Q167)</f>
        <v>0</v>
      </c>
    </row>
    <row r="165" spans="1:17" s="207" customFormat="1" ht="25.5">
      <c r="A165" s="243" t="s">
        <v>762</v>
      </c>
      <c r="B165" s="244" t="s">
        <v>763</v>
      </c>
      <c r="C165" s="222">
        <f t="shared" si="50"/>
        <v>6500000</v>
      </c>
      <c r="D165" s="222"/>
      <c r="E165" s="222"/>
      <c r="F165" s="223">
        <v>3000000</v>
      </c>
      <c r="G165" s="223">
        <v>972689</v>
      </c>
      <c r="H165" s="223">
        <v>0</v>
      </c>
      <c r="I165" s="223">
        <v>5527311</v>
      </c>
      <c r="J165" s="223">
        <v>3000000</v>
      </c>
      <c r="K165" s="223">
        <v>6500000</v>
      </c>
      <c r="L165" s="223">
        <v>0</v>
      </c>
      <c r="M165" s="223">
        <v>0</v>
      </c>
      <c r="N165" s="223">
        <v>0</v>
      </c>
      <c r="O165" s="224">
        <v>0</v>
      </c>
      <c r="P165" s="225"/>
      <c r="Q165" s="226"/>
    </row>
    <row r="166" spans="1:17" s="207" customFormat="1" ht="25.5">
      <c r="A166" s="243" t="s">
        <v>764</v>
      </c>
      <c r="B166" s="244" t="s">
        <v>765</v>
      </c>
      <c r="C166" s="222">
        <f t="shared" si="50"/>
        <v>0</v>
      </c>
      <c r="D166" s="222"/>
      <c r="E166" s="222"/>
      <c r="F166" s="223">
        <v>2000000</v>
      </c>
      <c r="G166" s="223">
        <v>0</v>
      </c>
      <c r="H166" s="223">
        <v>0</v>
      </c>
      <c r="I166" s="223">
        <v>0</v>
      </c>
      <c r="J166" s="223">
        <v>2000000</v>
      </c>
      <c r="K166" s="223">
        <v>0</v>
      </c>
      <c r="L166" s="223">
        <v>0</v>
      </c>
      <c r="M166" s="223">
        <v>0</v>
      </c>
      <c r="N166" s="223">
        <v>0</v>
      </c>
      <c r="O166" s="224">
        <v>0</v>
      </c>
      <c r="P166" s="225"/>
      <c r="Q166" s="226"/>
    </row>
    <row r="167" spans="1:17" s="207" customFormat="1">
      <c r="A167" s="243" t="s">
        <v>766</v>
      </c>
      <c r="B167" s="244" t="s">
        <v>767</v>
      </c>
      <c r="C167" s="222">
        <f t="shared" si="50"/>
        <v>600000</v>
      </c>
      <c r="D167" s="222"/>
      <c r="E167" s="222"/>
      <c r="F167" s="223">
        <v>12600000</v>
      </c>
      <c r="G167" s="223">
        <v>0</v>
      </c>
      <c r="H167" s="223">
        <v>0</v>
      </c>
      <c r="I167" s="223">
        <v>0</v>
      </c>
      <c r="J167" s="223">
        <v>12000000</v>
      </c>
      <c r="K167" s="223">
        <v>600000</v>
      </c>
      <c r="L167" s="223">
        <v>0</v>
      </c>
      <c r="M167" s="223">
        <v>0</v>
      </c>
      <c r="N167" s="223">
        <v>0</v>
      </c>
      <c r="O167" s="224">
        <v>0</v>
      </c>
      <c r="P167" s="225"/>
      <c r="Q167" s="226"/>
    </row>
    <row r="168" spans="1:17" s="215" customFormat="1">
      <c r="A168" s="216" t="s">
        <v>768</v>
      </c>
      <c r="B168" s="217" t="s">
        <v>769</v>
      </c>
      <c r="C168" s="217">
        <f t="shared" si="50"/>
        <v>1000000</v>
      </c>
      <c r="D168" s="217"/>
      <c r="E168" s="217"/>
      <c r="F168" s="218">
        <v>37000000</v>
      </c>
      <c r="G168" s="218">
        <v>0</v>
      </c>
      <c r="H168" s="218">
        <v>0</v>
      </c>
      <c r="I168" s="218">
        <v>0</v>
      </c>
      <c r="J168" s="218">
        <v>36000000</v>
      </c>
      <c r="K168" s="218">
        <v>1000000</v>
      </c>
      <c r="L168" s="218">
        <f t="shared" ref="L168:O168" si="54">SUM(L169:L170)</f>
        <v>0</v>
      </c>
      <c r="M168" s="218">
        <f t="shared" si="54"/>
        <v>0</v>
      </c>
      <c r="N168" s="218">
        <f t="shared" si="54"/>
        <v>0</v>
      </c>
      <c r="O168" s="219">
        <f t="shared" si="54"/>
        <v>0</v>
      </c>
      <c r="P168" s="213"/>
      <c r="Q168" s="220">
        <f>SUM(Q169:Q170)</f>
        <v>0</v>
      </c>
    </row>
    <row r="169" spans="1:17" s="207" customFormat="1">
      <c r="A169" s="243" t="s">
        <v>770</v>
      </c>
      <c r="B169" s="244" t="s">
        <v>771</v>
      </c>
      <c r="C169" s="222">
        <f t="shared" si="50"/>
        <v>1000000</v>
      </c>
      <c r="D169" s="222"/>
      <c r="E169" s="222"/>
      <c r="F169" s="223">
        <v>1000000</v>
      </c>
      <c r="G169" s="223">
        <v>0</v>
      </c>
      <c r="H169" s="223">
        <v>0</v>
      </c>
      <c r="I169" s="223">
        <v>0</v>
      </c>
      <c r="J169" s="223">
        <v>0</v>
      </c>
      <c r="K169" s="223">
        <v>1000000</v>
      </c>
      <c r="L169" s="223">
        <v>0</v>
      </c>
      <c r="M169" s="223">
        <v>0</v>
      </c>
      <c r="N169" s="223">
        <v>0</v>
      </c>
      <c r="O169" s="224">
        <v>0</v>
      </c>
      <c r="P169" s="225"/>
      <c r="Q169" s="226"/>
    </row>
    <row r="170" spans="1:17" s="207" customFormat="1" ht="25.5">
      <c r="A170" s="243" t="s">
        <v>772</v>
      </c>
      <c r="B170" s="244" t="s">
        <v>773</v>
      </c>
      <c r="C170" s="222">
        <f t="shared" si="50"/>
        <v>0</v>
      </c>
      <c r="D170" s="222"/>
      <c r="E170" s="222"/>
      <c r="F170" s="223">
        <v>36000000</v>
      </c>
      <c r="G170" s="223">
        <v>0</v>
      </c>
      <c r="H170" s="223">
        <v>0</v>
      </c>
      <c r="I170" s="223">
        <v>0</v>
      </c>
      <c r="J170" s="223">
        <v>36000000</v>
      </c>
      <c r="K170" s="223">
        <v>0</v>
      </c>
      <c r="L170" s="223">
        <v>0</v>
      </c>
      <c r="M170" s="223">
        <v>0</v>
      </c>
      <c r="N170" s="223">
        <v>0</v>
      </c>
      <c r="O170" s="224">
        <v>0</v>
      </c>
      <c r="P170" s="225"/>
      <c r="Q170" s="226"/>
    </row>
    <row r="171" spans="1:17" s="215" customFormat="1">
      <c r="A171" s="216" t="s">
        <v>774</v>
      </c>
      <c r="B171" s="217" t="s">
        <v>775</v>
      </c>
      <c r="C171" s="217">
        <f t="shared" si="50"/>
        <v>0</v>
      </c>
      <c r="D171" s="217"/>
      <c r="E171" s="217"/>
      <c r="F171" s="218">
        <v>12000000</v>
      </c>
      <c r="G171" s="218">
        <v>0</v>
      </c>
      <c r="H171" s="218">
        <v>0</v>
      </c>
      <c r="I171" s="218">
        <v>0</v>
      </c>
      <c r="J171" s="218">
        <v>12000000</v>
      </c>
      <c r="K171" s="218">
        <v>0</v>
      </c>
      <c r="L171" s="218">
        <f t="shared" ref="L171:O171" si="55">SUM(L172:L178)</f>
        <v>0</v>
      </c>
      <c r="M171" s="218">
        <f t="shared" si="55"/>
        <v>0</v>
      </c>
      <c r="N171" s="218">
        <f t="shared" si="55"/>
        <v>0</v>
      </c>
      <c r="O171" s="219">
        <f t="shared" si="55"/>
        <v>0</v>
      </c>
      <c r="P171" s="213"/>
      <c r="Q171" s="220">
        <f>SUM(Q172:Q178)</f>
        <v>0</v>
      </c>
    </row>
    <row r="172" spans="1:17" s="207" customFormat="1">
      <c r="A172" s="243" t="s">
        <v>776</v>
      </c>
      <c r="B172" s="244" t="s">
        <v>777</v>
      </c>
      <c r="C172" s="222">
        <f t="shared" si="50"/>
        <v>0</v>
      </c>
      <c r="D172" s="222"/>
      <c r="E172" s="222"/>
      <c r="F172" s="223">
        <v>0</v>
      </c>
      <c r="G172" s="223">
        <v>0</v>
      </c>
      <c r="H172" s="223">
        <v>0</v>
      </c>
      <c r="I172" s="223">
        <v>0</v>
      </c>
      <c r="J172" s="223">
        <v>0</v>
      </c>
      <c r="K172" s="223">
        <v>0</v>
      </c>
      <c r="L172" s="223">
        <v>0</v>
      </c>
      <c r="M172" s="223">
        <v>0</v>
      </c>
      <c r="N172" s="223">
        <v>0</v>
      </c>
      <c r="O172" s="224">
        <v>0</v>
      </c>
      <c r="P172" s="225"/>
      <c r="Q172" s="226"/>
    </row>
    <row r="173" spans="1:17" s="207" customFormat="1">
      <c r="A173" s="243" t="s">
        <v>778</v>
      </c>
      <c r="B173" s="244" t="s">
        <v>779</v>
      </c>
      <c r="C173" s="222">
        <f t="shared" si="50"/>
        <v>0</v>
      </c>
      <c r="D173" s="222"/>
      <c r="E173" s="222"/>
      <c r="F173" s="223">
        <v>0</v>
      </c>
      <c r="G173" s="223">
        <v>0</v>
      </c>
      <c r="H173" s="223">
        <v>0</v>
      </c>
      <c r="I173" s="223">
        <v>0</v>
      </c>
      <c r="J173" s="223">
        <v>0</v>
      </c>
      <c r="K173" s="223">
        <v>0</v>
      </c>
      <c r="L173" s="223">
        <v>0</v>
      </c>
      <c r="M173" s="223">
        <v>0</v>
      </c>
      <c r="N173" s="223">
        <v>0</v>
      </c>
      <c r="O173" s="224">
        <v>0</v>
      </c>
      <c r="P173" s="225"/>
      <c r="Q173" s="226"/>
    </row>
    <row r="174" spans="1:17" s="207" customFormat="1" ht="25.5">
      <c r="A174" s="243" t="s">
        <v>780</v>
      </c>
      <c r="B174" s="244" t="s">
        <v>781</v>
      </c>
      <c r="C174" s="222">
        <f t="shared" si="50"/>
        <v>0</v>
      </c>
      <c r="D174" s="222"/>
      <c r="E174" s="222"/>
      <c r="F174" s="223">
        <v>5000000</v>
      </c>
      <c r="G174" s="223">
        <v>0</v>
      </c>
      <c r="H174" s="223">
        <v>0</v>
      </c>
      <c r="I174" s="223">
        <v>0</v>
      </c>
      <c r="J174" s="223">
        <v>5000000</v>
      </c>
      <c r="K174" s="223">
        <v>0</v>
      </c>
      <c r="L174" s="223">
        <v>0</v>
      </c>
      <c r="M174" s="223">
        <v>0</v>
      </c>
      <c r="N174" s="223">
        <v>0</v>
      </c>
      <c r="O174" s="224">
        <v>0</v>
      </c>
      <c r="P174" s="225"/>
      <c r="Q174" s="226"/>
    </row>
    <row r="175" spans="1:17" s="207" customFormat="1">
      <c r="A175" s="243" t="s">
        <v>782</v>
      </c>
      <c r="B175" s="244" t="s">
        <v>783</v>
      </c>
      <c r="C175" s="222">
        <f t="shared" si="50"/>
        <v>0</v>
      </c>
      <c r="D175" s="222"/>
      <c r="E175" s="222"/>
      <c r="F175" s="223">
        <v>4000000</v>
      </c>
      <c r="G175" s="223">
        <v>0</v>
      </c>
      <c r="H175" s="223">
        <v>0</v>
      </c>
      <c r="I175" s="223">
        <v>0</v>
      </c>
      <c r="J175" s="223">
        <v>4000000</v>
      </c>
      <c r="K175" s="223">
        <v>0</v>
      </c>
      <c r="L175" s="223">
        <v>0</v>
      </c>
      <c r="M175" s="223">
        <v>0</v>
      </c>
      <c r="N175" s="223">
        <v>0</v>
      </c>
      <c r="O175" s="224">
        <v>0</v>
      </c>
      <c r="P175" s="225"/>
      <c r="Q175" s="226"/>
    </row>
    <row r="176" spans="1:17" s="207" customFormat="1" ht="25.5">
      <c r="A176" s="243" t="s">
        <v>784</v>
      </c>
      <c r="B176" s="244" t="s">
        <v>785</v>
      </c>
      <c r="C176" s="222">
        <f t="shared" si="50"/>
        <v>0</v>
      </c>
      <c r="D176" s="222"/>
      <c r="E176" s="222"/>
      <c r="F176" s="223">
        <v>0</v>
      </c>
      <c r="G176" s="223">
        <v>0</v>
      </c>
      <c r="H176" s="223">
        <v>0</v>
      </c>
      <c r="I176" s="223">
        <v>0</v>
      </c>
      <c r="J176" s="223">
        <v>0</v>
      </c>
      <c r="K176" s="223">
        <v>0</v>
      </c>
      <c r="L176" s="223">
        <v>0</v>
      </c>
      <c r="M176" s="223">
        <v>0</v>
      </c>
      <c r="N176" s="223">
        <v>0</v>
      </c>
      <c r="O176" s="224">
        <v>0</v>
      </c>
      <c r="P176" s="225"/>
      <c r="Q176" s="226"/>
    </row>
    <row r="177" spans="1:17" s="207" customFormat="1" ht="25.5">
      <c r="A177" s="243" t="s">
        <v>786</v>
      </c>
      <c r="B177" s="244" t="s">
        <v>787</v>
      </c>
      <c r="C177" s="222">
        <f t="shared" si="50"/>
        <v>0</v>
      </c>
      <c r="D177" s="222"/>
      <c r="E177" s="222"/>
      <c r="F177" s="223">
        <v>1000000</v>
      </c>
      <c r="G177" s="223">
        <v>0</v>
      </c>
      <c r="H177" s="223">
        <v>0</v>
      </c>
      <c r="I177" s="223">
        <v>0</v>
      </c>
      <c r="J177" s="223">
        <v>1000000</v>
      </c>
      <c r="K177" s="223">
        <v>0</v>
      </c>
      <c r="L177" s="223">
        <v>0</v>
      </c>
      <c r="M177" s="223">
        <v>0</v>
      </c>
      <c r="N177" s="223">
        <v>0</v>
      </c>
      <c r="O177" s="224">
        <v>0</v>
      </c>
      <c r="P177" s="225"/>
      <c r="Q177" s="226"/>
    </row>
    <row r="178" spans="1:17" s="207" customFormat="1" ht="25.5">
      <c r="A178" s="243" t="s">
        <v>788</v>
      </c>
      <c r="B178" s="244" t="s">
        <v>789</v>
      </c>
      <c r="C178" s="222">
        <f t="shared" si="50"/>
        <v>0</v>
      </c>
      <c r="D178" s="222"/>
      <c r="E178" s="222"/>
      <c r="F178" s="223">
        <v>2000000</v>
      </c>
      <c r="G178" s="223">
        <v>0</v>
      </c>
      <c r="H178" s="223">
        <v>0</v>
      </c>
      <c r="I178" s="223">
        <v>0</v>
      </c>
      <c r="J178" s="223">
        <v>2000000</v>
      </c>
      <c r="K178" s="223">
        <v>0</v>
      </c>
      <c r="L178" s="223">
        <v>0</v>
      </c>
      <c r="M178" s="223">
        <v>0</v>
      </c>
      <c r="N178" s="223">
        <v>0</v>
      </c>
      <c r="O178" s="224">
        <v>0</v>
      </c>
      <c r="P178" s="225"/>
      <c r="Q178" s="226"/>
    </row>
    <row r="179" spans="1:17" s="215" customFormat="1">
      <c r="A179" s="216" t="s">
        <v>790</v>
      </c>
      <c r="B179" s="217" t="s">
        <v>133</v>
      </c>
      <c r="C179" s="217">
        <f t="shared" si="50"/>
        <v>7582465.5199999996</v>
      </c>
      <c r="D179" s="217"/>
      <c r="E179" s="217"/>
      <c r="F179" s="218">
        <v>54108778.939999998</v>
      </c>
      <c r="G179" s="218">
        <v>2100000</v>
      </c>
      <c r="H179" s="218">
        <v>2174622.16</v>
      </c>
      <c r="I179" s="218">
        <v>0</v>
      </c>
      <c r="J179" s="218">
        <v>46451691.259999998</v>
      </c>
      <c r="K179" s="218">
        <v>7582465.5199999996</v>
      </c>
      <c r="L179" s="218">
        <f t="shared" ref="L179:O179" si="56">SUM(L180:L185)</f>
        <v>4000000</v>
      </c>
      <c r="M179" s="218">
        <f t="shared" si="56"/>
        <v>4000000</v>
      </c>
      <c r="N179" s="218">
        <f t="shared" si="56"/>
        <v>0</v>
      </c>
      <c r="O179" s="219">
        <f t="shared" si="56"/>
        <v>0</v>
      </c>
      <c r="P179" s="213"/>
      <c r="Q179" s="220">
        <f>SUM(Q180:Q185)</f>
        <v>0</v>
      </c>
    </row>
    <row r="180" spans="1:17" s="207" customFormat="1" ht="25.5">
      <c r="A180" s="242" t="s">
        <v>791</v>
      </c>
      <c r="B180" s="247" t="s">
        <v>792</v>
      </c>
      <c r="C180" s="222">
        <f t="shared" si="50"/>
        <v>2100000</v>
      </c>
      <c r="D180" s="222"/>
      <c r="E180" s="222"/>
      <c r="F180" s="223">
        <v>20000000</v>
      </c>
      <c r="G180" s="223">
        <v>2100000</v>
      </c>
      <c r="H180" s="223">
        <v>0</v>
      </c>
      <c r="I180" s="223">
        <v>0</v>
      </c>
      <c r="J180" s="223">
        <v>20000000</v>
      </c>
      <c r="K180" s="223">
        <v>2100000</v>
      </c>
      <c r="L180" s="223">
        <v>0</v>
      </c>
      <c r="M180" s="223">
        <v>0</v>
      </c>
      <c r="N180" s="223">
        <v>0</v>
      </c>
      <c r="O180" s="224">
        <v>0</v>
      </c>
      <c r="P180" s="225"/>
      <c r="Q180" s="226"/>
    </row>
    <row r="181" spans="1:17" s="207" customFormat="1">
      <c r="A181" s="242" t="s">
        <v>793</v>
      </c>
      <c r="B181" s="247" t="s">
        <v>794</v>
      </c>
      <c r="C181" s="222">
        <f t="shared" si="50"/>
        <v>1482465.52</v>
      </c>
      <c r="D181" s="222"/>
      <c r="E181" s="222"/>
      <c r="F181" s="223">
        <v>30108778.940000001</v>
      </c>
      <c r="G181" s="223">
        <v>0</v>
      </c>
      <c r="H181" s="223">
        <v>2174622.16</v>
      </c>
      <c r="I181" s="223">
        <v>0</v>
      </c>
      <c r="J181" s="223">
        <v>26451691.260000002</v>
      </c>
      <c r="K181" s="223">
        <v>1482465.52</v>
      </c>
      <c r="L181" s="223">
        <v>0</v>
      </c>
      <c r="M181" s="223">
        <v>0</v>
      </c>
      <c r="N181" s="223">
        <v>0</v>
      </c>
      <c r="O181" s="224">
        <v>0</v>
      </c>
      <c r="P181" s="225"/>
      <c r="Q181" s="226"/>
    </row>
    <row r="182" spans="1:17" s="207" customFormat="1">
      <c r="A182" s="242" t="s">
        <v>795</v>
      </c>
      <c r="B182" s="247" t="s">
        <v>796</v>
      </c>
      <c r="C182" s="222">
        <f t="shared" si="50"/>
        <v>0</v>
      </c>
      <c r="D182" s="222"/>
      <c r="E182" s="222"/>
      <c r="F182" s="223">
        <v>0</v>
      </c>
      <c r="G182" s="223">
        <v>0</v>
      </c>
      <c r="H182" s="223">
        <v>0</v>
      </c>
      <c r="I182" s="223">
        <v>0</v>
      </c>
      <c r="J182" s="223">
        <v>0</v>
      </c>
      <c r="K182" s="223">
        <v>0</v>
      </c>
      <c r="L182" s="223">
        <v>0</v>
      </c>
      <c r="M182" s="223">
        <v>0</v>
      </c>
      <c r="N182" s="223">
        <v>0</v>
      </c>
      <c r="O182" s="224">
        <v>0</v>
      </c>
      <c r="P182" s="225"/>
      <c r="Q182" s="226"/>
    </row>
    <row r="183" spans="1:17" s="207" customFormat="1" ht="25.5">
      <c r="A183" s="242" t="s">
        <v>797</v>
      </c>
      <c r="B183" s="247" t="s">
        <v>798</v>
      </c>
      <c r="C183" s="222">
        <f t="shared" si="50"/>
        <v>0</v>
      </c>
      <c r="D183" s="222"/>
      <c r="E183" s="222"/>
      <c r="F183" s="223">
        <v>0</v>
      </c>
      <c r="G183" s="223">
        <v>0</v>
      </c>
      <c r="H183" s="223">
        <v>0</v>
      </c>
      <c r="I183" s="223">
        <v>0</v>
      </c>
      <c r="J183" s="223">
        <v>0</v>
      </c>
      <c r="K183" s="223">
        <v>0</v>
      </c>
      <c r="L183" s="223">
        <v>0</v>
      </c>
      <c r="M183" s="223">
        <v>0</v>
      </c>
      <c r="N183" s="223">
        <v>0</v>
      </c>
      <c r="O183" s="224">
        <v>0</v>
      </c>
      <c r="P183" s="225"/>
      <c r="Q183" s="226"/>
    </row>
    <row r="184" spans="1:17" s="207" customFormat="1">
      <c r="A184" s="242" t="s">
        <v>799</v>
      </c>
      <c r="B184" s="247" t="s">
        <v>800</v>
      </c>
      <c r="C184" s="222">
        <f t="shared" si="50"/>
        <v>0</v>
      </c>
      <c r="D184" s="222"/>
      <c r="E184" s="222"/>
      <c r="F184" s="223">
        <v>0</v>
      </c>
      <c r="G184" s="223">
        <v>0</v>
      </c>
      <c r="H184" s="223">
        <v>0</v>
      </c>
      <c r="I184" s="223">
        <v>0</v>
      </c>
      <c r="J184" s="223">
        <v>0</v>
      </c>
      <c r="K184" s="223">
        <v>0</v>
      </c>
      <c r="L184" s="223">
        <v>0</v>
      </c>
      <c r="M184" s="223">
        <v>0</v>
      </c>
      <c r="N184" s="223">
        <v>0</v>
      </c>
      <c r="O184" s="224">
        <v>0</v>
      </c>
      <c r="P184" s="225"/>
      <c r="Q184" s="226"/>
    </row>
    <row r="185" spans="1:17" s="207" customFormat="1">
      <c r="A185" s="242" t="s">
        <v>801</v>
      </c>
      <c r="B185" s="247" t="s">
        <v>742</v>
      </c>
      <c r="C185" s="222">
        <f t="shared" si="50"/>
        <v>4000000</v>
      </c>
      <c r="D185" s="222"/>
      <c r="E185" s="222"/>
      <c r="F185" s="223">
        <v>4000000</v>
      </c>
      <c r="G185" s="223">
        <v>0</v>
      </c>
      <c r="H185" s="223">
        <v>0</v>
      </c>
      <c r="I185" s="223">
        <v>0</v>
      </c>
      <c r="J185" s="223">
        <v>0</v>
      </c>
      <c r="K185" s="223">
        <v>4000000</v>
      </c>
      <c r="L185" s="223">
        <v>4000000</v>
      </c>
      <c r="M185" s="223">
        <v>4000000</v>
      </c>
      <c r="N185" s="223">
        <v>0</v>
      </c>
      <c r="O185" s="224">
        <v>0</v>
      </c>
      <c r="P185" s="225"/>
      <c r="Q185" s="226"/>
    </row>
    <row r="186" spans="1:17" s="215" customFormat="1">
      <c r="A186" s="216" t="s">
        <v>802</v>
      </c>
      <c r="B186" s="217" t="s">
        <v>803</v>
      </c>
      <c r="C186" s="217">
        <f t="shared" si="50"/>
        <v>49228933.159999996</v>
      </c>
      <c r="D186" s="217"/>
      <c r="E186" s="217"/>
      <c r="F186" s="218">
        <v>48000000</v>
      </c>
      <c r="G186" s="218">
        <v>2701622.16</v>
      </c>
      <c r="H186" s="218">
        <v>1472689</v>
      </c>
      <c r="I186" s="218">
        <v>0</v>
      </c>
      <c r="J186" s="218">
        <v>0</v>
      </c>
      <c r="K186" s="218">
        <v>49228933.159999996</v>
      </c>
      <c r="L186" s="218">
        <f t="shared" ref="L186:O186" si="57">L187+L190+L194+L197+L202+L205+L232+L236+L237+L240+L241</f>
        <v>7200000</v>
      </c>
      <c r="M186" s="218">
        <f t="shared" si="57"/>
        <v>7200000</v>
      </c>
      <c r="N186" s="218">
        <f t="shared" si="57"/>
        <v>0</v>
      </c>
      <c r="O186" s="219">
        <f t="shared" si="57"/>
        <v>0</v>
      </c>
      <c r="P186" s="213"/>
      <c r="Q186" s="220">
        <f>Q187+Q190+Q194+Q197+Q202+Q205+Q232+Q236+Q237+Q240+Q241</f>
        <v>0</v>
      </c>
    </row>
    <row r="187" spans="1:17" s="215" customFormat="1">
      <c r="A187" s="259" t="s">
        <v>804</v>
      </c>
      <c r="B187" s="260" t="s">
        <v>805</v>
      </c>
      <c r="C187" s="217">
        <f t="shared" si="50"/>
        <v>3027311</v>
      </c>
      <c r="D187" s="217"/>
      <c r="E187" s="217"/>
      <c r="F187" s="218">
        <v>4000000</v>
      </c>
      <c r="G187" s="218">
        <v>0</v>
      </c>
      <c r="H187" s="218">
        <v>972689</v>
      </c>
      <c r="I187" s="218">
        <v>0</v>
      </c>
      <c r="J187" s="218">
        <v>0</v>
      </c>
      <c r="K187" s="218">
        <v>3027311</v>
      </c>
      <c r="L187" s="218">
        <f t="shared" ref="L187:O187" si="58">SUM(L188:L189)</f>
        <v>2700000</v>
      </c>
      <c r="M187" s="218">
        <f t="shared" si="58"/>
        <v>2700000</v>
      </c>
      <c r="N187" s="218">
        <f t="shared" si="58"/>
        <v>0</v>
      </c>
      <c r="O187" s="219">
        <f t="shared" si="58"/>
        <v>0</v>
      </c>
      <c r="P187" s="213"/>
      <c r="Q187" s="220">
        <f>SUM(Q188:Q189)</f>
        <v>0</v>
      </c>
    </row>
    <row r="188" spans="1:17" s="207" customFormat="1">
      <c r="A188" s="242" t="s">
        <v>806</v>
      </c>
      <c r="B188" s="247" t="s">
        <v>807</v>
      </c>
      <c r="C188" s="222">
        <f t="shared" si="50"/>
        <v>0</v>
      </c>
      <c r="D188" s="222"/>
      <c r="E188" s="222"/>
      <c r="F188" s="223">
        <v>0</v>
      </c>
      <c r="G188" s="223">
        <v>0</v>
      </c>
      <c r="H188" s="223">
        <v>0</v>
      </c>
      <c r="I188" s="223">
        <v>0</v>
      </c>
      <c r="J188" s="223">
        <v>0</v>
      </c>
      <c r="K188" s="223">
        <v>0</v>
      </c>
      <c r="L188" s="223">
        <v>0</v>
      </c>
      <c r="M188" s="223">
        <v>0</v>
      </c>
      <c r="N188" s="223">
        <v>0</v>
      </c>
      <c r="O188" s="224">
        <v>0</v>
      </c>
      <c r="P188" s="225"/>
      <c r="Q188" s="226"/>
    </row>
    <row r="189" spans="1:17" s="207" customFormat="1">
      <c r="A189" s="242" t="s">
        <v>808</v>
      </c>
      <c r="B189" s="247" t="s">
        <v>809</v>
      </c>
      <c r="C189" s="222">
        <f t="shared" si="50"/>
        <v>3027311</v>
      </c>
      <c r="D189" s="222"/>
      <c r="E189" s="222"/>
      <c r="F189" s="223">
        <v>4000000</v>
      </c>
      <c r="G189" s="223">
        <v>0</v>
      </c>
      <c r="H189" s="223">
        <v>972689</v>
      </c>
      <c r="I189" s="223">
        <v>0</v>
      </c>
      <c r="J189" s="223">
        <v>0</v>
      </c>
      <c r="K189" s="223">
        <v>3027311</v>
      </c>
      <c r="L189" s="223">
        <v>2700000</v>
      </c>
      <c r="M189" s="223">
        <v>2700000</v>
      </c>
      <c r="N189" s="223">
        <v>0</v>
      </c>
      <c r="O189" s="224">
        <v>0</v>
      </c>
      <c r="P189" s="225"/>
      <c r="Q189" s="226"/>
    </row>
    <row r="190" spans="1:17" s="215" customFormat="1">
      <c r="A190" s="259" t="s">
        <v>810</v>
      </c>
      <c r="B190" s="260" t="s">
        <v>811</v>
      </c>
      <c r="C190" s="217">
        <f t="shared" si="50"/>
        <v>3500000</v>
      </c>
      <c r="D190" s="217"/>
      <c r="E190" s="217"/>
      <c r="F190" s="218">
        <v>3500000</v>
      </c>
      <c r="G190" s="218">
        <v>0</v>
      </c>
      <c r="H190" s="218">
        <v>0</v>
      </c>
      <c r="I190" s="218">
        <v>0</v>
      </c>
      <c r="J190" s="218">
        <v>0</v>
      </c>
      <c r="K190" s="218">
        <v>3500000</v>
      </c>
      <c r="L190" s="218">
        <f t="shared" ref="L190:O190" si="59">SUM(L191:L193)</f>
        <v>3500000</v>
      </c>
      <c r="M190" s="218">
        <f t="shared" si="59"/>
        <v>3500000</v>
      </c>
      <c r="N190" s="218">
        <f t="shared" si="59"/>
        <v>0</v>
      </c>
      <c r="O190" s="219">
        <f t="shared" si="59"/>
        <v>0</v>
      </c>
      <c r="P190" s="213"/>
      <c r="Q190" s="220">
        <f>SUM(Q191:Q193)</f>
        <v>0</v>
      </c>
    </row>
    <row r="191" spans="1:17" s="207" customFormat="1">
      <c r="A191" s="242" t="s">
        <v>812</v>
      </c>
      <c r="B191" s="247" t="s">
        <v>807</v>
      </c>
      <c r="C191" s="222">
        <f t="shared" si="50"/>
        <v>0</v>
      </c>
      <c r="D191" s="222"/>
      <c r="E191" s="222"/>
      <c r="F191" s="223">
        <v>0</v>
      </c>
      <c r="G191" s="223">
        <v>0</v>
      </c>
      <c r="H191" s="223">
        <v>0</v>
      </c>
      <c r="I191" s="223">
        <v>0</v>
      </c>
      <c r="J191" s="223">
        <v>0</v>
      </c>
      <c r="K191" s="223">
        <v>0</v>
      </c>
      <c r="L191" s="223">
        <v>0</v>
      </c>
      <c r="M191" s="223">
        <v>0</v>
      </c>
      <c r="N191" s="223">
        <v>0</v>
      </c>
      <c r="O191" s="224">
        <v>0</v>
      </c>
      <c r="P191" s="225"/>
      <c r="Q191" s="226"/>
    </row>
    <row r="192" spans="1:17" s="207" customFormat="1">
      <c r="A192" s="242" t="s">
        <v>813</v>
      </c>
      <c r="B192" s="247" t="s">
        <v>814</v>
      </c>
      <c r="C192" s="222">
        <f t="shared" si="50"/>
        <v>3500000</v>
      </c>
      <c r="D192" s="222"/>
      <c r="E192" s="222"/>
      <c r="F192" s="223">
        <v>3500000</v>
      </c>
      <c r="G192" s="223">
        <v>0</v>
      </c>
      <c r="H192" s="223">
        <v>0</v>
      </c>
      <c r="I192" s="223">
        <v>0</v>
      </c>
      <c r="J192" s="223">
        <v>0</v>
      </c>
      <c r="K192" s="223">
        <v>3500000</v>
      </c>
      <c r="L192" s="223">
        <v>3500000</v>
      </c>
      <c r="M192" s="223">
        <v>3500000</v>
      </c>
      <c r="N192" s="223">
        <v>0</v>
      </c>
      <c r="O192" s="224">
        <v>0</v>
      </c>
      <c r="P192" s="225"/>
      <c r="Q192" s="226"/>
    </row>
    <row r="193" spans="1:17" s="207" customFormat="1">
      <c r="A193" s="242" t="s">
        <v>815</v>
      </c>
      <c r="B193" s="247" t="s">
        <v>816</v>
      </c>
      <c r="C193" s="222">
        <f t="shared" si="50"/>
        <v>0</v>
      </c>
      <c r="D193" s="222"/>
      <c r="E193" s="222"/>
      <c r="F193" s="223">
        <v>0</v>
      </c>
      <c r="G193" s="223">
        <v>0</v>
      </c>
      <c r="H193" s="223">
        <v>0</v>
      </c>
      <c r="I193" s="223">
        <v>0</v>
      </c>
      <c r="J193" s="223">
        <v>0</v>
      </c>
      <c r="K193" s="223">
        <v>0</v>
      </c>
      <c r="L193" s="223">
        <v>0</v>
      </c>
      <c r="M193" s="223">
        <v>0</v>
      </c>
      <c r="N193" s="223">
        <v>0</v>
      </c>
      <c r="O193" s="224">
        <v>0</v>
      </c>
      <c r="P193" s="225"/>
      <c r="Q193" s="226"/>
    </row>
    <row r="194" spans="1:17" s="215" customFormat="1">
      <c r="A194" s="259" t="s">
        <v>817</v>
      </c>
      <c r="B194" s="260" t="s">
        <v>818</v>
      </c>
      <c r="C194" s="217">
        <f t="shared" si="50"/>
        <v>1000000</v>
      </c>
      <c r="D194" s="217"/>
      <c r="E194" s="217"/>
      <c r="F194" s="218">
        <v>1000000</v>
      </c>
      <c r="G194" s="218">
        <v>0</v>
      </c>
      <c r="H194" s="218">
        <v>0</v>
      </c>
      <c r="I194" s="218">
        <v>0</v>
      </c>
      <c r="J194" s="218">
        <v>0</v>
      </c>
      <c r="K194" s="218">
        <v>1000000</v>
      </c>
      <c r="L194" s="218">
        <f t="shared" ref="L194:O194" si="60">SUM(L195:L196)</f>
        <v>1000000</v>
      </c>
      <c r="M194" s="218">
        <f t="shared" si="60"/>
        <v>1000000</v>
      </c>
      <c r="N194" s="218">
        <f t="shared" si="60"/>
        <v>0</v>
      </c>
      <c r="O194" s="219">
        <f t="shared" si="60"/>
        <v>0</v>
      </c>
      <c r="P194" s="213"/>
      <c r="Q194" s="220">
        <f>SUM(Q195:Q196)</f>
        <v>0</v>
      </c>
    </row>
    <row r="195" spans="1:17" s="207" customFormat="1">
      <c r="A195" s="242" t="s">
        <v>819</v>
      </c>
      <c r="B195" s="247" t="s">
        <v>814</v>
      </c>
      <c r="C195" s="222">
        <f t="shared" si="50"/>
        <v>1000000</v>
      </c>
      <c r="D195" s="222"/>
      <c r="E195" s="222"/>
      <c r="F195" s="223">
        <v>1000000</v>
      </c>
      <c r="G195" s="223">
        <v>0</v>
      </c>
      <c r="H195" s="223">
        <v>0</v>
      </c>
      <c r="I195" s="223">
        <v>0</v>
      </c>
      <c r="J195" s="223">
        <v>0</v>
      </c>
      <c r="K195" s="223">
        <v>1000000</v>
      </c>
      <c r="L195" s="223">
        <v>1000000</v>
      </c>
      <c r="M195" s="223">
        <v>1000000</v>
      </c>
      <c r="N195" s="223">
        <v>0</v>
      </c>
      <c r="O195" s="224">
        <v>0</v>
      </c>
      <c r="P195" s="225"/>
      <c r="Q195" s="226"/>
    </row>
    <row r="196" spans="1:17" s="207" customFormat="1">
      <c r="A196" s="242" t="s">
        <v>820</v>
      </c>
      <c r="B196" s="247" t="s">
        <v>816</v>
      </c>
      <c r="C196" s="222">
        <f t="shared" si="50"/>
        <v>0</v>
      </c>
      <c r="D196" s="222"/>
      <c r="E196" s="222"/>
      <c r="F196" s="223">
        <v>0</v>
      </c>
      <c r="G196" s="223">
        <v>0</v>
      </c>
      <c r="H196" s="223">
        <v>0</v>
      </c>
      <c r="I196" s="223">
        <v>0</v>
      </c>
      <c r="J196" s="223">
        <v>0</v>
      </c>
      <c r="K196" s="223">
        <v>0</v>
      </c>
      <c r="L196" s="223">
        <v>0</v>
      </c>
      <c r="M196" s="223">
        <v>0</v>
      </c>
      <c r="N196" s="223">
        <v>0</v>
      </c>
      <c r="O196" s="224">
        <v>0</v>
      </c>
      <c r="P196" s="225"/>
      <c r="Q196" s="226"/>
    </row>
    <row r="197" spans="1:17" s="215" customFormat="1">
      <c r="A197" s="216" t="s">
        <v>821</v>
      </c>
      <c r="B197" s="217" t="s">
        <v>822</v>
      </c>
      <c r="C197" s="217">
        <f t="shared" si="50"/>
        <v>18000000</v>
      </c>
      <c r="D197" s="217"/>
      <c r="E197" s="217"/>
      <c r="F197" s="218">
        <v>18000000</v>
      </c>
      <c r="G197" s="218">
        <v>0</v>
      </c>
      <c r="H197" s="218">
        <v>0</v>
      </c>
      <c r="I197" s="218">
        <v>0</v>
      </c>
      <c r="J197" s="218">
        <v>0</v>
      </c>
      <c r="K197" s="218">
        <v>18000000</v>
      </c>
      <c r="L197" s="218">
        <f t="shared" ref="L197:O197" si="61">SUM(L198:L201)</f>
        <v>0</v>
      </c>
      <c r="M197" s="218">
        <f t="shared" si="61"/>
        <v>0</v>
      </c>
      <c r="N197" s="218">
        <f t="shared" si="61"/>
        <v>0</v>
      </c>
      <c r="O197" s="219">
        <f t="shared" si="61"/>
        <v>0</v>
      </c>
      <c r="P197" s="213"/>
      <c r="Q197" s="220">
        <f>SUM(Q198:Q201)</f>
        <v>0</v>
      </c>
    </row>
    <row r="198" spans="1:17" s="207" customFormat="1">
      <c r="A198" s="243" t="s">
        <v>823</v>
      </c>
      <c r="B198" s="244" t="s">
        <v>824</v>
      </c>
      <c r="C198" s="222">
        <f t="shared" si="50"/>
        <v>0</v>
      </c>
      <c r="D198" s="222"/>
      <c r="E198" s="222"/>
      <c r="F198" s="223">
        <v>0</v>
      </c>
      <c r="G198" s="223">
        <v>0</v>
      </c>
      <c r="H198" s="223">
        <v>0</v>
      </c>
      <c r="I198" s="223">
        <v>0</v>
      </c>
      <c r="J198" s="223">
        <v>0</v>
      </c>
      <c r="K198" s="223">
        <v>0</v>
      </c>
      <c r="L198" s="223">
        <v>0</v>
      </c>
      <c r="M198" s="223">
        <v>0</v>
      </c>
      <c r="N198" s="223">
        <v>0</v>
      </c>
      <c r="O198" s="224">
        <v>0</v>
      </c>
      <c r="P198" s="225"/>
      <c r="Q198" s="226"/>
    </row>
    <row r="199" spans="1:17" s="207" customFormat="1">
      <c r="A199" s="243" t="s">
        <v>825</v>
      </c>
      <c r="B199" s="244" t="s">
        <v>807</v>
      </c>
      <c r="C199" s="222">
        <f t="shared" si="50"/>
        <v>5000000</v>
      </c>
      <c r="D199" s="222"/>
      <c r="E199" s="222"/>
      <c r="F199" s="223">
        <v>5000000</v>
      </c>
      <c r="G199" s="223">
        <v>0</v>
      </c>
      <c r="H199" s="223">
        <v>0</v>
      </c>
      <c r="I199" s="223">
        <v>0</v>
      </c>
      <c r="J199" s="223">
        <v>0</v>
      </c>
      <c r="K199" s="223">
        <v>5000000</v>
      </c>
      <c r="L199" s="223">
        <v>0</v>
      </c>
      <c r="M199" s="223">
        <v>0</v>
      </c>
      <c r="N199" s="223">
        <v>0</v>
      </c>
      <c r="O199" s="224">
        <v>0</v>
      </c>
      <c r="P199" s="225"/>
      <c r="Q199" s="226"/>
    </row>
    <row r="200" spans="1:17" s="207" customFormat="1">
      <c r="A200" s="243" t="s">
        <v>826</v>
      </c>
      <c r="B200" s="244" t="s">
        <v>814</v>
      </c>
      <c r="C200" s="222">
        <f t="shared" si="50"/>
        <v>0</v>
      </c>
      <c r="D200" s="222"/>
      <c r="E200" s="222"/>
      <c r="F200" s="223">
        <v>0</v>
      </c>
      <c r="G200" s="223">
        <v>0</v>
      </c>
      <c r="H200" s="223">
        <v>0</v>
      </c>
      <c r="I200" s="223">
        <v>0</v>
      </c>
      <c r="J200" s="223">
        <v>0</v>
      </c>
      <c r="K200" s="223">
        <v>0</v>
      </c>
      <c r="L200" s="223">
        <v>0</v>
      </c>
      <c r="M200" s="223">
        <v>0</v>
      </c>
      <c r="N200" s="223">
        <v>0</v>
      </c>
      <c r="O200" s="224">
        <v>0</v>
      </c>
      <c r="P200" s="225"/>
      <c r="Q200" s="226"/>
    </row>
    <row r="201" spans="1:17" s="207" customFormat="1">
      <c r="A201" s="243" t="s">
        <v>827</v>
      </c>
      <c r="B201" s="244" t="s">
        <v>816</v>
      </c>
      <c r="C201" s="222">
        <f t="shared" si="50"/>
        <v>13000000</v>
      </c>
      <c r="D201" s="222"/>
      <c r="E201" s="222"/>
      <c r="F201" s="223">
        <v>13000000</v>
      </c>
      <c r="G201" s="223">
        <v>0</v>
      </c>
      <c r="H201" s="223">
        <v>0</v>
      </c>
      <c r="I201" s="223">
        <v>0</v>
      </c>
      <c r="J201" s="223">
        <v>0</v>
      </c>
      <c r="K201" s="223">
        <v>13000000</v>
      </c>
      <c r="L201" s="223">
        <v>0</v>
      </c>
      <c r="M201" s="223">
        <v>0</v>
      </c>
      <c r="N201" s="223">
        <v>0</v>
      </c>
      <c r="O201" s="224">
        <v>0</v>
      </c>
      <c r="P201" s="225"/>
      <c r="Q201" s="226"/>
    </row>
    <row r="202" spans="1:17" s="215" customFormat="1">
      <c r="A202" s="259" t="s">
        <v>828</v>
      </c>
      <c r="B202" s="260" t="s">
        <v>829</v>
      </c>
      <c r="C202" s="217">
        <f t="shared" si="50"/>
        <v>1000000</v>
      </c>
      <c r="D202" s="217"/>
      <c r="E202" s="217"/>
      <c r="F202" s="218">
        <v>1000000</v>
      </c>
      <c r="G202" s="218">
        <v>0</v>
      </c>
      <c r="H202" s="218">
        <v>0</v>
      </c>
      <c r="I202" s="218">
        <v>0</v>
      </c>
      <c r="J202" s="218">
        <v>0</v>
      </c>
      <c r="K202" s="218">
        <v>1000000</v>
      </c>
      <c r="L202" s="218">
        <f t="shared" ref="L202:O202" si="62">SUM(L203:L204)</f>
        <v>0</v>
      </c>
      <c r="M202" s="218">
        <f t="shared" si="62"/>
        <v>0</v>
      </c>
      <c r="N202" s="218">
        <f t="shared" si="62"/>
        <v>0</v>
      </c>
      <c r="O202" s="219">
        <f t="shared" si="62"/>
        <v>0</v>
      </c>
      <c r="P202" s="213"/>
      <c r="Q202" s="220">
        <f>SUM(Q203:Q204)</f>
        <v>0</v>
      </c>
    </row>
    <row r="203" spans="1:17" s="207" customFormat="1">
      <c r="A203" s="242" t="s">
        <v>830</v>
      </c>
      <c r="B203" s="247" t="s">
        <v>814</v>
      </c>
      <c r="C203" s="222">
        <f t="shared" si="50"/>
        <v>0</v>
      </c>
      <c r="D203" s="222"/>
      <c r="E203" s="222"/>
      <c r="F203" s="223">
        <v>0</v>
      </c>
      <c r="G203" s="223">
        <v>0</v>
      </c>
      <c r="H203" s="223">
        <v>0</v>
      </c>
      <c r="I203" s="223">
        <v>0</v>
      </c>
      <c r="J203" s="223">
        <v>0</v>
      </c>
      <c r="K203" s="223">
        <v>0</v>
      </c>
      <c r="L203" s="223">
        <v>0</v>
      </c>
      <c r="M203" s="223">
        <v>0</v>
      </c>
      <c r="N203" s="223">
        <v>0</v>
      </c>
      <c r="O203" s="224">
        <v>0</v>
      </c>
      <c r="P203" s="225"/>
      <c r="Q203" s="226"/>
    </row>
    <row r="204" spans="1:17" s="207" customFormat="1">
      <c r="A204" s="242" t="s">
        <v>831</v>
      </c>
      <c r="B204" s="247" t="s">
        <v>816</v>
      </c>
      <c r="C204" s="222">
        <f t="shared" si="50"/>
        <v>1000000</v>
      </c>
      <c r="D204" s="222"/>
      <c r="E204" s="222"/>
      <c r="F204" s="223">
        <v>1000000</v>
      </c>
      <c r="G204" s="223">
        <v>0</v>
      </c>
      <c r="H204" s="223">
        <v>0</v>
      </c>
      <c r="I204" s="223">
        <v>0</v>
      </c>
      <c r="J204" s="223">
        <v>0</v>
      </c>
      <c r="K204" s="223">
        <v>1000000</v>
      </c>
      <c r="L204" s="223">
        <v>0</v>
      </c>
      <c r="M204" s="223">
        <v>0</v>
      </c>
      <c r="N204" s="223">
        <v>0</v>
      </c>
      <c r="O204" s="224">
        <v>0</v>
      </c>
      <c r="P204" s="225"/>
      <c r="Q204" s="226"/>
    </row>
    <row r="205" spans="1:17" s="215" customFormat="1">
      <c r="A205" s="259" t="s">
        <v>832</v>
      </c>
      <c r="B205" s="260" t="s">
        <v>833</v>
      </c>
      <c r="C205" s="217">
        <f t="shared" si="50"/>
        <v>9974622.1600000001</v>
      </c>
      <c r="D205" s="217"/>
      <c r="E205" s="217"/>
      <c r="F205" s="218">
        <v>9900000</v>
      </c>
      <c r="G205" s="218">
        <v>74622.16</v>
      </c>
      <c r="H205" s="218">
        <v>0</v>
      </c>
      <c r="I205" s="218">
        <v>0</v>
      </c>
      <c r="J205" s="218">
        <v>0</v>
      </c>
      <c r="K205" s="218">
        <v>9974622.1600000001</v>
      </c>
      <c r="L205" s="218">
        <f t="shared" ref="L205:O205" si="63">L206+L209+L225+L230</f>
        <v>0</v>
      </c>
      <c r="M205" s="218">
        <f t="shared" si="63"/>
        <v>0</v>
      </c>
      <c r="N205" s="218">
        <f t="shared" si="63"/>
        <v>0</v>
      </c>
      <c r="O205" s="219">
        <f t="shared" si="63"/>
        <v>0</v>
      </c>
      <c r="P205" s="213"/>
      <c r="Q205" s="220">
        <f>Q206+Q209+Q225+Q230</f>
        <v>0</v>
      </c>
    </row>
    <row r="206" spans="1:17" s="215" customFormat="1">
      <c r="A206" s="259" t="s">
        <v>834</v>
      </c>
      <c r="B206" s="260" t="s">
        <v>835</v>
      </c>
      <c r="C206" s="217">
        <f t="shared" si="50"/>
        <v>200000</v>
      </c>
      <c r="D206" s="217"/>
      <c r="E206" s="217"/>
      <c r="F206" s="218">
        <v>200000</v>
      </c>
      <c r="G206" s="218">
        <v>0</v>
      </c>
      <c r="H206" s="218">
        <v>0</v>
      </c>
      <c r="I206" s="218">
        <v>0</v>
      </c>
      <c r="J206" s="218">
        <v>0</v>
      </c>
      <c r="K206" s="218">
        <v>200000</v>
      </c>
      <c r="L206" s="218">
        <f t="shared" ref="L206:O206" si="64">SUM(L207:L208)</f>
        <v>0</v>
      </c>
      <c r="M206" s="218">
        <f t="shared" si="64"/>
        <v>0</v>
      </c>
      <c r="N206" s="218">
        <f t="shared" si="64"/>
        <v>0</v>
      </c>
      <c r="O206" s="219">
        <f t="shared" si="64"/>
        <v>0</v>
      </c>
      <c r="P206" s="213"/>
      <c r="Q206" s="220">
        <f>SUM(Q207:Q208)</f>
        <v>0</v>
      </c>
    </row>
    <row r="207" spans="1:17" s="207" customFormat="1">
      <c r="A207" s="242" t="s">
        <v>836</v>
      </c>
      <c r="B207" s="247" t="s">
        <v>837</v>
      </c>
      <c r="C207" s="222">
        <f t="shared" si="50"/>
        <v>100000</v>
      </c>
      <c r="D207" s="222"/>
      <c r="E207" s="222"/>
      <c r="F207" s="223">
        <v>100000</v>
      </c>
      <c r="G207" s="223">
        <v>0</v>
      </c>
      <c r="H207" s="223">
        <v>0</v>
      </c>
      <c r="I207" s="223">
        <v>0</v>
      </c>
      <c r="J207" s="223">
        <v>0</v>
      </c>
      <c r="K207" s="223">
        <v>100000</v>
      </c>
      <c r="L207" s="223">
        <v>0</v>
      </c>
      <c r="M207" s="223">
        <v>0</v>
      </c>
      <c r="N207" s="223">
        <v>0</v>
      </c>
      <c r="O207" s="224">
        <v>0</v>
      </c>
      <c r="P207" s="225"/>
      <c r="Q207" s="226"/>
    </row>
    <row r="208" spans="1:17" s="207" customFormat="1">
      <c r="A208" s="242" t="s">
        <v>838</v>
      </c>
      <c r="B208" s="247" t="s">
        <v>839</v>
      </c>
      <c r="C208" s="222">
        <f t="shared" si="50"/>
        <v>100000</v>
      </c>
      <c r="D208" s="222"/>
      <c r="E208" s="222"/>
      <c r="F208" s="223">
        <v>100000</v>
      </c>
      <c r="G208" s="223">
        <v>0</v>
      </c>
      <c r="H208" s="223">
        <v>0</v>
      </c>
      <c r="I208" s="223">
        <v>0</v>
      </c>
      <c r="J208" s="223">
        <v>0</v>
      </c>
      <c r="K208" s="223">
        <v>100000</v>
      </c>
      <c r="L208" s="223">
        <v>0</v>
      </c>
      <c r="M208" s="223">
        <v>0</v>
      </c>
      <c r="N208" s="223">
        <v>0</v>
      </c>
      <c r="O208" s="224">
        <v>0</v>
      </c>
      <c r="P208" s="225"/>
      <c r="Q208" s="226"/>
    </row>
    <row r="209" spans="1:17" s="215" customFormat="1">
      <c r="A209" s="259" t="s">
        <v>840</v>
      </c>
      <c r="B209" s="260" t="s">
        <v>841</v>
      </c>
      <c r="C209" s="217">
        <f t="shared" si="50"/>
        <v>8874622.1600000001</v>
      </c>
      <c r="D209" s="217"/>
      <c r="E209" s="217"/>
      <c r="F209" s="218">
        <v>8800000</v>
      </c>
      <c r="G209" s="218">
        <v>74622.16</v>
      </c>
      <c r="H209" s="218">
        <v>0</v>
      </c>
      <c r="I209" s="218">
        <v>0</v>
      </c>
      <c r="J209" s="218">
        <v>0</v>
      </c>
      <c r="K209" s="218">
        <v>8874622.1600000001</v>
      </c>
      <c r="L209" s="218">
        <f t="shared" ref="L209:O209" si="65">SUM(L210+L215+SUM(L222:L224))</f>
        <v>0</v>
      </c>
      <c r="M209" s="218">
        <f t="shared" si="65"/>
        <v>0</v>
      </c>
      <c r="N209" s="218">
        <f t="shared" si="65"/>
        <v>0</v>
      </c>
      <c r="O209" s="219">
        <f t="shared" si="65"/>
        <v>0</v>
      </c>
      <c r="P209" s="213"/>
      <c r="Q209" s="220">
        <f>SUM(Q210+Q215+SUM(Q222:Q224))</f>
        <v>0</v>
      </c>
    </row>
    <row r="210" spans="1:17" s="215" customFormat="1">
      <c r="A210" s="259" t="s">
        <v>842</v>
      </c>
      <c r="B210" s="260" t="s">
        <v>843</v>
      </c>
      <c r="C210" s="217">
        <f t="shared" si="50"/>
        <v>1900000</v>
      </c>
      <c r="D210" s="217"/>
      <c r="E210" s="217"/>
      <c r="F210" s="218">
        <v>1900000</v>
      </c>
      <c r="G210" s="218">
        <v>0</v>
      </c>
      <c r="H210" s="218">
        <v>0</v>
      </c>
      <c r="I210" s="218">
        <v>0</v>
      </c>
      <c r="J210" s="218">
        <v>0</v>
      </c>
      <c r="K210" s="218">
        <v>1900000</v>
      </c>
      <c r="L210" s="218">
        <f t="shared" ref="L210:O210" si="66">SUM(L211:L214)</f>
        <v>0</v>
      </c>
      <c r="M210" s="218">
        <f t="shared" si="66"/>
        <v>0</v>
      </c>
      <c r="N210" s="218">
        <f t="shared" si="66"/>
        <v>0</v>
      </c>
      <c r="O210" s="219">
        <f t="shared" si="66"/>
        <v>0</v>
      </c>
      <c r="P210" s="213"/>
      <c r="Q210" s="220">
        <f>SUM(Q211:Q214)</f>
        <v>0</v>
      </c>
    </row>
    <row r="211" spans="1:17" s="207" customFormat="1">
      <c r="A211" s="242" t="s">
        <v>844</v>
      </c>
      <c r="B211" s="247" t="s">
        <v>845</v>
      </c>
      <c r="C211" s="222">
        <f t="shared" si="50"/>
        <v>600000</v>
      </c>
      <c r="D211" s="222"/>
      <c r="E211" s="222"/>
      <c r="F211" s="223">
        <v>600000</v>
      </c>
      <c r="G211" s="223">
        <v>0</v>
      </c>
      <c r="H211" s="223">
        <v>0</v>
      </c>
      <c r="I211" s="223">
        <v>0</v>
      </c>
      <c r="J211" s="223">
        <v>0</v>
      </c>
      <c r="K211" s="223">
        <v>600000</v>
      </c>
      <c r="L211" s="223">
        <v>0</v>
      </c>
      <c r="M211" s="223">
        <v>0</v>
      </c>
      <c r="N211" s="223">
        <v>0</v>
      </c>
      <c r="O211" s="224">
        <v>0</v>
      </c>
      <c r="P211" s="225"/>
      <c r="Q211" s="226"/>
    </row>
    <row r="212" spans="1:17" s="207" customFormat="1">
      <c r="A212" s="242" t="s">
        <v>846</v>
      </c>
      <c r="B212" s="247" t="s">
        <v>847</v>
      </c>
      <c r="C212" s="222">
        <f t="shared" si="50"/>
        <v>600000</v>
      </c>
      <c r="D212" s="222"/>
      <c r="E212" s="222"/>
      <c r="F212" s="223">
        <v>600000</v>
      </c>
      <c r="G212" s="223">
        <v>0</v>
      </c>
      <c r="H212" s="223">
        <v>0</v>
      </c>
      <c r="I212" s="223">
        <v>0</v>
      </c>
      <c r="J212" s="223">
        <v>0</v>
      </c>
      <c r="K212" s="223">
        <v>600000</v>
      </c>
      <c r="L212" s="223">
        <v>0</v>
      </c>
      <c r="M212" s="223">
        <v>0</v>
      </c>
      <c r="N212" s="223">
        <v>0</v>
      </c>
      <c r="O212" s="224">
        <v>0</v>
      </c>
      <c r="P212" s="225"/>
      <c r="Q212" s="226"/>
    </row>
    <row r="213" spans="1:17" s="207" customFormat="1">
      <c r="A213" s="242" t="s">
        <v>848</v>
      </c>
      <c r="B213" s="247" t="s">
        <v>849</v>
      </c>
      <c r="C213" s="222">
        <f t="shared" si="50"/>
        <v>200000</v>
      </c>
      <c r="D213" s="222"/>
      <c r="E213" s="222"/>
      <c r="F213" s="223">
        <v>200000</v>
      </c>
      <c r="G213" s="223">
        <v>0</v>
      </c>
      <c r="H213" s="223">
        <v>0</v>
      </c>
      <c r="I213" s="223">
        <v>0</v>
      </c>
      <c r="J213" s="223">
        <v>0</v>
      </c>
      <c r="K213" s="223">
        <v>200000</v>
      </c>
      <c r="L213" s="223">
        <v>0</v>
      </c>
      <c r="M213" s="223">
        <v>0</v>
      </c>
      <c r="N213" s="223">
        <v>0</v>
      </c>
      <c r="O213" s="224">
        <v>0</v>
      </c>
      <c r="P213" s="225"/>
      <c r="Q213" s="226"/>
    </row>
    <row r="214" spans="1:17" s="207" customFormat="1">
      <c r="A214" s="242" t="s">
        <v>850</v>
      </c>
      <c r="B214" s="247" t="s">
        <v>851</v>
      </c>
      <c r="C214" s="222">
        <f t="shared" si="50"/>
        <v>500000</v>
      </c>
      <c r="D214" s="222"/>
      <c r="E214" s="222"/>
      <c r="F214" s="223">
        <v>500000</v>
      </c>
      <c r="G214" s="223">
        <v>0</v>
      </c>
      <c r="H214" s="223">
        <v>0</v>
      </c>
      <c r="I214" s="223">
        <v>0</v>
      </c>
      <c r="J214" s="223">
        <v>0</v>
      </c>
      <c r="K214" s="223">
        <v>500000</v>
      </c>
      <c r="L214" s="223">
        <v>0</v>
      </c>
      <c r="M214" s="223">
        <v>0</v>
      </c>
      <c r="N214" s="223">
        <v>0</v>
      </c>
      <c r="O214" s="224">
        <v>0</v>
      </c>
      <c r="P214" s="225"/>
      <c r="Q214" s="226"/>
    </row>
    <row r="215" spans="1:17" s="215" customFormat="1">
      <c r="A215" s="259" t="s">
        <v>852</v>
      </c>
      <c r="B215" s="260" t="s">
        <v>853</v>
      </c>
      <c r="C215" s="217">
        <f t="shared" si="50"/>
        <v>1900000</v>
      </c>
      <c r="D215" s="217"/>
      <c r="E215" s="217"/>
      <c r="F215" s="218">
        <v>1900000</v>
      </c>
      <c r="G215" s="218">
        <v>0</v>
      </c>
      <c r="H215" s="218">
        <v>0</v>
      </c>
      <c r="I215" s="218">
        <v>0</v>
      </c>
      <c r="J215" s="218">
        <v>0</v>
      </c>
      <c r="K215" s="218">
        <v>1900000</v>
      </c>
      <c r="L215" s="218">
        <f t="shared" ref="L215:O215" si="67">SUM(L216:L221)</f>
        <v>0</v>
      </c>
      <c r="M215" s="218">
        <f t="shared" si="67"/>
        <v>0</v>
      </c>
      <c r="N215" s="218">
        <f t="shared" si="67"/>
        <v>0</v>
      </c>
      <c r="O215" s="219">
        <f t="shared" si="67"/>
        <v>0</v>
      </c>
      <c r="P215" s="213"/>
      <c r="Q215" s="220">
        <f>SUM(Q216:Q221)</f>
        <v>0</v>
      </c>
    </row>
    <row r="216" spans="1:17" s="207" customFormat="1">
      <c r="A216" s="242" t="s">
        <v>854</v>
      </c>
      <c r="B216" s="247" t="s">
        <v>855</v>
      </c>
      <c r="C216" s="222">
        <f t="shared" ref="C216:C279" si="68">K216</f>
        <v>100000</v>
      </c>
      <c r="D216" s="222"/>
      <c r="E216" s="222"/>
      <c r="F216" s="223">
        <v>100000</v>
      </c>
      <c r="G216" s="223">
        <v>0</v>
      </c>
      <c r="H216" s="223">
        <v>0</v>
      </c>
      <c r="I216" s="223">
        <v>0</v>
      </c>
      <c r="J216" s="223">
        <v>0</v>
      </c>
      <c r="K216" s="223">
        <v>100000</v>
      </c>
      <c r="L216" s="223">
        <v>0</v>
      </c>
      <c r="M216" s="223">
        <v>0</v>
      </c>
      <c r="N216" s="223">
        <v>0</v>
      </c>
      <c r="O216" s="224">
        <v>0</v>
      </c>
      <c r="P216" s="225"/>
      <c r="Q216" s="226"/>
    </row>
    <row r="217" spans="1:17" s="207" customFormat="1">
      <c r="A217" s="242" t="s">
        <v>856</v>
      </c>
      <c r="B217" s="247" t="s">
        <v>857</v>
      </c>
      <c r="C217" s="222">
        <f t="shared" si="68"/>
        <v>100000</v>
      </c>
      <c r="D217" s="222"/>
      <c r="E217" s="222"/>
      <c r="F217" s="223">
        <v>100000</v>
      </c>
      <c r="G217" s="223">
        <v>0</v>
      </c>
      <c r="H217" s="223">
        <v>0</v>
      </c>
      <c r="I217" s="223">
        <v>0</v>
      </c>
      <c r="J217" s="223">
        <v>0</v>
      </c>
      <c r="K217" s="223">
        <v>100000</v>
      </c>
      <c r="L217" s="223">
        <v>0</v>
      </c>
      <c r="M217" s="223">
        <v>0</v>
      </c>
      <c r="N217" s="223">
        <v>0</v>
      </c>
      <c r="O217" s="224">
        <v>0</v>
      </c>
      <c r="P217" s="225"/>
      <c r="Q217" s="226"/>
    </row>
    <row r="218" spans="1:17" s="207" customFormat="1">
      <c r="A218" s="242" t="s">
        <v>858</v>
      </c>
      <c r="B218" s="247" t="s">
        <v>859</v>
      </c>
      <c r="C218" s="222">
        <f t="shared" si="68"/>
        <v>100000</v>
      </c>
      <c r="D218" s="222"/>
      <c r="E218" s="222"/>
      <c r="F218" s="223">
        <v>100000</v>
      </c>
      <c r="G218" s="223">
        <v>0</v>
      </c>
      <c r="H218" s="223">
        <v>0</v>
      </c>
      <c r="I218" s="223">
        <v>0</v>
      </c>
      <c r="J218" s="223">
        <v>0</v>
      </c>
      <c r="K218" s="223">
        <v>100000</v>
      </c>
      <c r="L218" s="223">
        <v>0</v>
      </c>
      <c r="M218" s="223">
        <v>0</v>
      </c>
      <c r="N218" s="223">
        <v>0</v>
      </c>
      <c r="O218" s="224">
        <v>0</v>
      </c>
      <c r="P218" s="225"/>
      <c r="Q218" s="226"/>
    </row>
    <row r="219" spans="1:17" s="207" customFormat="1">
      <c r="A219" s="242" t="s">
        <v>860</v>
      </c>
      <c r="B219" s="247" t="s">
        <v>847</v>
      </c>
      <c r="C219" s="222">
        <f t="shared" si="68"/>
        <v>600000</v>
      </c>
      <c r="D219" s="222"/>
      <c r="E219" s="222"/>
      <c r="F219" s="223">
        <v>600000</v>
      </c>
      <c r="G219" s="223">
        <v>0</v>
      </c>
      <c r="H219" s="223">
        <v>0</v>
      </c>
      <c r="I219" s="223">
        <v>0</v>
      </c>
      <c r="J219" s="223">
        <v>0</v>
      </c>
      <c r="K219" s="223">
        <v>600000</v>
      </c>
      <c r="L219" s="223">
        <v>0</v>
      </c>
      <c r="M219" s="223">
        <v>0</v>
      </c>
      <c r="N219" s="223">
        <v>0</v>
      </c>
      <c r="O219" s="224">
        <v>0</v>
      </c>
      <c r="P219" s="225"/>
      <c r="Q219" s="226"/>
    </row>
    <row r="220" spans="1:17" s="207" customFormat="1">
      <c r="A220" s="242" t="s">
        <v>861</v>
      </c>
      <c r="B220" s="247" t="s">
        <v>480</v>
      </c>
      <c r="C220" s="222">
        <f t="shared" si="68"/>
        <v>500000</v>
      </c>
      <c r="D220" s="222"/>
      <c r="E220" s="222"/>
      <c r="F220" s="223">
        <v>500000</v>
      </c>
      <c r="G220" s="223">
        <v>0</v>
      </c>
      <c r="H220" s="223">
        <v>0</v>
      </c>
      <c r="I220" s="223">
        <v>0</v>
      </c>
      <c r="J220" s="223">
        <v>0</v>
      </c>
      <c r="K220" s="223">
        <v>500000</v>
      </c>
      <c r="L220" s="223">
        <v>0</v>
      </c>
      <c r="M220" s="223">
        <v>0</v>
      </c>
      <c r="N220" s="223">
        <v>0</v>
      </c>
      <c r="O220" s="224">
        <v>0</v>
      </c>
      <c r="P220" s="225"/>
      <c r="Q220" s="226"/>
    </row>
    <row r="221" spans="1:17" s="207" customFormat="1">
      <c r="A221" s="242" t="s">
        <v>862</v>
      </c>
      <c r="B221" s="247" t="s">
        <v>863</v>
      </c>
      <c r="C221" s="222">
        <f t="shared" si="68"/>
        <v>500000</v>
      </c>
      <c r="D221" s="222"/>
      <c r="E221" s="222"/>
      <c r="F221" s="223">
        <v>500000</v>
      </c>
      <c r="G221" s="223">
        <v>0</v>
      </c>
      <c r="H221" s="223">
        <v>0</v>
      </c>
      <c r="I221" s="223">
        <v>0</v>
      </c>
      <c r="J221" s="223">
        <v>0</v>
      </c>
      <c r="K221" s="223">
        <v>500000</v>
      </c>
      <c r="L221" s="223">
        <v>0</v>
      </c>
      <c r="M221" s="223">
        <v>0</v>
      </c>
      <c r="N221" s="223">
        <v>0</v>
      </c>
      <c r="O221" s="224">
        <v>0</v>
      </c>
      <c r="P221" s="225"/>
      <c r="Q221" s="226"/>
    </row>
    <row r="222" spans="1:17" s="207" customFormat="1">
      <c r="A222" s="242" t="s">
        <v>864</v>
      </c>
      <c r="B222" s="247" t="s">
        <v>865</v>
      </c>
      <c r="C222" s="222">
        <f t="shared" si="68"/>
        <v>2000000</v>
      </c>
      <c r="D222" s="222"/>
      <c r="E222" s="222"/>
      <c r="F222" s="223">
        <v>2000000</v>
      </c>
      <c r="G222" s="223">
        <v>0</v>
      </c>
      <c r="H222" s="223">
        <v>0</v>
      </c>
      <c r="I222" s="223">
        <v>0</v>
      </c>
      <c r="J222" s="223">
        <v>0</v>
      </c>
      <c r="K222" s="223">
        <v>2000000</v>
      </c>
      <c r="L222" s="223">
        <v>0</v>
      </c>
      <c r="M222" s="223">
        <v>0</v>
      </c>
      <c r="N222" s="223">
        <v>0</v>
      </c>
      <c r="O222" s="224">
        <v>0</v>
      </c>
      <c r="P222" s="225"/>
      <c r="Q222" s="226"/>
    </row>
    <row r="223" spans="1:17" s="207" customFormat="1">
      <c r="A223" s="242" t="s">
        <v>866</v>
      </c>
      <c r="B223" s="247" t="s">
        <v>133</v>
      </c>
      <c r="C223" s="222">
        <f t="shared" si="68"/>
        <v>3074622.16</v>
      </c>
      <c r="D223" s="222"/>
      <c r="E223" s="222"/>
      <c r="F223" s="223">
        <v>3000000</v>
      </c>
      <c r="G223" s="223">
        <v>74622.16</v>
      </c>
      <c r="H223" s="223">
        <v>0</v>
      </c>
      <c r="I223" s="223">
        <v>0</v>
      </c>
      <c r="J223" s="223">
        <v>0</v>
      </c>
      <c r="K223" s="223">
        <v>3074622.16</v>
      </c>
      <c r="L223" s="223">
        <v>0</v>
      </c>
      <c r="M223" s="223">
        <v>0</v>
      </c>
      <c r="N223" s="223">
        <v>0</v>
      </c>
      <c r="O223" s="224">
        <v>0</v>
      </c>
      <c r="P223" s="225"/>
      <c r="Q223" s="226"/>
    </row>
    <row r="224" spans="1:17" s="207" customFormat="1">
      <c r="A224" s="242" t="s">
        <v>867</v>
      </c>
      <c r="B224" s="247" t="s">
        <v>868</v>
      </c>
      <c r="C224" s="222">
        <f t="shared" si="68"/>
        <v>0</v>
      </c>
      <c r="D224" s="222"/>
      <c r="E224" s="222"/>
      <c r="F224" s="223">
        <v>0</v>
      </c>
      <c r="G224" s="223">
        <v>0</v>
      </c>
      <c r="H224" s="223">
        <v>0</v>
      </c>
      <c r="I224" s="223">
        <v>0</v>
      </c>
      <c r="J224" s="223">
        <v>0</v>
      </c>
      <c r="K224" s="223">
        <v>0</v>
      </c>
      <c r="L224" s="223">
        <v>0</v>
      </c>
      <c r="M224" s="223">
        <v>0</v>
      </c>
      <c r="N224" s="223">
        <v>0</v>
      </c>
      <c r="O224" s="224">
        <v>0</v>
      </c>
      <c r="P224" s="225"/>
      <c r="Q224" s="226"/>
    </row>
    <row r="225" spans="1:17" s="215" customFormat="1">
      <c r="A225" s="259" t="s">
        <v>869</v>
      </c>
      <c r="B225" s="260" t="s">
        <v>870</v>
      </c>
      <c r="C225" s="217">
        <f t="shared" si="68"/>
        <v>400000</v>
      </c>
      <c r="D225" s="217"/>
      <c r="E225" s="217"/>
      <c r="F225" s="218">
        <v>400000</v>
      </c>
      <c r="G225" s="218">
        <v>0</v>
      </c>
      <c r="H225" s="218">
        <v>0</v>
      </c>
      <c r="I225" s="218">
        <v>0</v>
      </c>
      <c r="J225" s="218">
        <v>0</v>
      </c>
      <c r="K225" s="218">
        <v>400000</v>
      </c>
      <c r="L225" s="218">
        <f t="shared" ref="L225:O225" si="69">SUM(L226:L229)</f>
        <v>0</v>
      </c>
      <c r="M225" s="218">
        <f t="shared" si="69"/>
        <v>0</v>
      </c>
      <c r="N225" s="218">
        <f t="shared" si="69"/>
        <v>0</v>
      </c>
      <c r="O225" s="219">
        <f t="shared" si="69"/>
        <v>0</v>
      </c>
      <c r="P225" s="213"/>
      <c r="Q225" s="220">
        <f>SUM(Q226:Q229)</f>
        <v>0</v>
      </c>
    </row>
    <row r="226" spans="1:17" s="207" customFormat="1">
      <c r="A226" s="242" t="s">
        <v>871</v>
      </c>
      <c r="B226" s="247" t="s">
        <v>872</v>
      </c>
      <c r="C226" s="222">
        <f t="shared" si="68"/>
        <v>100000</v>
      </c>
      <c r="D226" s="222"/>
      <c r="E226" s="222"/>
      <c r="F226" s="223">
        <v>100000</v>
      </c>
      <c r="G226" s="223">
        <v>0</v>
      </c>
      <c r="H226" s="223">
        <v>0</v>
      </c>
      <c r="I226" s="223">
        <v>0</v>
      </c>
      <c r="J226" s="223">
        <v>0</v>
      </c>
      <c r="K226" s="223">
        <v>100000</v>
      </c>
      <c r="L226" s="223">
        <v>0</v>
      </c>
      <c r="M226" s="223">
        <v>0</v>
      </c>
      <c r="N226" s="223">
        <v>0</v>
      </c>
      <c r="O226" s="224">
        <v>0</v>
      </c>
      <c r="P226" s="225"/>
      <c r="Q226" s="226"/>
    </row>
    <row r="227" spans="1:17" s="207" customFormat="1">
      <c r="A227" s="242" t="s">
        <v>873</v>
      </c>
      <c r="B227" s="247" t="s">
        <v>874</v>
      </c>
      <c r="C227" s="222">
        <f t="shared" si="68"/>
        <v>100000</v>
      </c>
      <c r="D227" s="222"/>
      <c r="E227" s="222"/>
      <c r="F227" s="223">
        <v>100000</v>
      </c>
      <c r="G227" s="223">
        <v>0</v>
      </c>
      <c r="H227" s="223">
        <v>0</v>
      </c>
      <c r="I227" s="223">
        <v>0</v>
      </c>
      <c r="J227" s="223">
        <v>0</v>
      </c>
      <c r="K227" s="223">
        <v>100000</v>
      </c>
      <c r="L227" s="223">
        <v>0</v>
      </c>
      <c r="M227" s="223">
        <v>0</v>
      </c>
      <c r="N227" s="223">
        <v>0</v>
      </c>
      <c r="O227" s="224">
        <v>0</v>
      </c>
      <c r="P227" s="225"/>
      <c r="Q227" s="226"/>
    </row>
    <row r="228" spans="1:17" s="207" customFormat="1">
      <c r="A228" s="242" t="s">
        <v>875</v>
      </c>
      <c r="B228" s="247" t="s">
        <v>876</v>
      </c>
      <c r="C228" s="222">
        <f t="shared" si="68"/>
        <v>100000</v>
      </c>
      <c r="D228" s="222"/>
      <c r="E228" s="222"/>
      <c r="F228" s="223">
        <v>100000</v>
      </c>
      <c r="G228" s="223">
        <v>0</v>
      </c>
      <c r="H228" s="223">
        <v>0</v>
      </c>
      <c r="I228" s="223">
        <v>0</v>
      </c>
      <c r="J228" s="223">
        <v>0</v>
      </c>
      <c r="K228" s="223">
        <v>100000</v>
      </c>
      <c r="L228" s="223">
        <v>0</v>
      </c>
      <c r="M228" s="223">
        <v>0</v>
      </c>
      <c r="N228" s="223">
        <v>0</v>
      </c>
      <c r="O228" s="224">
        <v>0</v>
      </c>
      <c r="P228" s="225"/>
      <c r="Q228" s="226"/>
    </row>
    <row r="229" spans="1:17" s="207" customFormat="1">
      <c r="A229" s="242" t="s">
        <v>877</v>
      </c>
      <c r="B229" s="247" t="s">
        <v>878</v>
      </c>
      <c r="C229" s="222">
        <f t="shared" si="68"/>
        <v>100000</v>
      </c>
      <c r="D229" s="222"/>
      <c r="E229" s="222"/>
      <c r="F229" s="223">
        <v>100000</v>
      </c>
      <c r="G229" s="223">
        <v>0</v>
      </c>
      <c r="H229" s="223">
        <v>0</v>
      </c>
      <c r="I229" s="223">
        <v>0</v>
      </c>
      <c r="J229" s="223">
        <v>0</v>
      </c>
      <c r="K229" s="223">
        <v>100000</v>
      </c>
      <c r="L229" s="223">
        <v>0</v>
      </c>
      <c r="M229" s="223">
        <v>0</v>
      </c>
      <c r="N229" s="223">
        <v>0</v>
      </c>
      <c r="O229" s="224">
        <v>0</v>
      </c>
      <c r="P229" s="225"/>
      <c r="Q229" s="226"/>
    </row>
    <row r="230" spans="1:17" s="215" customFormat="1">
      <c r="A230" s="259" t="s">
        <v>879</v>
      </c>
      <c r="B230" s="260" t="s">
        <v>880</v>
      </c>
      <c r="C230" s="217">
        <f t="shared" si="68"/>
        <v>500000</v>
      </c>
      <c r="D230" s="217"/>
      <c r="E230" s="217"/>
      <c r="F230" s="218">
        <v>500000</v>
      </c>
      <c r="G230" s="218">
        <v>0</v>
      </c>
      <c r="H230" s="218">
        <v>0</v>
      </c>
      <c r="I230" s="218">
        <v>0</v>
      </c>
      <c r="J230" s="218">
        <v>0</v>
      </c>
      <c r="K230" s="218">
        <v>500000</v>
      </c>
      <c r="L230" s="218">
        <f t="shared" ref="L230:O230" si="70">L231</f>
        <v>0</v>
      </c>
      <c r="M230" s="218">
        <f t="shared" si="70"/>
        <v>0</v>
      </c>
      <c r="N230" s="218">
        <f t="shared" si="70"/>
        <v>0</v>
      </c>
      <c r="O230" s="219">
        <f t="shared" si="70"/>
        <v>0</v>
      </c>
      <c r="P230" s="213"/>
      <c r="Q230" s="220">
        <f>Q231</f>
        <v>0</v>
      </c>
    </row>
    <row r="231" spans="1:17" s="207" customFormat="1">
      <c r="A231" s="242" t="s">
        <v>881</v>
      </c>
      <c r="B231" s="247" t="s">
        <v>882</v>
      </c>
      <c r="C231" s="222">
        <f t="shared" si="68"/>
        <v>500000</v>
      </c>
      <c r="D231" s="222"/>
      <c r="E231" s="222"/>
      <c r="F231" s="223">
        <v>500000</v>
      </c>
      <c r="G231" s="223">
        <v>0</v>
      </c>
      <c r="H231" s="223">
        <v>0</v>
      </c>
      <c r="I231" s="223">
        <v>0</v>
      </c>
      <c r="J231" s="223">
        <v>0</v>
      </c>
      <c r="K231" s="223">
        <v>500000</v>
      </c>
      <c r="L231" s="223">
        <v>0</v>
      </c>
      <c r="M231" s="223">
        <v>0</v>
      </c>
      <c r="N231" s="223">
        <v>0</v>
      </c>
      <c r="O231" s="224">
        <v>0</v>
      </c>
      <c r="P231" s="225"/>
      <c r="Q231" s="226"/>
    </row>
    <row r="232" spans="1:17" s="215" customFormat="1">
      <c r="A232" s="259" t="s">
        <v>883</v>
      </c>
      <c r="B232" s="260" t="s">
        <v>884</v>
      </c>
      <c r="C232" s="217">
        <f t="shared" si="68"/>
        <v>6600000</v>
      </c>
      <c r="D232" s="217"/>
      <c r="E232" s="217"/>
      <c r="F232" s="218">
        <v>6600000</v>
      </c>
      <c r="G232" s="218">
        <v>0</v>
      </c>
      <c r="H232" s="218">
        <v>0</v>
      </c>
      <c r="I232" s="218">
        <v>0</v>
      </c>
      <c r="J232" s="218">
        <v>0</v>
      </c>
      <c r="K232" s="218">
        <v>6600000</v>
      </c>
      <c r="L232" s="218">
        <f t="shared" ref="L232:O232" si="71">SUM(L233:L235)</f>
        <v>0</v>
      </c>
      <c r="M232" s="218">
        <f t="shared" si="71"/>
        <v>0</v>
      </c>
      <c r="N232" s="218">
        <f t="shared" si="71"/>
        <v>0</v>
      </c>
      <c r="O232" s="219">
        <f t="shared" si="71"/>
        <v>0</v>
      </c>
      <c r="P232" s="213"/>
      <c r="Q232" s="220">
        <f>SUM(Q233:Q235)</f>
        <v>0</v>
      </c>
    </row>
    <row r="233" spans="1:17" s="207" customFormat="1">
      <c r="A233" s="242" t="s">
        <v>885</v>
      </c>
      <c r="B233" s="247" t="s">
        <v>886</v>
      </c>
      <c r="C233" s="222">
        <f t="shared" si="68"/>
        <v>0</v>
      </c>
      <c r="D233" s="222"/>
      <c r="E233" s="222"/>
      <c r="F233" s="223">
        <v>0</v>
      </c>
      <c r="G233" s="223">
        <v>0</v>
      </c>
      <c r="H233" s="223">
        <v>0</v>
      </c>
      <c r="I233" s="223">
        <v>0</v>
      </c>
      <c r="J233" s="223">
        <v>0</v>
      </c>
      <c r="K233" s="223">
        <v>0</v>
      </c>
      <c r="L233" s="223">
        <v>0</v>
      </c>
      <c r="M233" s="223">
        <v>0</v>
      </c>
      <c r="N233" s="223">
        <v>0</v>
      </c>
      <c r="O233" s="224">
        <v>0</v>
      </c>
      <c r="P233" s="225"/>
      <c r="Q233" s="226"/>
    </row>
    <row r="234" spans="1:17" s="207" customFormat="1">
      <c r="A234" s="242" t="s">
        <v>887</v>
      </c>
      <c r="B234" s="247" t="s">
        <v>814</v>
      </c>
      <c r="C234" s="222">
        <f t="shared" si="68"/>
        <v>6600000</v>
      </c>
      <c r="D234" s="222"/>
      <c r="E234" s="222"/>
      <c r="F234" s="223">
        <v>6600000</v>
      </c>
      <c r="G234" s="223">
        <v>0</v>
      </c>
      <c r="H234" s="223">
        <v>0</v>
      </c>
      <c r="I234" s="223">
        <v>0</v>
      </c>
      <c r="J234" s="223">
        <v>0</v>
      </c>
      <c r="K234" s="223">
        <v>6600000</v>
      </c>
      <c r="L234" s="223">
        <v>0</v>
      </c>
      <c r="M234" s="223">
        <v>0</v>
      </c>
      <c r="N234" s="223">
        <v>0</v>
      </c>
      <c r="O234" s="224">
        <v>0</v>
      </c>
      <c r="P234" s="225"/>
      <c r="Q234" s="226"/>
    </row>
    <row r="235" spans="1:17" s="207" customFormat="1">
      <c r="A235" s="242" t="s">
        <v>888</v>
      </c>
      <c r="B235" s="247" t="s">
        <v>816</v>
      </c>
      <c r="C235" s="222">
        <f t="shared" si="68"/>
        <v>0</v>
      </c>
      <c r="D235" s="222"/>
      <c r="E235" s="222"/>
      <c r="F235" s="223">
        <v>0</v>
      </c>
      <c r="G235" s="223">
        <v>0</v>
      </c>
      <c r="H235" s="223">
        <v>0</v>
      </c>
      <c r="I235" s="223">
        <v>0</v>
      </c>
      <c r="J235" s="223">
        <v>0</v>
      </c>
      <c r="K235" s="223">
        <v>0</v>
      </c>
      <c r="L235" s="223">
        <v>0</v>
      </c>
      <c r="M235" s="223">
        <v>0</v>
      </c>
      <c r="N235" s="223">
        <v>0</v>
      </c>
      <c r="O235" s="224">
        <v>0</v>
      </c>
      <c r="P235" s="225"/>
      <c r="Q235" s="226"/>
    </row>
    <row r="236" spans="1:17" s="207" customFormat="1">
      <c r="A236" s="242" t="s">
        <v>889</v>
      </c>
      <c r="B236" s="247" t="s">
        <v>890</v>
      </c>
      <c r="C236" s="222">
        <f t="shared" si="68"/>
        <v>500000</v>
      </c>
      <c r="D236" s="222"/>
      <c r="E236" s="222"/>
      <c r="F236" s="223">
        <v>500000</v>
      </c>
      <c r="G236" s="223">
        <v>0</v>
      </c>
      <c r="H236" s="223">
        <v>0</v>
      </c>
      <c r="I236" s="223">
        <v>0</v>
      </c>
      <c r="J236" s="223">
        <v>0</v>
      </c>
      <c r="K236" s="223">
        <v>500000</v>
      </c>
      <c r="L236" s="223">
        <v>0</v>
      </c>
      <c r="M236" s="223">
        <v>0</v>
      </c>
      <c r="N236" s="223">
        <v>0</v>
      </c>
      <c r="O236" s="224">
        <v>0</v>
      </c>
      <c r="P236" s="225"/>
      <c r="Q236" s="226"/>
    </row>
    <row r="237" spans="1:17" s="215" customFormat="1" ht="25.5">
      <c r="A237" s="259" t="s">
        <v>891</v>
      </c>
      <c r="B237" s="260" t="s">
        <v>892</v>
      </c>
      <c r="C237" s="217">
        <f t="shared" si="68"/>
        <v>4627000</v>
      </c>
      <c r="D237" s="217"/>
      <c r="E237" s="217"/>
      <c r="F237" s="218">
        <v>2000000</v>
      </c>
      <c r="G237" s="218">
        <v>2627000</v>
      </c>
      <c r="H237" s="218">
        <v>0</v>
      </c>
      <c r="I237" s="218">
        <v>0</v>
      </c>
      <c r="J237" s="218">
        <v>0</v>
      </c>
      <c r="K237" s="218">
        <v>4627000</v>
      </c>
      <c r="L237" s="218">
        <f t="shared" ref="L237:O237" si="72">SUM(L238:L239)</f>
        <v>0</v>
      </c>
      <c r="M237" s="218">
        <f t="shared" si="72"/>
        <v>0</v>
      </c>
      <c r="N237" s="218">
        <f t="shared" si="72"/>
        <v>0</v>
      </c>
      <c r="O237" s="219">
        <f t="shared" si="72"/>
        <v>0</v>
      </c>
      <c r="P237" s="213"/>
      <c r="Q237" s="220">
        <f>SUM(Q238:Q239)</f>
        <v>0</v>
      </c>
    </row>
    <row r="238" spans="1:17" s="207" customFormat="1">
      <c r="A238" s="242" t="s">
        <v>893</v>
      </c>
      <c r="B238" s="247" t="s">
        <v>894</v>
      </c>
      <c r="C238" s="222">
        <f t="shared" si="68"/>
        <v>4627000</v>
      </c>
      <c r="D238" s="222"/>
      <c r="E238" s="222"/>
      <c r="F238" s="223">
        <v>2000000</v>
      </c>
      <c r="G238" s="223">
        <v>2627000</v>
      </c>
      <c r="H238" s="223">
        <v>0</v>
      </c>
      <c r="I238" s="223">
        <v>0</v>
      </c>
      <c r="J238" s="223">
        <v>0</v>
      </c>
      <c r="K238" s="223">
        <v>4627000</v>
      </c>
      <c r="L238" s="223">
        <v>0</v>
      </c>
      <c r="M238" s="223">
        <v>0</v>
      </c>
      <c r="N238" s="223">
        <v>0</v>
      </c>
      <c r="O238" s="224">
        <v>0</v>
      </c>
      <c r="P238" s="225"/>
      <c r="Q238" s="226"/>
    </row>
    <row r="239" spans="1:17" s="207" customFormat="1">
      <c r="A239" s="242" t="s">
        <v>895</v>
      </c>
      <c r="B239" s="247" t="s">
        <v>896</v>
      </c>
      <c r="C239" s="222">
        <f t="shared" si="68"/>
        <v>0</v>
      </c>
      <c r="D239" s="222"/>
      <c r="E239" s="222"/>
      <c r="F239" s="223">
        <v>0</v>
      </c>
      <c r="G239" s="223">
        <v>0</v>
      </c>
      <c r="H239" s="223">
        <v>0</v>
      </c>
      <c r="I239" s="223">
        <v>0</v>
      </c>
      <c r="J239" s="223">
        <v>0</v>
      </c>
      <c r="K239" s="223">
        <v>0</v>
      </c>
      <c r="L239" s="223">
        <v>0</v>
      </c>
      <c r="M239" s="223">
        <v>0</v>
      </c>
      <c r="N239" s="223">
        <v>0</v>
      </c>
      <c r="O239" s="224">
        <v>0</v>
      </c>
      <c r="P239" s="225"/>
      <c r="Q239" s="226"/>
    </row>
    <row r="240" spans="1:17" s="207" customFormat="1">
      <c r="A240" s="242" t="s">
        <v>897</v>
      </c>
      <c r="B240" s="247" t="s">
        <v>898</v>
      </c>
      <c r="C240" s="222">
        <f t="shared" si="68"/>
        <v>0</v>
      </c>
      <c r="D240" s="222"/>
      <c r="E240" s="222"/>
      <c r="F240" s="223">
        <v>500000</v>
      </c>
      <c r="G240" s="223">
        <v>0</v>
      </c>
      <c r="H240" s="223">
        <v>500000</v>
      </c>
      <c r="I240" s="223">
        <v>0</v>
      </c>
      <c r="J240" s="223">
        <v>0</v>
      </c>
      <c r="K240" s="223">
        <v>0</v>
      </c>
      <c r="L240" s="223">
        <v>0</v>
      </c>
      <c r="M240" s="223">
        <v>0</v>
      </c>
      <c r="N240" s="223">
        <v>0</v>
      </c>
      <c r="O240" s="224">
        <v>0</v>
      </c>
      <c r="P240" s="225"/>
      <c r="Q240" s="226"/>
    </row>
    <row r="241" spans="1:17" s="215" customFormat="1">
      <c r="A241" s="259" t="s">
        <v>899</v>
      </c>
      <c r="B241" s="260" t="s">
        <v>900</v>
      </c>
      <c r="C241" s="217">
        <f t="shared" si="68"/>
        <v>1000000</v>
      </c>
      <c r="D241" s="217"/>
      <c r="E241" s="217"/>
      <c r="F241" s="218">
        <v>1000000</v>
      </c>
      <c r="G241" s="218">
        <v>0</v>
      </c>
      <c r="H241" s="218">
        <v>0</v>
      </c>
      <c r="I241" s="218">
        <v>0</v>
      </c>
      <c r="J241" s="218">
        <v>0</v>
      </c>
      <c r="K241" s="218">
        <v>1000000</v>
      </c>
      <c r="L241" s="218">
        <f t="shared" ref="L241:O241" si="73">SUM(L242:L243)</f>
        <v>0</v>
      </c>
      <c r="M241" s="218">
        <f t="shared" si="73"/>
        <v>0</v>
      </c>
      <c r="N241" s="218">
        <f t="shared" si="73"/>
        <v>0</v>
      </c>
      <c r="O241" s="219">
        <f t="shared" si="73"/>
        <v>0</v>
      </c>
      <c r="P241" s="213"/>
      <c r="Q241" s="220">
        <f>SUM(Q242:Q243)</f>
        <v>0</v>
      </c>
    </row>
    <row r="242" spans="1:17" s="207" customFormat="1">
      <c r="A242" s="242" t="s">
        <v>901</v>
      </c>
      <c r="B242" s="247" t="s">
        <v>814</v>
      </c>
      <c r="C242" s="222">
        <f t="shared" si="68"/>
        <v>0</v>
      </c>
      <c r="D242" s="222"/>
      <c r="E242" s="222"/>
      <c r="F242" s="223">
        <v>0</v>
      </c>
      <c r="G242" s="223">
        <v>0</v>
      </c>
      <c r="H242" s="223">
        <v>0</v>
      </c>
      <c r="I242" s="223">
        <v>0</v>
      </c>
      <c r="J242" s="223">
        <v>0</v>
      </c>
      <c r="K242" s="223">
        <v>0</v>
      </c>
      <c r="L242" s="223">
        <v>0</v>
      </c>
      <c r="M242" s="223">
        <v>0</v>
      </c>
      <c r="N242" s="223">
        <v>0</v>
      </c>
      <c r="O242" s="224">
        <v>0</v>
      </c>
      <c r="P242" s="225"/>
      <c r="Q242" s="226"/>
    </row>
    <row r="243" spans="1:17" s="207" customFormat="1">
      <c r="A243" s="242" t="s">
        <v>902</v>
      </c>
      <c r="B243" s="247" t="s">
        <v>816</v>
      </c>
      <c r="C243" s="222">
        <f t="shared" si="68"/>
        <v>1000000</v>
      </c>
      <c r="D243" s="222"/>
      <c r="E243" s="222"/>
      <c r="F243" s="223">
        <v>1000000</v>
      </c>
      <c r="G243" s="223">
        <v>0</v>
      </c>
      <c r="H243" s="223">
        <v>0</v>
      </c>
      <c r="I243" s="223">
        <v>0</v>
      </c>
      <c r="J243" s="223">
        <v>0</v>
      </c>
      <c r="K243" s="223">
        <v>1000000</v>
      </c>
      <c r="L243" s="223">
        <v>0</v>
      </c>
      <c r="M243" s="223">
        <v>0</v>
      </c>
      <c r="N243" s="223">
        <v>0</v>
      </c>
      <c r="O243" s="224">
        <v>0</v>
      </c>
      <c r="P243" s="225"/>
      <c r="Q243" s="226"/>
    </row>
    <row r="244" spans="1:17" s="215" customFormat="1">
      <c r="A244" s="216" t="s">
        <v>903</v>
      </c>
      <c r="B244" s="217" t="s">
        <v>539</v>
      </c>
      <c r="C244" s="217">
        <f t="shared" si="68"/>
        <v>31400000</v>
      </c>
      <c r="D244" s="217"/>
      <c r="E244" s="217"/>
      <c r="F244" s="218">
        <v>58400000</v>
      </c>
      <c r="G244" s="218">
        <v>2100000</v>
      </c>
      <c r="H244" s="218">
        <v>2100000</v>
      </c>
      <c r="I244" s="218">
        <v>0</v>
      </c>
      <c r="J244" s="218">
        <v>27000000</v>
      </c>
      <c r="K244" s="218">
        <v>31400000</v>
      </c>
      <c r="L244" s="218">
        <f t="shared" ref="L244:O244" si="74">SUM(L245:L253)</f>
        <v>18500000</v>
      </c>
      <c r="M244" s="218">
        <f t="shared" si="74"/>
        <v>18500000</v>
      </c>
      <c r="N244" s="218">
        <f t="shared" si="74"/>
        <v>0</v>
      </c>
      <c r="O244" s="219">
        <f t="shared" si="74"/>
        <v>0</v>
      </c>
      <c r="P244" s="213"/>
      <c r="Q244" s="220">
        <f>SUM(Q245:Q253)</f>
        <v>0</v>
      </c>
    </row>
    <row r="245" spans="1:17" s="207" customFormat="1" ht="25.5">
      <c r="A245" s="242" t="s">
        <v>904</v>
      </c>
      <c r="B245" s="247" t="s">
        <v>905</v>
      </c>
      <c r="C245" s="222">
        <f t="shared" si="68"/>
        <v>3000000</v>
      </c>
      <c r="D245" s="222"/>
      <c r="E245" s="222"/>
      <c r="F245" s="223">
        <v>3000000</v>
      </c>
      <c r="G245" s="223">
        <v>0</v>
      </c>
      <c r="H245" s="223">
        <v>0</v>
      </c>
      <c r="I245" s="223">
        <v>0</v>
      </c>
      <c r="J245" s="223">
        <v>0</v>
      </c>
      <c r="K245" s="223">
        <v>3000000</v>
      </c>
      <c r="L245" s="223">
        <v>0</v>
      </c>
      <c r="M245" s="223">
        <v>0</v>
      </c>
      <c r="N245" s="223">
        <v>0</v>
      </c>
      <c r="O245" s="224">
        <v>0</v>
      </c>
      <c r="P245" s="225"/>
      <c r="Q245" s="226"/>
    </row>
    <row r="246" spans="1:17" s="207" customFormat="1" ht="25.5">
      <c r="A246" s="242" t="s">
        <v>906</v>
      </c>
      <c r="B246" s="247" t="s">
        <v>907</v>
      </c>
      <c r="C246" s="222">
        <f t="shared" si="68"/>
        <v>0</v>
      </c>
      <c r="D246" s="222"/>
      <c r="E246" s="222"/>
      <c r="F246" s="223">
        <v>10000000</v>
      </c>
      <c r="G246" s="223">
        <v>0</v>
      </c>
      <c r="H246" s="223">
        <v>0</v>
      </c>
      <c r="I246" s="223">
        <v>0</v>
      </c>
      <c r="J246" s="223">
        <v>10000000</v>
      </c>
      <c r="K246" s="223">
        <v>0</v>
      </c>
      <c r="L246" s="223">
        <v>0</v>
      </c>
      <c r="M246" s="223">
        <v>0</v>
      </c>
      <c r="N246" s="223">
        <v>0</v>
      </c>
      <c r="O246" s="224">
        <v>0</v>
      </c>
      <c r="P246" s="225"/>
      <c r="Q246" s="226"/>
    </row>
    <row r="247" spans="1:17" s="207" customFormat="1">
      <c r="A247" s="242" t="s">
        <v>908</v>
      </c>
      <c r="B247" s="247" t="s">
        <v>909</v>
      </c>
      <c r="C247" s="222">
        <f t="shared" si="68"/>
        <v>0</v>
      </c>
      <c r="D247" s="222"/>
      <c r="E247" s="222"/>
      <c r="F247" s="223">
        <v>10000000</v>
      </c>
      <c r="G247" s="223">
        <v>0</v>
      </c>
      <c r="H247" s="223">
        <v>0</v>
      </c>
      <c r="I247" s="223">
        <v>0</v>
      </c>
      <c r="J247" s="223">
        <v>10000000</v>
      </c>
      <c r="K247" s="223">
        <v>0</v>
      </c>
      <c r="L247" s="223">
        <v>0</v>
      </c>
      <c r="M247" s="223">
        <v>0</v>
      </c>
      <c r="N247" s="223">
        <v>0</v>
      </c>
      <c r="O247" s="224">
        <v>0</v>
      </c>
      <c r="P247" s="225"/>
      <c r="Q247" s="226"/>
    </row>
    <row r="248" spans="1:17" s="207" customFormat="1">
      <c r="A248" s="242" t="s">
        <v>910</v>
      </c>
      <c r="B248" s="247" t="s">
        <v>911</v>
      </c>
      <c r="C248" s="222">
        <f t="shared" si="68"/>
        <v>0</v>
      </c>
      <c r="D248" s="222"/>
      <c r="E248" s="222"/>
      <c r="F248" s="223">
        <v>0</v>
      </c>
      <c r="G248" s="223">
        <v>0</v>
      </c>
      <c r="H248" s="223">
        <v>0</v>
      </c>
      <c r="I248" s="223">
        <v>0</v>
      </c>
      <c r="J248" s="223">
        <v>0</v>
      </c>
      <c r="K248" s="223">
        <v>0</v>
      </c>
      <c r="L248" s="223">
        <v>0</v>
      </c>
      <c r="M248" s="223">
        <v>0</v>
      </c>
      <c r="N248" s="223">
        <v>0</v>
      </c>
      <c r="O248" s="224">
        <v>0</v>
      </c>
      <c r="P248" s="225"/>
      <c r="Q248" s="226"/>
    </row>
    <row r="249" spans="1:17" s="207" customFormat="1">
      <c r="A249" s="242" t="s">
        <v>912</v>
      </c>
      <c r="B249" s="247" t="s">
        <v>913</v>
      </c>
      <c r="C249" s="222">
        <f t="shared" si="68"/>
        <v>5000000</v>
      </c>
      <c r="D249" s="222"/>
      <c r="E249" s="222"/>
      <c r="F249" s="223">
        <v>8000000</v>
      </c>
      <c r="G249" s="223">
        <v>0</v>
      </c>
      <c r="H249" s="223">
        <v>0</v>
      </c>
      <c r="I249" s="223">
        <v>0</v>
      </c>
      <c r="J249" s="223">
        <v>3000000</v>
      </c>
      <c r="K249" s="223">
        <v>5000000</v>
      </c>
      <c r="L249" s="223">
        <v>0</v>
      </c>
      <c r="M249" s="223">
        <v>0</v>
      </c>
      <c r="N249" s="223">
        <v>0</v>
      </c>
      <c r="O249" s="224">
        <v>0</v>
      </c>
      <c r="P249" s="225"/>
      <c r="Q249" s="226"/>
    </row>
    <row r="250" spans="1:17" s="207" customFormat="1">
      <c r="A250" s="242" t="s">
        <v>914</v>
      </c>
      <c r="B250" s="247" t="s">
        <v>915</v>
      </c>
      <c r="C250" s="222">
        <f t="shared" si="68"/>
        <v>2900000</v>
      </c>
      <c r="D250" s="222"/>
      <c r="E250" s="222"/>
      <c r="F250" s="223">
        <v>9000000</v>
      </c>
      <c r="G250" s="223">
        <v>0</v>
      </c>
      <c r="H250" s="223">
        <v>2100000</v>
      </c>
      <c r="I250" s="223">
        <v>0</v>
      </c>
      <c r="J250" s="223">
        <v>4000000</v>
      </c>
      <c r="K250" s="223">
        <v>2900000</v>
      </c>
      <c r="L250" s="223">
        <v>0</v>
      </c>
      <c r="M250" s="223">
        <v>0</v>
      </c>
      <c r="N250" s="223">
        <v>0</v>
      </c>
      <c r="O250" s="224">
        <v>0</v>
      </c>
      <c r="P250" s="225"/>
      <c r="Q250" s="226"/>
    </row>
    <row r="251" spans="1:17" s="207" customFormat="1" ht="25.5">
      <c r="A251" s="242" t="s">
        <v>916</v>
      </c>
      <c r="B251" s="247" t="s">
        <v>917</v>
      </c>
      <c r="C251" s="222">
        <f t="shared" si="68"/>
        <v>13500000</v>
      </c>
      <c r="D251" s="222"/>
      <c r="E251" s="222"/>
      <c r="F251" s="223">
        <v>11400000</v>
      </c>
      <c r="G251" s="223">
        <v>2100000</v>
      </c>
      <c r="H251" s="223">
        <v>0</v>
      </c>
      <c r="I251" s="223">
        <v>0</v>
      </c>
      <c r="J251" s="223">
        <v>0</v>
      </c>
      <c r="K251" s="223">
        <v>13500000</v>
      </c>
      <c r="L251" s="223">
        <v>13500000</v>
      </c>
      <c r="M251" s="223">
        <v>13500000</v>
      </c>
      <c r="N251" s="223">
        <v>0</v>
      </c>
      <c r="O251" s="224">
        <v>0</v>
      </c>
      <c r="P251" s="225"/>
      <c r="Q251" s="226"/>
    </row>
    <row r="252" spans="1:17" s="207" customFormat="1">
      <c r="A252" s="242" t="s">
        <v>918</v>
      </c>
      <c r="B252" s="247" t="s">
        <v>919</v>
      </c>
      <c r="C252" s="222">
        <f t="shared" si="68"/>
        <v>5000000</v>
      </c>
      <c r="D252" s="222"/>
      <c r="E252" s="222"/>
      <c r="F252" s="223">
        <v>5000000</v>
      </c>
      <c r="G252" s="223">
        <v>0</v>
      </c>
      <c r="H252" s="223">
        <v>0</v>
      </c>
      <c r="I252" s="223">
        <v>0</v>
      </c>
      <c r="J252" s="223">
        <v>0</v>
      </c>
      <c r="K252" s="223">
        <v>5000000</v>
      </c>
      <c r="L252" s="223">
        <v>5000000</v>
      </c>
      <c r="M252" s="223">
        <v>5000000</v>
      </c>
      <c r="N252" s="223">
        <v>0</v>
      </c>
      <c r="O252" s="224">
        <v>0</v>
      </c>
      <c r="P252" s="225"/>
      <c r="Q252" s="226"/>
    </row>
    <row r="253" spans="1:17" s="207" customFormat="1">
      <c r="A253" s="242" t="s">
        <v>920</v>
      </c>
      <c r="B253" s="247" t="s">
        <v>921</v>
      </c>
      <c r="C253" s="222">
        <f t="shared" si="68"/>
        <v>2000000</v>
      </c>
      <c r="D253" s="222"/>
      <c r="E253" s="222"/>
      <c r="F253" s="223">
        <v>2000000</v>
      </c>
      <c r="G253" s="223">
        <v>0</v>
      </c>
      <c r="H253" s="223">
        <v>0</v>
      </c>
      <c r="I253" s="223">
        <v>0</v>
      </c>
      <c r="J253" s="223">
        <v>0</v>
      </c>
      <c r="K253" s="223">
        <v>2000000</v>
      </c>
      <c r="L253" s="223">
        <v>0</v>
      </c>
      <c r="M253" s="223">
        <v>0</v>
      </c>
      <c r="N253" s="223">
        <v>0</v>
      </c>
      <c r="O253" s="224">
        <v>0</v>
      </c>
      <c r="P253" s="225"/>
      <c r="Q253" s="226"/>
    </row>
    <row r="254" spans="1:17" s="215" customFormat="1">
      <c r="A254" s="216" t="s">
        <v>922</v>
      </c>
      <c r="B254" s="217" t="s">
        <v>923</v>
      </c>
      <c r="C254" s="217">
        <f t="shared" si="68"/>
        <v>60200000</v>
      </c>
      <c r="D254" s="217"/>
      <c r="E254" s="217"/>
      <c r="F254" s="218">
        <v>59000000</v>
      </c>
      <c r="G254" s="218">
        <v>9400000</v>
      </c>
      <c r="H254" s="218">
        <v>8200000</v>
      </c>
      <c r="I254" s="218">
        <v>0</v>
      </c>
      <c r="J254" s="218">
        <v>0</v>
      </c>
      <c r="K254" s="218">
        <v>60200000</v>
      </c>
      <c r="L254" s="218">
        <f t="shared" ref="L254:O254" si="75">SUM(L255:L261)</f>
        <v>47000000</v>
      </c>
      <c r="M254" s="218">
        <f t="shared" si="75"/>
        <v>2000000</v>
      </c>
      <c r="N254" s="218">
        <f t="shared" si="75"/>
        <v>0</v>
      </c>
      <c r="O254" s="219">
        <f t="shared" si="75"/>
        <v>0</v>
      </c>
      <c r="P254" s="213"/>
      <c r="Q254" s="220">
        <f>SUM(Q255:Q261)</f>
        <v>0</v>
      </c>
    </row>
    <row r="255" spans="1:17" s="207" customFormat="1">
      <c r="A255" s="243" t="s">
        <v>924</v>
      </c>
      <c r="B255" s="244" t="s">
        <v>742</v>
      </c>
      <c r="C255" s="222">
        <f t="shared" si="68"/>
        <v>2000000</v>
      </c>
      <c r="D255" s="222"/>
      <c r="E255" s="222"/>
      <c r="F255" s="223">
        <v>2000000</v>
      </c>
      <c r="G255" s="223">
        <v>0</v>
      </c>
      <c r="H255" s="223">
        <v>0</v>
      </c>
      <c r="I255" s="223">
        <v>0</v>
      </c>
      <c r="J255" s="223">
        <v>0</v>
      </c>
      <c r="K255" s="223">
        <v>2000000</v>
      </c>
      <c r="L255" s="223">
        <v>2000000</v>
      </c>
      <c r="M255" s="223">
        <v>2000000</v>
      </c>
      <c r="N255" s="223">
        <v>0</v>
      </c>
      <c r="O255" s="224">
        <v>0</v>
      </c>
      <c r="P255" s="225"/>
      <c r="Q255" s="226"/>
    </row>
    <row r="256" spans="1:17" s="207" customFormat="1">
      <c r="A256" s="243" t="s">
        <v>925</v>
      </c>
      <c r="B256" s="244" t="s">
        <v>926</v>
      </c>
      <c r="C256" s="222">
        <f t="shared" si="68"/>
        <v>0</v>
      </c>
      <c r="D256" s="222"/>
      <c r="E256" s="222"/>
      <c r="F256" s="223">
        <v>4000000</v>
      </c>
      <c r="G256" s="223">
        <v>0</v>
      </c>
      <c r="H256" s="223">
        <v>4000000</v>
      </c>
      <c r="I256" s="223">
        <v>0</v>
      </c>
      <c r="J256" s="223">
        <v>0</v>
      </c>
      <c r="K256" s="223">
        <v>0</v>
      </c>
      <c r="L256" s="223">
        <v>0</v>
      </c>
      <c r="M256" s="223">
        <v>0</v>
      </c>
      <c r="N256" s="223">
        <v>0</v>
      </c>
      <c r="O256" s="224">
        <v>0</v>
      </c>
      <c r="P256" s="225"/>
      <c r="Q256" s="226"/>
    </row>
    <row r="257" spans="1:17" s="207" customFormat="1" ht="25.5">
      <c r="A257" s="243" t="s">
        <v>927</v>
      </c>
      <c r="B257" s="244" t="s">
        <v>928</v>
      </c>
      <c r="C257" s="222">
        <f t="shared" si="68"/>
        <v>0</v>
      </c>
      <c r="D257" s="222"/>
      <c r="E257" s="222"/>
      <c r="F257" s="223">
        <v>4000000</v>
      </c>
      <c r="G257" s="223">
        <v>0</v>
      </c>
      <c r="H257" s="223">
        <v>4000000</v>
      </c>
      <c r="I257" s="223">
        <v>0</v>
      </c>
      <c r="J257" s="223">
        <v>0</v>
      </c>
      <c r="K257" s="223">
        <v>0</v>
      </c>
      <c r="L257" s="223">
        <v>0</v>
      </c>
      <c r="M257" s="223">
        <v>0</v>
      </c>
      <c r="N257" s="223">
        <v>0</v>
      </c>
      <c r="O257" s="224">
        <v>0</v>
      </c>
      <c r="P257" s="225"/>
      <c r="Q257" s="226"/>
    </row>
    <row r="258" spans="1:17" s="207" customFormat="1">
      <c r="A258" s="243" t="s">
        <v>929</v>
      </c>
      <c r="B258" s="244" t="s">
        <v>930</v>
      </c>
      <c r="C258" s="222">
        <f t="shared" si="68"/>
        <v>6200000</v>
      </c>
      <c r="D258" s="222"/>
      <c r="E258" s="222"/>
      <c r="F258" s="223">
        <v>2000000</v>
      </c>
      <c r="G258" s="223">
        <v>4200000</v>
      </c>
      <c r="H258" s="223">
        <v>0</v>
      </c>
      <c r="I258" s="223">
        <v>0</v>
      </c>
      <c r="J258" s="223">
        <v>0</v>
      </c>
      <c r="K258" s="223">
        <v>6200000</v>
      </c>
      <c r="L258" s="223">
        <v>0</v>
      </c>
      <c r="M258" s="223">
        <v>0</v>
      </c>
      <c r="N258" s="223">
        <v>0</v>
      </c>
      <c r="O258" s="224">
        <v>0</v>
      </c>
      <c r="P258" s="225"/>
      <c r="Q258" s="226"/>
    </row>
    <row r="259" spans="1:17" s="207" customFormat="1" ht="25.5">
      <c r="A259" s="243" t="s">
        <v>931</v>
      </c>
      <c r="B259" s="244" t="s">
        <v>932</v>
      </c>
      <c r="C259" s="222">
        <f t="shared" si="68"/>
        <v>45000000</v>
      </c>
      <c r="D259" s="222"/>
      <c r="E259" s="222"/>
      <c r="F259" s="223">
        <v>45000000</v>
      </c>
      <c r="G259" s="223">
        <v>0</v>
      </c>
      <c r="H259" s="223">
        <v>0</v>
      </c>
      <c r="I259" s="223">
        <v>0</v>
      </c>
      <c r="J259" s="223">
        <v>0</v>
      </c>
      <c r="K259" s="223">
        <v>45000000</v>
      </c>
      <c r="L259" s="223">
        <v>45000000</v>
      </c>
      <c r="M259" s="223">
        <v>0</v>
      </c>
      <c r="N259" s="223">
        <v>0</v>
      </c>
      <c r="O259" s="224">
        <v>0</v>
      </c>
      <c r="P259" s="225"/>
      <c r="Q259" s="226"/>
    </row>
    <row r="260" spans="1:17" s="207" customFormat="1" ht="25.5">
      <c r="A260" s="243" t="s">
        <v>933</v>
      </c>
      <c r="B260" s="244" t="s">
        <v>934</v>
      </c>
      <c r="C260" s="222">
        <f t="shared" si="68"/>
        <v>0</v>
      </c>
      <c r="D260" s="222"/>
      <c r="E260" s="222"/>
      <c r="F260" s="223">
        <v>0</v>
      </c>
      <c r="G260" s="223">
        <v>0</v>
      </c>
      <c r="H260" s="223">
        <v>0</v>
      </c>
      <c r="I260" s="223">
        <v>0</v>
      </c>
      <c r="J260" s="223">
        <v>0</v>
      </c>
      <c r="K260" s="223">
        <v>0</v>
      </c>
      <c r="L260" s="223">
        <v>0</v>
      </c>
      <c r="M260" s="223">
        <v>0</v>
      </c>
      <c r="N260" s="223">
        <v>0</v>
      </c>
      <c r="O260" s="224">
        <v>0</v>
      </c>
      <c r="P260" s="225"/>
      <c r="Q260" s="226"/>
    </row>
    <row r="261" spans="1:17" s="207" customFormat="1" ht="25.5">
      <c r="A261" s="243" t="s">
        <v>935</v>
      </c>
      <c r="B261" s="244" t="s">
        <v>936</v>
      </c>
      <c r="C261" s="222">
        <f t="shared" si="68"/>
        <v>7000000</v>
      </c>
      <c r="D261" s="222"/>
      <c r="E261" s="222"/>
      <c r="F261" s="223">
        <v>2000000</v>
      </c>
      <c r="G261" s="223">
        <v>5200000</v>
      </c>
      <c r="H261" s="223">
        <v>200000</v>
      </c>
      <c r="I261" s="223">
        <v>0</v>
      </c>
      <c r="J261" s="223">
        <v>0</v>
      </c>
      <c r="K261" s="223">
        <v>7000000</v>
      </c>
      <c r="L261" s="223">
        <v>0</v>
      </c>
      <c r="M261" s="223">
        <v>0</v>
      </c>
      <c r="N261" s="223">
        <v>0</v>
      </c>
      <c r="O261" s="224">
        <v>0</v>
      </c>
      <c r="P261" s="225"/>
      <c r="Q261" s="226"/>
    </row>
    <row r="262" spans="1:17" s="215" customFormat="1">
      <c r="A262" s="216" t="s">
        <v>937</v>
      </c>
      <c r="B262" s="217" t="s">
        <v>471</v>
      </c>
      <c r="C262" s="217">
        <f t="shared" si="68"/>
        <v>52673000</v>
      </c>
      <c r="D262" s="217"/>
      <c r="E262" s="217"/>
      <c r="F262" s="218">
        <v>61000000</v>
      </c>
      <c r="G262" s="218">
        <v>0</v>
      </c>
      <c r="H262" s="218">
        <v>3327000</v>
      </c>
      <c r="I262" s="218">
        <v>0</v>
      </c>
      <c r="J262" s="218">
        <v>5000000</v>
      </c>
      <c r="K262" s="218">
        <v>52673000</v>
      </c>
      <c r="L262" s="218">
        <f t="shared" ref="L262:O262" si="76">SUM(L263:L270)</f>
        <v>40900000</v>
      </c>
      <c r="M262" s="218">
        <f t="shared" si="76"/>
        <v>40900000</v>
      </c>
      <c r="N262" s="218">
        <f t="shared" si="76"/>
        <v>8782050</v>
      </c>
      <c r="O262" s="219">
        <f t="shared" si="76"/>
        <v>0</v>
      </c>
      <c r="P262" s="213"/>
      <c r="Q262" s="220">
        <f>SUM(Q263:Q270)</f>
        <v>0</v>
      </c>
    </row>
    <row r="263" spans="1:17" s="207" customFormat="1">
      <c r="A263" s="243" t="s">
        <v>938</v>
      </c>
      <c r="B263" s="244" t="s">
        <v>939</v>
      </c>
      <c r="C263" s="222">
        <f t="shared" si="68"/>
        <v>0</v>
      </c>
      <c r="D263" s="222"/>
      <c r="E263" s="222"/>
      <c r="F263" s="223">
        <v>0</v>
      </c>
      <c r="G263" s="223">
        <v>0</v>
      </c>
      <c r="H263" s="223">
        <v>0</v>
      </c>
      <c r="I263" s="223">
        <v>0</v>
      </c>
      <c r="J263" s="223">
        <v>0</v>
      </c>
      <c r="K263" s="223">
        <v>0</v>
      </c>
      <c r="L263" s="223">
        <v>0</v>
      </c>
      <c r="M263" s="223">
        <v>0</v>
      </c>
      <c r="N263" s="223">
        <v>0</v>
      </c>
      <c r="O263" s="224">
        <v>0</v>
      </c>
      <c r="P263" s="225"/>
      <c r="Q263" s="226"/>
    </row>
    <row r="264" spans="1:17" s="207" customFormat="1">
      <c r="A264" s="243" t="s">
        <v>940</v>
      </c>
      <c r="B264" s="244" t="s">
        <v>941</v>
      </c>
      <c r="C264" s="222">
        <f t="shared" si="68"/>
        <v>0</v>
      </c>
      <c r="D264" s="222"/>
      <c r="E264" s="222"/>
      <c r="F264" s="223">
        <v>0</v>
      </c>
      <c r="G264" s="223">
        <v>0</v>
      </c>
      <c r="H264" s="223">
        <v>0</v>
      </c>
      <c r="I264" s="223">
        <v>0</v>
      </c>
      <c r="J264" s="223">
        <v>0</v>
      </c>
      <c r="K264" s="223">
        <v>0</v>
      </c>
      <c r="L264" s="223">
        <v>0</v>
      </c>
      <c r="M264" s="223">
        <v>0</v>
      </c>
      <c r="N264" s="223">
        <v>0</v>
      </c>
      <c r="O264" s="224">
        <v>0</v>
      </c>
      <c r="P264" s="225"/>
      <c r="Q264" s="226"/>
    </row>
    <row r="265" spans="1:17" s="207" customFormat="1">
      <c r="A265" s="243" t="s">
        <v>942</v>
      </c>
      <c r="B265" s="244" t="s">
        <v>943</v>
      </c>
      <c r="C265" s="222">
        <f t="shared" si="68"/>
        <v>30000000</v>
      </c>
      <c r="D265" s="222"/>
      <c r="E265" s="222"/>
      <c r="F265" s="223">
        <v>30000000</v>
      </c>
      <c r="G265" s="223">
        <v>0</v>
      </c>
      <c r="H265" s="223">
        <v>0</v>
      </c>
      <c r="I265" s="223">
        <v>0</v>
      </c>
      <c r="J265" s="223">
        <v>0</v>
      </c>
      <c r="K265" s="223">
        <v>30000000</v>
      </c>
      <c r="L265" s="223">
        <v>21000000</v>
      </c>
      <c r="M265" s="223">
        <v>21000000</v>
      </c>
      <c r="N265" s="223">
        <v>6782050</v>
      </c>
      <c r="O265" s="224">
        <v>0</v>
      </c>
      <c r="P265" s="225"/>
      <c r="Q265" s="226"/>
    </row>
    <row r="266" spans="1:17" s="207" customFormat="1">
      <c r="A266" s="243" t="s">
        <v>944</v>
      </c>
      <c r="B266" s="244" t="s">
        <v>945</v>
      </c>
      <c r="C266" s="222">
        <f t="shared" si="68"/>
        <v>22673000</v>
      </c>
      <c r="D266" s="222"/>
      <c r="E266" s="222"/>
      <c r="F266" s="223">
        <v>26000000</v>
      </c>
      <c r="G266" s="223">
        <v>0</v>
      </c>
      <c r="H266" s="223">
        <v>3327000</v>
      </c>
      <c r="I266" s="223">
        <v>0</v>
      </c>
      <c r="J266" s="223">
        <v>0</v>
      </c>
      <c r="K266" s="223">
        <v>22673000</v>
      </c>
      <c r="L266" s="223">
        <v>19900000</v>
      </c>
      <c r="M266" s="223">
        <v>19900000</v>
      </c>
      <c r="N266" s="223">
        <v>2000000</v>
      </c>
      <c r="O266" s="224">
        <v>0</v>
      </c>
      <c r="P266" s="225"/>
      <c r="Q266" s="226"/>
    </row>
    <row r="267" spans="1:17" s="207" customFormat="1">
      <c r="A267" s="243" t="s">
        <v>946</v>
      </c>
      <c r="B267" s="244" t="s">
        <v>947</v>
      </c>
      <c r="C267" s="222">
        <f t="shared" si="68"/>
        <v>0</v>
      </c>
      <c r="D267" s="222"/>
      <c r="E267" s="222"/>
      <c r="F267" s="223">
        <v>0</v>
      </c>
      <c r="G267" s="223">
        <v>0</v>
      </c>
      <c r="H267" s="223">
        <v>0</v>
      </c>
      <c r="I267" s="223">
        <v>0</v>
      </c>
      <c r="J267" s="223">
        <v>0</v>
      </c>
      <c r="K267" s="223">
        <v>0</v>
      </c>
      <c r="L267" s="223">
        <v>0</v>
      </c>
      <c r="M267" s="223">
        <v>0</v>
      </c>
      <c r="N267" s="223">
        <v>0</v>
      </c>
      <c r="O267" s="224">
        <v>0</v>
      </c>
      <c r="P267" s="225"/>
      <c r="Q267" s="226"/>
    </row>
    <row r="268" spans="1:17" s="207" customFormat="1">
      <c r="A268" s="243" t="s">
        <v>948</v>
      </c>
      <c r="B268" s="244" t="s">
        <v>949</v>
      </c>
      <c r="C268" s="222">
        <f t="shared" si="68"/>
        <v>0</v>
      </c>
      <c r="D268" s="222"/>
      <c r="E268" s="222"/>
      <c r="F268" s="223">
        <v>0</v>
      </c>
      <c r="G268" s="223">
        <v>0</v>
      </c>
      <c r="H268" s="223">
        <v>0</v>
      </c>
      <c r="I268" s="223">
        <v>0</v>
      </c>
      <c r="J268" s="223">
        <v>0</v>
      </c>
      <c r="K268" s="223">
        <v>0</v>
      </c>
      <c r="L268" s="223">
        <v>0</v>
      </c>
      <c r="M268" s="223">
        <v>0</v>
      </c>
      <c r="N268" s="223">
        <v>0</v>
      </c>
      <c r="O268" s="224">
        <v>0</v>
      </c>
      <c r="P268" s="225"/>
      <c r="Q268" s="226"/>
    </row>
    <row r="269" spans="1:17" s="207" customFormat="1">
      <c r="A269" s="243" t="s">
        <v>950</v>
      </c>
      <c r="B269" s="244" t="s">
        <v>951</v>
      </c>
      <c r="C269" s="222">
        <f t="shared" si="68"/>
        <v>0</v>
      </c>
      <c r="D269" s="222"/>
      <c r="E269" s="222"/>
      <c r="F269" s="223">
        <v>5000000</v>
      </c>
      <c r="G269" s="223">
        <v>0</v>
      </c>
      <c r="H269" s="223">
        <v>0</v>
      </c>
      <c r="I269" s="223">
        <v>0</v>
      </c>
      <c r="J269" s="223">
        <v>5000000</v>
      </c>
      <c r="K269" s="223">
        <v>0</v>
      </c>
      <c r="L269" s="223">
        <v>0</v>
      </c>
      <c r="M269" s="223">
        <v>0</v>
      </c>
      <c r="N269" s="223">
        <v>0</v>
      </c>
      <c r="O269" s="224">
        <v>0</v>
      </c>
      <c r="P269" s="225"/>
      <c r="Q269" s="226"/>
    </row>
    <row r="270" spans="1:17" s="207" customFormat="1" ht="25.5">
      <c r="A270" s="243" t="s">
        <v>952</v>
      </c>
      <c r="B270" s="244" t="s">
        <v>953</v>
      </c>
      <c r="C270" s="222">
        <f t="shared" si="68"/>
        <v>0</v>
      </c>
      <c r="D270" s="222"/>
      <c r="E270" s="222"/>
      <c r="F270" s="223">
        <v>0</v>
      </c>
      <c r="G270" s="223">
        <v>0</v>
      </c>
      <c r="H270" s="223">
        <v>0</v>
      </c>
      <c r="I270" s="223">
        <v>0</v>
      </c>
      <c r="J270" s="223">
        <v>0</v>
      </c>
      <c r="K270" s="223">
        <v>0</v>
      </c>
      <c r="L270" s="223">
        <v>0</v>
      </c>
      <c r="M270" s="223">
        <v>0</v>
      </c>
      <c r="N270" s="223">
        <v>0</v>
      </c>
      <c r="O270" s="224">
        <v>0</v>
      </c>
      <c r="P270" s="225"/>
      <c r="Q270" s="226"/>
    </row>
    <row r="271" spans="1:17" s="215" customFormat="1">
      <c r="A271" s="216" t="s">
        <v>954</v>
      </c>
      <c r="B271" s="217" t="s">
        <v>955</v>
      </c>
      <c r="C271" s="217">
        <f t="shared" si="68"/>
        <v>35000000</v>
      </c>
      <c r="D271" s="217"/>
      <c r="E271" s="217"/>
      <c r="F271" s="218">
        <v>35000000</v>
      </c>
      <c r="G271" s="218">
        <v>0</v>
      </c>
      <c r="H271" s="218">
        <v>0</v>
      </c>
      <c r="I271" s="218">
        <v>0</v>
      </c>
      <c r="J271" s="218">
        <v>0</v>
      </c>
      <c r="K271" s="218">
        <v>35000000</v>
      </c>
      <c r="L271" s="218">
        <f t="shared" ref="L271:O271" si="77">SUM(L272:L276)</f>
        <v>23000000</v>
      </c>
      <c r="M271" s="218">
        <f t="shared" si="77"/>
        <v>23000000</v>
      </c>
      <c r="N271" s="218">
        <f t="shared" si="77"/>
        <v>5750000</v>
      </c>
      <c r="O271" s="219">
        <f t="shared" si="77"/>
        <v>5750000</v>
      </c>
      <c r="P271" s="213"/>
      <c r="Q271" s="220">
        <f>SUM(Q272:Q276)</f>
        <v>0</v>
      </c>
    </row>
    <row r="272" spans="1:17" s="207" customFormat="1">
      <c r="A272" s="243" t="s">
        <v>956</v>
      </c>
      <c r="B272" s="244" t="s">
        <v>957</v>
      </c>
      <c r="C272" s="222">
        <f t="shared" si="68"/>
        <v>12000000</v>
      </c>
      <c r="D272" s="222"/>
      <c r="E272" s="222"/>
      <c r="F272" s="223">
        <v>12000000</v>
      </c>
      <c r="G272" s="223">
        <v>0</v>
      </c>
      <c r="H272" s="223">
        <v>0</v>
      </c>
      <c r="I272" s="223">
        <v>0</v>
      </c>
      <c r="J272" s="223">
        <v>0</v>
      </c>
      <c r="K272" s="223">
        <v>12000000</v>
      </c>
      <c r="L272" s="223">
        <v>0</v>
      </c>
      <c r="M272" s="223">
        <v>0</v>
      </c>
      <c r="N272" s="223">
        <v>0</v>
      </c>
      <c r="O272" s="224">
        <v>0</v>
      </c>
      <c r="P272" s="225"/>
      <c r="Q272" s="226"/>
    </row>
    <row r="273" spans="1:17" s="207" customFormat="1" ht="25.5">
      <c r="A273" s="243" t="s">
        <v>958</v>
      </c>
      <c r="B273" s="244" t="s">
        <v>959</v>
      </c>
      <c r="C273" s="222">
        <f t="shared" si="68"/>
        <v>2000000</v>
      </c>
      <c r="D273" s="222"/>
      <c r="E273" s="222"/>
      <c r="F273" s="223">
        <v>2000000</v>
      </c>
      <c r="G273" s="223">
        <v>0</v>
      </c>
      <c r="H273" s="223">
        <v>0</v>
      </c>
      <c r="I273" s="223">
        <v>0</v>
      </c>
      <c r="J273" s="223">
        <v>0</v>
      </c>
      <c r="K273" s="223">
        <v>2000000</v>
      </c>
      <c r="L273" s="223">
        <v>2000000</v>
      </c>
      <c r="M273" s="223">
        <v>2000000</v>
      </c>
      <c r="N273" s="223">
        <v>0</v>
      </c>
      <c r="O273" s="224">
        <v>0</v>
      </c>
      <c r="P273" s="225"/>
      <c r="Q273" s="226"/>
    </row>
    <row r="274" spans="1:17" s="207" customFormat="1">
      <c r="A274" s="243" t="s">
        <v>960</v>
      </c>
      <c r="B274" s="244" t="s">
        <v>961</v>
      </c>
      <c r="C274" s="222">
        <f t="shared" si="68"/>
        <v>6000000</v>
      </c>
      <c r="D274" s="222"/>
      <c r="E274" s="222"/>
      <c r="F274" s="223">
        <v>6000000</v>
      </c>
      <c r="G274" s="223">
        <v>0</v>
      </c>
      <c r="H274" s="223">
        <v>0</v>
      </c>
      <c r="I274" s="223">
        <v>0</v>
      </c>
      <c r="J274" s="223">
        <v>0</v>
      </c>
      <c r="K274" s="223">
        <v>6000000</v>
      </c>
      <c r="L274" s="223">
        <v>6000000</v>
      </c>
      <c r="M274" s="223">
        <v>6000000</v>
      </c>
      <c r="N274" s="223">
        <v>0</v>
      </c>
      <c r="O274" s="224">
        <v>0</v>
      </c>
      <c r="P274" s="225"/>
      <c r="Q274" s="226"/>
    </row>
    <row r="275" spans="1:17" s="207" customFormat="1" ht="25.5">
      <c r="A275" s="243" t="s">
        <v>962</v>
      </c>
      <c r="B275" s="244" t="s">
        <v>963</v>
      </c>
      <c r="C275" s="222">
        <f t="shared" si="68"/>
        <v>0</v>
      </c>
      <c r="D275" s="222"/>
      <c r="E275" s="222"/>
      <c r="F275" s="223">
        <v>0</v>
      </c>
      <c r="G275" s="223">
        <v>0</v>
      </c>
      <c r="H275" s="223">
        <v>0</v>
      </c>
      <c r="I275" s="223">
        <v>0</v>
      </c>
      <c r="J275" s="223">
        <v>0</v>
      </c>
      <c r="K275" s="223">
        <v>0</v>
      </c>
      <c r="L275" s="223">
        <v>0</v>
      </c>
      <c r="M275" s="223">
        <v>0</v>
      </c>
      <c r="N275" s="223">
        <v>0</v>
      </c>
      <c r="O275" s="224">
        <v>0</v>
      </c>
      <c r="P275" s="225"/>
      <c r="Q275" s="226"/>
    </row>
    <row r="276" spans="1:17" s="207" customFormat="1" ht="25.5">
      <c r="A276" s="243" t="s">
        <v>964</v>
      </c>
      <c r="B276" s="244" t="s">
        <v>965</v>
      </c>
      <c r="C276" s="222">
        <f t="shared" si="68"/>
        <v>15000000</v>
      </c>
      <c r="D276" s="222"/>
      <c r="E276" s="222"/>
      <c r="F276" s="223">
        <v>15000000</v>
      </c>
      <c r="G276" s="223">
        <v>0</v>
      </c>
      <c r="H276" s="223">
        <v>0</v>
      </c>
      <c r="I276" s="223">
        <v>0</v>
      </c>
      <c r="J276" s="223">
        <v>0</v>
      </c>
      <c r="K276" s="223">
        <v>15000000</v>
      </c>
      <c r="L276" s="223">
        <v>15000000</v>
      </c>
      <c r="M276" s="223">
        <v>15000000</v>
      </c>
      <c r="N276" s="223">
        <v>5750000</v>
      </c>
      <c r="O276" s="224">
        <v>5750000</v>
      </c>
      <c r="P276" s="225"/>
      <c r="Q276" s="226"/>
    </row>
    <row r="277" spans="1:17" s="215" customFormat="1">
      <c r="A277" s="216" t="s">
        <v>966</v>
      </c>
      <c r="B277" s="217" t="s">
        <v>967</v>
      </c>
      <c r="C277" s="217">
        <f t="shared" si="68"/>
        <v>40000000</v>
      </c>
      <c r="D277" s="217"/>
      <c r="E277" s="217"/>
      <c r="F277" s="218">
        <v>40000000</v>
      </c>
      <c r="G277" s="218">
        <v>30000000</v>
      </c>
      <c r="H277" s="218">
        <v>30000000</v>
      </c>
      <c r="I277" s="218">
        <v>0</v>
      </c>
      <c r="J277" s="218">
        <v>0</v>
      </c>
      <c r="K277" s="218">
        <v>40000000</v>
      </c>
      <c r="L277" s="218">
        <f t="shared" ref="L277:O277" si="78">SUM(L278:L282)</f>
        <v>40000000</v>
      </c>
      <c r="M277" s="218">
        <f t="shared" si="78"/>
        <v>0</v>
      </c>
      <c r="N277" s="218">
        <f t="shared" si="78"/>
        <v>0</v>
      </c>
      <c r="O277" s="219">
        <f t="shared" si="78"/>
        <v>0</v>
      </c>
      <c r="P277" s="213"/>
      <c r="Q277" s="220">
        <f>SUM(Q278:Q282)</f>
        <v>0</v>
      </c>
    </row>
    <row r="278" spans="1:17" s="207" customFormat="1">
      <c r="A278" s="243" t="s">
        <v>968</v>
      </c>
      <c r="B278" s="244" t="s">
        <v>969</v>
      </c>
      <c r="C278" s="222">
        <f t="shared" si="68"/>
        <v>0</v>
      </c>
      <c r="D278" s="222"/>
      <c r="E278" s="222"/>
      <c r="F278" s="223">
        <v>6000000</v>
      </c>
      <c r="G278" s="223">
        <v>0</v>
      </c>
      <c r="H278" s="223">
        <v>6000000</v>
      </c>
      <c r="I278" s="223">
        <v>0</v>
      </c>
      <c r="J278" s="223">
        <v>0</v>
      </c>
      <c r="K278" s="223">
        <v>0</v>
      </c>
      <c r="L278" s="223">
        <v>0</v>
      </c>
      <c r="M278" s="223">
        <v>0</v>
      </c>
      <c r="N278" s="223">
        <v>0</v>
      </c>
      <c r="O278" s="224">
        <v>0</v>
      </c>
      <c r="P278" s="225"/>
      <c r="Q278" s="226"/>
    </row>
    <row r="279" spans="1:17" s="207" customFormat="1">
      <c r="A279" s="243" t="s">
        <v>970</v>
      </c>
      <c r="B279" s="244" t="s">
        <v>971</v>
      </c>
      <c r="C279" s="222">
        <f t="shared" si="68"/>
        <v>40000000</v>
      </c>
      <c r="D279" s="222"/>
      <c r="E279" s="222"/>
      <c r="F279" s="223">
        <v>10000000</v>
      </c>
      <c r="G279" s="223">
        <v>30000000</v>
      </c>
      <c r="H279" s="223">
        <v>0</v>
      </c>
      <c r="I279" s="223">
        <v>0</v>
      </c>
      <c r="J279" s="223">
        <v>0</v>
      </c>
      <c r="K279" s="223">
        <v>40000000</v>
      </c>
      <c r="L279" s="223">
        <v>40000000</v>
      </c>
      <c r="M279" s="223">
        <v>0</v>
      </c>
      <c r="N279" s="223">
        <v>0</v>
      </c>
      <c r="O279" s="224">
        <v>0</v>
      </c>
      <c r="P279" s="225"/>
      <c r="Q279" s="226"/>
    </row>
    <row r="280" spans="1:17" s="207" customFormat="1">
      <c r="A280" s="243" t="s">
        <v>972</v>
      </c>
      <c r="B280" s="244" t="s">
        <v>973</v>
      </c>
      <c r="C280" s="222">
        <f t="shared" ref="C280:C344" si="79">K280</f>
        <v>0</v>
      </c>
      <c r="D280" s="222"/>
      <c r="E280" s="222"/>
      <c r="F280" s="223">
        <v>0</v>
      </c>
      <c r="G280" s="223">
        <v>0</v>
      </c>
      <c r="H280" s="223">
        <v>0</v>
      </c>
      <c r="I280" s="223">
        <v>0</v>
      </c>
      <c r="J280" s="223">
        <v>0</v>
      </c>
      <c r="K280" s="223">
        <v>0</v>
      </c>
      <c r="L280" s="223">
        <v>0</v>
      </c>
      <c r="M280" s="223">
        <v>0</v>
      </c>
      <c r="N280" s="223">
        <v>0</v>
      </c>
      <c r="O280" s="224">
        <v>0</v>
      </c>
      <c r="P280" s="225"/>
      <c r="Q280" s="226"/>
    </row>
    <row r="281" spans="1:17" s="207" customFormat="1" ht="25.5">
      <c r="A281" s="243" t="s">
        <v>974</v>
      </c>
      <c r="B281" s="244" t="s">
        <v>975</v>
      </c>
      <c r="C281" s="222">
        <f t="shared" si="79"/>
        <v>0</v>
      </c>
      <c r="D281" s="222"/>
      <c r="E281" s="222"/>
      <c r="F281" s="223">
        <v>10000000</v>
      </c>
      <c r="G281" s="223">
        <v>0</v>
      </c>
      <c r="H281" s="223">
        <v>10000000</v>
      </c>
      <c r="I281" s="223">
        <v>0</v>
      </c>
      <c r="J281" s="223">
        <v>0</v>
      </c>
      <c r="K281" s="223">
        <v>0</v>
      </c>
      <c r="L281" s="223">
        <v>0</v>
      </c>
      <c r="M281" s="223">
        <v>0</v>
      </c>
      <c r="N281" s="223">
        <v>0</v>
      </c>
      <c r="O281" s="224">
        <v>0</v>
      </c>
      <c r="P281" s="225"/>
      <c r="Q281" s="226"/>
    </row>
    <row r="282" spans="1:17" s="207" customFormat="1" ht="25.5">
      <c r="A282" s="243" t="s">
        <v>976</v>
      </c>
      <c r="B282" s="244" t="s">
        <v>977</v>
      </c>
      <c r="C282" s="222">
        <f t="shared" si="79"/>
        <v>0</v>
      </c>
      <c r="D282" s="222"/>
      <c r="E282" s="222"/>
      <c r="F282" s="223">
        <v>14000000</v>
      </c>
      <c r="G282" s="223">
        <v>0</v>
      </c>
      <c r="H282" s="223">
        <v>14000000</v>
      </c>
      <c r="I282" s="223">
        <v>0</v>
      </c>
      <c r="J282" s="223">
        <v>0</v>
      </c>
      <c r="K282" s="223">
        <v>0</v>
      </c>
      <c r="L282" s="223">
        <v>0</v>
      </c>
      <c r="M282" s="223">
        <v>0</v>
      </c>
      <c r="N282" s="223">
        <v>0</v>
      </c>
      <c r="O282" s="224">
        <v>0</v>
      </c>
      <c r="P282" s="225"/>
      <c r="Q282" s="226"/>
    </row>
    <row r="283" spans="1:17" s="215" customFormat="1">
      <c r="A283" s="216" t="s">
        <v>978</v>
      </c>
      <c r="B283" s="217" t="s">
        <v>874</v>
      </c>
      <c r="C283" s="217">
        <f t="shared" si="79"/>
        <v>43095031.32</v>
      </c>
      <c r="D283" s="217"/>
      <c r="E283" s="217"/>
      <c r="F283" s="218">
        <v>43095031.32</v>
      </c>
      <c r="G283" s="218">
        <v>0</v>
      </c>
      <c r="H283" s="218">
        <v>0</v>
      </c>
      <c r="I283" s="218">
        <v>0</v>
      </c>
      <c r="J283" s="218">
        <v>0</v>
      </c>
      <c r="K283" s="218">
        <v>43095031.32</v>
      </c>
      <c r="L283" s="218">
        <f t="shared" ref="L283:O283" si="80">SUM(L284:L286)</f>
        <v>26525130</v>
      </c>
      <c r="M283" s="218">
        <f t="shared" si="80"/>
        <v>26525130</v>
      </c>
      <c r="N283" s="218">
        <f t="shared" si="80"/>
        <v>2110146</v>
      </c>
      <c r="O283" s="219">
        <f t="shared" si="80"/>
        <v>1775130</v>
      </c>
      <c r="P283" s="213"/>
      <c r="Q283" s="220">
        <f>SUM(Q284:Q286)</f>
        <v>0</v>
      </c>
    </row>
    <row r="284" spans="1:17" s="207" customFormat="1">
      <c r="A284" s="221" t="s">
        <v>979</v>
      </c>
      <c r="B284" s="222" t="s">
        <v>980</v>
      </c>
      <c r="C284" s="222">
        <f t="shared" si="79"/>
        <v>12595031.32</v>
      </c>
      <c r="D284" s="222"/>
      <c r="E284" s="222"/>
      <c r="F284" s="223">
        <v>12595031.32</v>
      </c>
      <c r="G284" s="223">
        <v>0</v>
      </c>
      <c r="H284" s="223">
        <v>0</v>
      </c>
      <c r="I284" s="223">
        <v>0</v>
      </c>
      <c r="J284" s="223">
        <v>0</v>
      </c>
      <c r="K284" s="223">
        <v>12595031.32</v>
      </c>
      <c r="L284" s="223">
        <v>1775130</v>
      </c>
      <c r="M284" s="223">
        <v>1775130</v>
      </c>
      <c r="N284" s="223">
        <v>2110146</v>
      </c>
      <c r="O284" s="224">
        <v>1775130</v>
      </c>
      <c r="P284" s="225"/>
      <c r="Q284" s="226"/>
    </row>
    <row r="285" spans="1:17" s="207" customFormat="1" ht="25.5">
      <c r="A285" s="243" t="s">
        <v>981</v>
      </c>
      <c r="B285" s="244" t="s">
        <v>982</v>
      </c>
      <c r="C285" s="222">
        <f t="shared" si="79"/>
        <v>27500000</v>
      </c>
      <c r="D285" s="222"/>
      <c r="E285" s="222"/>
      <c r="F285" s="223">
        <v>27500000</v>
      </c>
      <c r="G285" s="223">
        <v>0</v>
      </c>
      <c r="H285" s="223">
        <v>0</v>
      </c>
      <c r="I285" s="223">
        <v>0</v>
      </c>
      <c r="J285" s="223">
        <v>0</v>
      </c>
      <c r="K285" s="223">
        <v>27500000</v>
      </c>
      <c r="L285" s="223">
        <v>24750000</v>
      </c>
      <c r="M285" s="223">
        <v>24750000</v>
      </c>
      <c r="N285" s="223">
        <v>0</v>
      </c>
      <c r="O285" s="224">
        <v>0</v>
      </c>
      <c r="P285" s="225"/>
      <c r="Q285" s="226"/>
    </row>
    <row r="286" spans="1:17" s="207" customFormat="1">
      <c r="A286" s="243" t="s">
        <v>983</v>
      </c>
      <c r="B286" s="244" t="s">
        <v>984</v>
      </c>
      <c r="C286" s="222">
        <f t="shared" si="79"/>
        <v>3000000</v>
      </c>
      <c r="D286" s="222"/>
      <c r="E286" s="222"/>
      <c r="F286" s="223">
        <v>3000000</v>
      </c>
      <c r="G286" s="223">
        <v>0</v>
      </c>
      <c r="H286" s="223">
        <v>0</v>
      </c>
      <c r="I286" s="223">
        <v>0</v>
      </c>
      <c r="J286" s="223">
        <v>0</v>
      </c>
      <c r="K286" s="223">
        <v>3000000</v>
      </c>
      <c r="L286" s="223">
        <v>0</v>
      </c>
      <c r="M286" s="223">
        <v>0</v>
      </c>
      <c r="N286" s="223">
        <v>0</v>
      </c>
      <c r="O286" s="224">
        <v>0</v>
      </c>
      <c r="P286" s="225"/>
      <c r="Q286" s="226"/>
    </row>
    <row r="287" spans="1:17" s="215" customFormat="1">
      <c r="A287" s="216" t="s">
        <v>985</v>
      </c>
      <c r="B287" s="217" t="s">
        <v>116</v>
      </c>
      <c r="C287" s="217">
        <f t="shared" si="79"/>
        <v>0</v>
      </c>
      <c r="D287" s="217"/>
      <c r="E287" s="217"/>
      <c r="F287" s="218">
        <v>8000000</v>
      </c>
      <c r="G287" s="218">
        <v>0</v>
      </c>
      <c r="H287" s="218">
        <v>0</v>
      </c>
      <c r="I287" s="218">
        <v>0</v>
      </c>
      <c r="J287" s="218">
        <v>8000000</v>
      </c>
      <c r="K287" s="218">
        <v>0</v>
      </c>
      <c r="L287" s="218">
        <f t="shared" ref="L287:O287" si="81">L288</f>
        <v>0</v>
      </c>
      <c r="M287" s="218">
        <f t="shared" si="81"/>
        <v>0</v>
      </c>
      <c r="N287" s="218">
        <f t="shared" si="81"/>
        <v>0</v>
      </c>
      <c r="O287" s="219">
        <f t="shared" si="81"/>
        <v>0</v>
      </c>
      <c r="P287" s="213"/>
      <c r="Q287" s="220">
        <f>Q288</f>
        <v>0</v>
      </c>
    </row>
    <row r="288" spans="1:17" s="207" customFormat="1" ht="25.5">
      <c r="A288" s="243" t="s">
        <v>986</v>
      </c>
      <c r="B288" s="244" t="s">
        <v>746</v>
      </c>
      <c r="C288" s="222">
        <f t="shared" si="79"/>
        <v>0</v>
      </c>
      <c r="D288" s="222"/>
      <c r="E288" s="222"/>
      <c r="F288" s="223">
        <v>8000000</v>
      </c>
      <c r="G288" s="223">
        <v>0</v>
      </c>
      <c r="H288" s="223">
        <v>0</v>
      </c>
      <c r="I288" s="223">
        <v>0</v>
      </c>
      <c r="J288" s="223">
        <v>8000000</v>
      </c>
      <c r="K288" s="223">
        <v>0</v>
      </c>
      <c r="L288" s="223">
        <v>0</v>
      </c>
      <c r="M288" s="223">
        <v>0</v>
      </c>
      <c r="N288" s="223">
        <v>0</v>
      </c>
      <c r="O288" s="224">
        <v>0</v>
      </c>
      <c r="P288" s="225"/>
      <c r="Q288" s="226"/>
    </row>
    <row r="289" spans="1:17" s="215" customFormat="1">
      <c r="A289" s="216" t="s">
        <v>987</v>
      </c>
      <c r="B289" s="217" t="s">
        <v>735</v>
      </c>
      <c r="C289" s="217">
        <f t="shared" si="79"/>
        <v>0</v>
      </c>
      <c r="D289" s="217"/>
      <c r="E289" s="217"/>
      <c r="F289" s="218">
        <v>1000000</v>
      </c>
      <c r="G289" s="218">
        <v>0</v>
      </c>
      <c r="H289" s="218">
        <v>0</v>
      </c>
      <c r="I289" s="218">
        <v>0</v>
      </c>
      <c r="J289" s="218">
        <v>1000000</v>
      </c>
      <c r="K289" s="218">
        <v>0</v>
      </c>
      <c r="L289" s="218">
        <f t="shared" ref="L289:O289" si="82">L290</f>
        <v>0</v>
      </c>
      <c r="M289" s="218">
        <f t="shared" si="82"/>
        <v>0</v>
      </c>
      <c r="N289" s="218">
        <f t="shared" si="82"/>
        <v>0</v>
      </c>
      <c r="O289" s="219">
        <f t="shared" si="82"/>
        <v>0</v>
      </c>
      <c r="P289" s="213"/>
      <c r="Q289" s="220">
        <f>Q290</f>
        <v>0</v>
      </c>
    </row>
    <row r="290" spans="1:17" s="207" customFormat="1" ht="25.5">
      <c r="A290" s="243" t="s">
        <v>988</v>
      </c>
      <c r="B290" s="244" t="s">
        <v>736</v>
      </c>
      <c r="C290" s="222">
        <f t="shared" si="79"/>
        <v>0</v>
      </c>
      <c r="D290" s="222"/>
      <c r="E290" s="222"/>
      <c r="F290" s="223">
        <v>1000000</v>
      </c>
      <c r="G290" s="223">
        <v>0</v>
      </c>
      <c r="H290" s="223">
        <v>0</v>
      </c>
      <c r="I290" s="223">
        <v>0</v>
      </c>
      <c r="J290" s="223">
        <v>1000000</v>
      </c>
      <c r="K290" s="223">
        <v>0</v>
      </c>
      <c r="L290" s="223">
        <v>0</v>
      </c>
      <c r="M290" s="223">
        <v>0</v>
      </c>
      <c r="N290" s="223">
        <v>0</v>
      </c>
      <c r="O290" s="224">
        <v>0</v>
      </c>
      <c r="P290" s="225"/>
      <c r="Q290" s="226"/>
    </row>
    <row r="291" spans="1:17" s="215" customFormat="1">
      <c r="A291" s="216" t="s">
        <v>989</v>
      </c>
      <c r="B291" s="217" t="s">
        <v>990</v>
      </c>
      <c r="C291" s="217">
        <f t="shared" si="79"/>
        <v>0</v>
      </c>
      <c r="D291" s="217"/>
      <c r="E291" s="217"/>
      <c r="F291" s="218">
        <v>12000000</v>
      </c>
      <c r="G291" s="218">
        <v>0</v>
      </c>
      <c r="H291" s="218">
        <v>0</v>
      </c>
      <c r="I291" s="218">
        <v>0</v>
      </c>
      <c r="J291" s="218">
        <v>12000000</v>
      </c>
      <c r="K291" s="218">
        <v>0</v>
      </c>
      <c r="L291" s="218">
        <f t="shared" ref="L291:O291" si="83">SUM(L292:L295)</f>
        <v>0</v>
      </c>
      <c r="M291" s="218">
        <f t="shared" si="83"/>
        <v>0</v>
      </c>
      <c r="N291" s="218">
        <f t="shared" si="83"/>
        <v>0</v>
      </c>
      <c r="O291" s="219">
        <f t="shared" si="83"/>
        <v>0</v>
      </c>
      <c r="P291" s="213"/>
      <c r="Q291" s="220">
        <f>SUM(Q292:Q295)</f>
        <v>0</v>
      </c>
    </row>
    <row r="292" spans="1:17" s="207" customFormat="1" ht="25.5">
      <c r="A292" s="243" t="s">
        <v>991</v>
      </c>
      <c r="B292" s="244" t="s">
        <v>992</v>
      </c>
      <c r="C292" s="222">
        <f t="shared" si="79"/>
        <v>0</v>
      </c>
      <c r="D292" s="222"/>
      <c r="E292" s="222"/>
      <c r="F292" s="223">
        <v>4000000</v>
      </c>
      <c r="G292" s="223">
        <v>0</v>
      </c>
      <c r="H292" s="223">
        <v>0</v>
      </c>
      <c r="I292" s="223">
        <v>0</v>
      </c>
      <c r="J292" s="223">
        <v>4000000</v>
      </c>
      <c r="K292" s="223">
        <v>0</v>
      </c>
      <c r="L292" s="223">
        <v>0</v>
      </c>
      <c r="M292" s="223">
        <v>0</v>
      </c>
      <c r="N292" s="223">
        <v>0</v>
      </c>
      <c r="O292" s="224">
        <v>0</v>
      </c>
      <c r="P292" s="225"/>
      <c r="Q292" s="226"/>
    </row>
    <row r="293" spans="1:17" s="207" customFormat="1" ht="25.5">
      <c r="A293" s="243" t="s">
        <v>993</v>
      </c>
      <c r="B293" s="244" t="s">
        <v>994</v>
      </c>
      <c r="C293" s="222">
        <f t="shared" si="79"/>
        <v>0</v>
      </c>
      <c r="D293" s="222"/>
      <c r="E293" s="222"/>
      <c r="F293" s="223">
        <v>4000000</v>
      </c>
      <c r="G293" s="223">
        <v>0</v>
      </c>
      <c r="H293" s="223">
        <v>0</v>
      </c>
      <c r="I293" s="223">
        <v>0</v>
      </c>
      <c r="J293" s="223">
        <v>4000000</v>
      </c>
      <c r="K293" s="223">
        <v>0</v>
      </c>
      <c r="L293" s="223">
        <v>0</v>
      </c>
      <c r="M293" s="223">
        <v>0</v>
      </c>
      <c r="N293" s="223">
        <v>0</v>
      </c>
      <c r="O293" s="224">
        <v>0</v>
      </c>
      <c r="P293" s="225"/>
      <c r="Q293" s="226"/>
    </row>
    <row r="294" spans="1:17" s="207" customFormat="1">
      <c r="A294" s="243" t="s">
        <v>995</v>
      </c>
      <c r="B294" s="244" t="s">
        <v>996</v>
      </c>
      <c r="C294" s="222">
        <f t="shared" si="79"/>
        <v>0</v>
      </c>
      <c r="D294" s="222"/>
      <c r="E294" s="222"/>
      <c r="F294" s="223">
        <v>2000000</v>
      </c>
      <c r="G294" s="223">
        <v>0</v>
      </c>
      <c r="H294" s="223">
        <v>0</v>
      </c>
      <c r="I294" s="223">
        <v>0</v>
      </c>
      <c r="J294" s="223">
        <v>2000000</v>
      </c>
      <c r="K294" s="223">
        <v>0</v>
      </c>
      <c r="L294" s="223">
        <v>0</v>
      </c>
      <c r="M294" s="223">
        <v>0</v>
      </c>
      <c r="N294" s="223">
        <v>0</v>
      </c>
      <c r="O294" s="224">
        <v>0</v>
      </c>
      <c r="P294" s="225"/>
      <c r="Q294" s="226"/>
    </row>
    <row r="295" spans="1:17" s="207" customFormat="1" ht="25.5">
      <c r="A295" s="243" t="s">
        <v>997</v>
      </c>
      <c r="B295" s="244" t="s">
        <v>998</v>
      </c>
      <c r="C295" s="222">
        <f t="shared" si="79"/>
        <v>0</v>
      </c>
      <c r="D295" s="222"/>
      <c r="E295" s="222"/>
      <c r="F295" s="223">
        <v>2000000</v>
      </c>
      <c r="G295" s="223">
        <v>0</v>
      </c>
      <c r="H295" s="223">
        <v>0</v>
      </c>
      <c r="I295" s="223">
        <v>0</v>
      </c>
      <c r="J295" s="223">
        <v>2000000</v>
      </c>
      <c r="K295" s="223">
        <v>0</v>
      </c>
      <c r="L295" s="223">
        <v>0</v>
      </c>
      <c r="M295" s="223">
        <v>0</v>
      </c>
      <c r="N295" s="223">
        <v>0</v>
      </c>
      <c r="O295" s="224">
        <v>0</v>
      </c>
      <c r="P295" s="225"/>
      <c r="Q295" s="226"/>
    </row>
    <row r="296" spans="1:17" s="215" customFormat="1">
      <c r="A296" s="216" t="s">
        <v>29</v>
      </c>
      <c r="B296" s="217" t="s">
        <v>999</v>
      </c>
      <c r="C296" s="217">
        <f t="shared" si="79"/>
        <v>318553670</v>
      </c>
      <c r="D296" s="217"/>
      <c r="E296" s="217"/>
      <c r="F296" s="218">
        <v>369208463.38</v>
      </c>
      <c r="G296" s="218">
        <v>123334575</v>
      </c>
      <c r="H296" s="218">
        <v>123334575</v>
      </c>
      <c r="I296" s="218">
        <v>0</v>
      </c>
      <c r="J296" s="218">
        <v>50654793.380000003</v>
      </c>
      <c r="K296" s="218">
        <v>318553670</v>
      </c>
      <c r="L296" s="218">
        <f t="shared" ref="L296:O296" si="84">L297+L309+L320+L328+L329+L330</f>
        <v>75519552.909999996</v>
      </c>
      <c r="M296" s="218">
        <f t="shared" si="84"/>
        <v>75519552.909999996</v>
      </c>
      <c r="N296" s="218">
        <f t="shared" si="84"/>
        <v>23705879</v>
      </c>
      <c r="O296" s="219">
        <f t="shared" si="84"/>
        <v>8705879</v>
      </c>
      <c r="P296" s="213"/>
      <c r="Q296" s="220">
        <f>Q297+Q309+Q320+Q328+Q329+Q330</f>
        <v>0</v>
      </c>
    </row>
    <row r="297" spans="1:17" s="215" customFormat="1">
      <c r="A297" s="216" t="s">
        <v>1000</v>
      </c>
      <c r="B297" s="217" t="s">
        <v>1001</v>
      </c>
      <c r="C297" s="217">
        <f t="shared" si="79"/>
        <v>103678460.72</v>
      </c>
      <c r="D297" s="217"/>
      <c r="E297" s="217"/>
      <c r="F297" s="218">
        <v>90333254.099999994</v>
      </c>
      <c r="G297" s="218">
        <v>34000000</v>
      </c>
      <c r="H297" s="218">
        <v>10000000</v>
      </c>
      <c r="I297" s="218">
        <v>0</v>
      </c>
      <c r="J297" s="218">
        <v>10654793.380000001</v>
      </c>
      <c r="K297" s="218">
        <v>103678460.72</v>
      </c>
      <c r="L297" s="218">
        <f t="shared" ref="L297:O297" si="85">SUM(L298:L308)</f>
        <v>31333254.100000001</v>
      </c>
      <c r="M297" s="218">
        <f t="shared" si="85"/>
        <v>31333254.100000001</v>
      </c>
      <c r="N297" s="218">
        <f t="shared" si="85"/>
        <v>4623394</v>
      </c>
      <c r="O297" s="219">
        <f t="shared" si="85"/>
        <v>4623394</v>
      </c>
      <c r="P297" s="213"/>
      <c r="Q297" s="220">
        <f>SUM(Q298:Q308)</f>
        <v>0</v>
      </c>
    </row>
    <row r="298" spans="1:17" s="207" customFormat="1">
      <c r="A298" s="242" t="s">
        <v>1002</v>
      </c>
      <c r="B298" s="247" t="s">
        <v>1003</v>
      </c>
      <c r="C298" s="222">
        <f t="shared" si="79"/>
        <v>31333254.100000001</v>
      </c>
      <c r="D298" s="222"/>
      <c r="E298" s="222"/>
      <c r="F298" s="223">
        <v>31333254.100000001</v>
      </c>
      <c r="G298" s="223">
        <v>0</v>
      </c>
      <c r="H298" s="223">
        <v>0</v>
      </c>
      <c r="I298" s="223">
        <v>0</v>
      </c>
      <c r="J298" s="223">
        <v>0</v>
      </c>
      <c r="K298" s="223">
        <v>31333254.100000001</v>
      </c>
      <c r="L298" s="223">
        <v>31333254.100000001</v>
      </c>
      <c r="M298" s="223">
        <v>31333254.100000001</v>
      </c>
      <c r="N298" s="223">
        <v>4623394</v>
      </c>
      <c r="O298" s="224">
        <v>4623394</v>
      </c>
      <c r="P298" s="225"/>
      <c r="Q298" s="226"/>
    </row>
    <row r="299" spans="1:17" s="207" customFormat="1">
      <c r="A299" s="242" t="s">
        <v>1004</v>
      </c>
      <c r="B299" s="247" t="s">
        <v>1005</v>
      </c>
      <c r="C299" s="222">
        <f t="shared" si="79"/>
        <v>14000000</v>
      </c>
      <c r="D299" s="222"/>
      <c r="E299" s="222"/>
      <c r="F299" s="223">
        <v>0</v>
      </c>
      <c r="G299" s="223">
        <v>14000000</v>
      </c>
      <c r="H299" s="223">
        <v>0</v>
      </c>
      <c r="I299" s="223">
        <v>0</v>
      </c>
      <c r="J299" s="223">
        <v>0</v>
      </c>
      <c r="K299" s="223">
        <v>14000000</v>
      </c>
      <c r="L299" s="223">
        <v>0</v>
      </c>
      <c r="M299" s="223">
        <v>0</v>
      </c>
      <c r="N299" s="223">
        <v>0</v>
      </c>
      <c r="O299" s="224">
        <v>0</v>
      </c>
      <c r="P299" s="225"/>
      <c r="Q299" s="226"/>
    </row>
    <row r="300" spans="1:17" s="207" customFormat="1" ht="25.5">
      <c r="A300" s="242" t="s">
        <v>1006</v>
      </c>
      <c r="B300" s="247" t="s">
        <v>1007</v>
      </c>
      <c r="C300" s="222">
        <f t="shared" si="79"/>
        <v>0</v>
      </c>
      <c r="D300" s="222"/>
      <c r="E300" s="222"/>
      <c r="F300" s="223">
        <v>0</v>
      </c>
      <c r="G300" s="223">
        <v>0</v>
      </c>
      <c r="H300" s="223">
        <v>0</v>
      </c>
      <c r="I300" s="223">
        <v>0</v>
      </c>
      <c r="J300" s="223">
        <v>0</v>
      </c>
      <c r="K300" s="223">
        <v>0</v>
      </c>
      <c r="L300" s="223">
        <v>0</v>
      </c>
      <c r="M300" s="223">
        <v>0</v>
      </c>
      <c r="N300" s="223">
        <v>0</v>
      </c>
      <c r="O300" s="224">
        <v>0</v>
      </c>
      <c r="P300" s="225"/>
      <c r="Q300" s="226"/>
    </row>
    <row r="301" spans="1:17" s="207" customFormat="1" ht="25.5">
      <c r="A301" s="242" t="s">
        <v>1008</v>
      </c>
      <c r="B301" s="247" t="s">
        <v>1009</v>
      </c>
      <c r="C301" s="222">
        <f t="shared" si="79"/>
        <v>0</v>
      </c>
      <c r="D301" s="222"/>
      <c r="E301" s="222"/>
      <c r="F301" s="223">
        <v>0</v>
      </c>
      <c r="G301" s="223">
        <v>0</v>
      </c>
      <c r="H301" s="223">
        <v>0</v>
      </c>
      <c r="I301" s="223">
        <v>0</v>
      </c>
      <c r="J301" s="223">
        <v>0</v>
      </c>
      <c r="K301" s="223">
        <v>0</v>
      </c>
      <c r="L301" s="223">
        <v>0</v>
      </c>
      <c r="M301" s="223">
        <v>0</v>
      </c>
      <c r="N301" s="223">
        <v>0</v>
      </c>
      <c r="O301" s="224">
        <v>0</v>
      </c>
      <c r="P301" s="225"/>
      <c r="Q301" s="226"/>
    </row>
    <row r="302" spans="1:17" s="207" customFormat="1" ht="25.5">
      <c r="A302" s="242" t="s">
        <v>1010</v>
      </c>
      <c r="B302" s="247" t="s">
        <v>1264</v>
      </c>
      <c r="C302" s="222">
        <f t="shared" si="79"/>
        <v>20000000</v>
      </c>
      <c r="D302" s="222"/>
      <c r="E302" s="222"/>
      <c r="F302" s="223">
        <v>0</v>
      </c>
      <c r="G302" s="223">
        <v>20000000</v>
      </c>
      <c r="H302" s="223">
        <v>0</v>
      </c>
      <c r="I302" s="223">
        <v>0</v>
      </c>
      <c r="J302" s="223">
        <v>0</v>
      </c>
      <c r="K302" s="223">
        <v>20000000</v>
      </c>
      <c r="L302" s="223">
        <v>0</v>
      </c>
      <c r="M302" s="223">
        <v>0</v>
      </c>
      <c r="N302" s="223">
        <v>0</v>
      </c>
      <c r="O302" s="224">
        <v>0</v>
      </c>
      <c r="P302" s="225"/>
      <c r="Q302" s="226"/>
    </row>
    <row r="303" spans="1:17" s="207" customFormat="1">
      <c r="A303" s="242" t="s">
        <v>1011</v>
      </c>
      <c r="B303" s="247" t="s">
        <v>1012</v>
      </c>
      <c r="C303" s="222">
        <f t="shared" si="79"/>
        <v>22345206.620000001</v>
      </c>
      <c r="D303" s="222"/>
      <c r="E303" s="222"/>
      <c r="F303" s="223">
        <v>40000000</v>
      </c>
      <c r="G303" s="223">
        <v>0</v>
      </c>
      <c r="H303" s="223">
        <v>7000000</v>
      </c>
      <c r="I303" s="223">
        <v>0</v>
      </c>
      <c r="J303" s="223">
        <v>10654793.380000001</v>
      </c>
      <c r="K303" s="223">
        <v>22345206.620000001</v>
      </c>
      <c r="L303" s="223">
        <v>0</v>
      </c>
      <c r="M303" s="223">
        <v>0</v>
      </c>
      <c r="N303" s="223">
        <v>0</v>
      </c>
      <c r="O303" s="224">
        <v>0</v>
      </c>
      <c r="P303" s="225"/>
      <c r="Q303" s="226"/>
    </row>
    <row r="304" spans="1:17" s="207" customFormat="1">
      <c r="A304" s="242" t="s">
        <v>1013</v>
      </c>
      <c r="B304" s="247" t="s">
        <v>1014</v>
      </c>
      <c r="C304" s="222">
        <f t="shared" si="79"/>
        <v>0</v>
      </c>
      <c r="D304" s="222"/>
      <c r="E304" s="222"/>
      <c r="F304" s="223">
        <v>0</v>
      </c>
      <c r="G304" s="223">
        <v>0</v>
      </c>
      <c r="H304" s="223">
        <v>0</v>
      </c>
      <c r="I304" s="223">
        <v>0</v>
      </c>
      <c r="J304" s="223">
        <v>0</v>
      </c>
      <c r="K304" s="223">
        <v>0</v>
      </c>
      <c r="L304" s="223">
        <v>0</v>
      </c>
      <c r="M304" s="223">
        <v>0</v>
      </c>
      <c r="N304" s="223">
        <v>0</v>
      </c>
      <c r="O304" s="224">
        <v>0</v>
      </c>
      <c r="P304" s="225"/>
      <c r="Q304" s="226"/>
    </row>
    <row r="305" spans="1:17" s="207" customFormat="1">
      <c r="A305" s="242" t="s">
        <v>1015</v>
      </c>
      <c r="B305" s="247" t="s">
        <v>1016</v>
      </c>
      <c r="C305" s="222">
        <f t="shared" si="79"/>
        <v>0</v>
      </c>
      <c r="D305" s="222"/>
      <c r="E305" s="222"/>
      <c r="F305" s="223">
        <v>0</v>
      </c>
      <c r="G305" s="223">
        <v>0</v>
      </c>
      <c r="H305" s="223">
        <v>0</v>
      </c>
      <c r="I305" s="223">
        <v>0</v>
      </c>
      <c r="J305" s="223">
        <v>0</v>
      </c>
      <c r="K305" s="223">
        <v>0</v>
      </c>
      <c r="L305" s="223">
        <v>0</v>
      </c>
      <c r="M305" s="223">
        <v>0</v>
      </c>
      <c r="N305" s="223">
        <v>0</v>
      </c>
      <c r="O305" s="224">
        <v>0</v>
      </c>
      <c r="P305" s="225"/>
      <c r="Q305" s="226"/>
    </row>
    <row r="306" spans="1:17" s="207" customFormat="1">
      <c r="A306" s="242" t="s">
        <v>1017</v>
      </c>
      <c r="B306" s="247" t="s">
        <v>1018</v>
      </c>
      <c r="C306" s="222">
        <f t="shared" si="79"/>
        <v>0</v>
      </c>
      <c r="D306" s="222"/>
      <c r="E306" s="222"/>
      <c r="F306" s="223">
        <v>0</v>
      </c>
      <c r="G306" s="223">
        <v>0</v>
      </c>
      <c r="H306" s="223">
        <v>0</v>
      </c>
      <c r="I306" s="223">
        <v>0</v>
      </c>
      <c r="J306" s="223">
        <v>0</v>
      </c>
      <c r="K306" s="223">
        <v>0</v>
      </c>
      <c r="L306" s="223">
        <v>0</v>
      </c>
      <c r="M306" s="223">
        <v>0</v>
      </c>
      <c r="N306" s="223">
        <v>0</v>
      </c>
      <c r="O306" s="224">
        <v>0</v>
      </c>
      <c r="P306" s="225"/>
      <c r="Q306" s="226"/>
    </row>
    <row r="307" spans="1:17" s="207" customFormat="1">
      <c r="A307" s="242" t="s">
        <v>1019</v>
      </c>
      <c r="B307" s="247" t="s">
        <v>1020</v>
      </c>
      <c r="C307" s="222">
        <f t="shared" si="79"/>
        <v>9000000</v>
      </c>
      <c r="D307" s="222"/>
      <c r="E307" s="222"/>
      <c r="F307" s="223">
        <v>9000000</v>
      </c>
      <c r="G307" s="223">
        <v>0</v>
      </c>
      <c r="H307" s="223">
        <v>0</v>
      </c>
      <c r="I307" s="223">
        <v>0</v>
      </c>
      <c r="J307" s="223">
        <v>0</v>
      </c>
      <c r="K307" s="223">
        <v>9000000</v>
      </c>
      <c r="L307" s="223">
        <v>0</v>
      </c>
      <c r="M307" s="223">
        <v>0</v>
      </c>
      <c r="N307" s="223">
        <v>0</v>
      </c>
      <c r="O307" s="224">
        <v>0</v>
      </c>
      <c r="P307" s="225"/>
      <c r="Q307" s="226"/>
    </row>
    <row r="308" spans="1:17" s="207" customFormat="1">
      <c r="A308" s="242" t="s">
        <v>1021</v>
      </c>
      <c r="B308" s="247" t="s">
        <v>1022</v>
      </c>
      <c r="C308" s="222">
        <f t="shared" si="79"/>
        <v>7000000</v>
      </c>
      <c r="D308" s="222"/>
      <c r="E308" s="222"/>
      <c r="F308" s="223">
        <v>10000000</v>
      </c>
      <c r="G308" s="223">
        <v>0</v>
      </c>
      <c r="H308" s="223">
        <v>3000000</v>
      </c>
      <c r="I308" s="223">
        <v>0</v>
      </c>
      <c r="J308" s="223">
        <v>0</v>
      </c>
      <c r="K308" s="223">
        <v>7000000</v>
      </c>
      <c r="L308" s="223">
        <v>0</v>
      </c>
      <c r="M308" s="223">
        <v>0</v>
      </c>
      <c r="N308" s="223">
        <v>0</v>
      </c>
      <c r="O308" s="224">
        <v>0</v>
      </c>
      <c r="P308" s="225"/>
      <c r="Q308" s="226"/>
    </row>
    <row r="309" spans="1:17" s="215" customFormat="1">
      <c r="A309" s="216" t="s">
        <v>1023</v>
      </c>
      <c r="B309" s="217" t="s">
        <v>1024</v>
      </c>
      <c r="C309" s="217">
        <f t="shared" si="79"/>
        <v>58732821.049999997</v>
      </c>
      <c r="D309" s="217"/>
      <c r="E309" s="217"/>
      <c r="F309" s="218">
        <v>100632821.05</v>
      </c>
      <c r="G309" s="218">
        <v>15634575</v>
      </c>
      <c r="H309" s="218">
        <v>17534575</v>
      </c>
      <c r="I309" s="218">
        <v>0</v>
      </c>
      <c r="J309" s="218">
        <v>40000000</v>
      </c>
      <c r="K309" s="218">
        <v>58732821.049999997</v>
      </c>
      <c r="L309" s="218">
        <f t="shared" ref="L309:O309" si="86">SUM(L310:L319)</f>
        <v>29943910.579999998</v>
      </c>
      <c r="M309" s="218">
        <f t="shared" si="86"/>
        <v>29943910.579999998</v>
      </c>
      <c r="N309" s="218">
        <f t="shared" si="86"/>
        <v>16384822</v>
      </c>
      <c r="O309" s="219">
        <f t="shared" si="86"/>
        <v>1384822</v>
      </c>
      <c r="P309" s="213"/>
      <c r="Q309" s="220">
        <f>SUM(Q310:Q319)</f>
        <v>0</v>
      </c>
    </row>
    <row r="310" spans="1:17" s="207" customFormat="1" ht="25.5">
      <c r="A310" s="242" t="s">
        <v>1025</v>
      </c>
      <c r="B310" s="247" t="s">
        <v>1026</v>
      </c>
      <c r="C310" s="222">
        <f t="shared" si="79"/>
        <v>11393910.58</v>
      </c>
      <c r="D310" s="222"/>
      <c r="E310" s="222"/>
      <c r="F310" s="223">
        <v>11393910.58</v>
      </c>
      <c r="G310" s="223">
        <v>0</v>
      </c>
      <c r="H310" s="223">
        <v>0</v>
      </c>
      <c r="I310" s="223">
        <v>0</v>
      </c>
      <c r="J310" s="223">
        <v>0</v>
      </c>
      <c r="K310" s="223">
        <v>11393910.58</v>
      </c>
      <c r="L310" s="223">
        <v>11393910.58</v>
      </c>
      <c r="M310" s="223">
        <v>11393910.58</v>
      </c>
      <c r="N310" s="223">
        <v>1384822</v>
      </c>
      <c r="O310" s="224">
        <v>1384822</v>
      </c>
      <c r="P310" s="225"/>
      <c r="Q310" s="226"/>
    </row>
    <row r="311" spans="1:17" s="207" customFormat="1">
      <c r="A311" s="242" t="s">
        <v>1027</v>
      </c>
      <c r="B311" s="247" t="s">
        <v>1005</v>
      </c>
      <c r="C311" s="222">
        <f t="shared" si="79"/>
        <v>7100000</v>
      </c>
      <c r="D311" s="222"/>
      <c r="E311" s="222"/>
      <c r="F311" s="223">
        <v>12000000</v>
      </c>
      <c r="G311" s="223">
        <v>0</v>
      </c>
      <c r="H311" s="223">
        <v>4900000</v>
      </c>
      <c r="I311" s="223">
        <v>0</v>
      </c>
      <c r="J311" s="223">
        <v>0</v>
      </c>
      <c r="K311" s="223">
        <v>7100000</v>
      </c>
      <c r="L311" s="223">
        <v>3550000</v>
      </c>
      <c r="M311" s="223">
        <v>3550000</v>
      </c>
      <c r="N311" s="223">
        <v>0</v>
      </c>
      <c r="O311" s="224">
        <v>0</v>
      </c>
      <c r="P311" s="225"/>
      <c r="Q311" s="226"/>
    </row>
    <row r="312" spans="1:17" s="207" customFormat="1" ht="25.5">
      <c r="A312" s="242" t="s">
        <v>1028</v>
      </c>
      <c r="B312" s="247" t="s">
        <v>1029</v>
      </c>
      <c r="C312" s="222">
        <f t="shared" si="79"/>
        <v>0</v>
      </c>
      <c r="D312" s="222"/>
      <c r="E312" s="222"/>
      <c r="F312" s="223">
        <v>0</v>
      </c>
      <c r="G312" s="223">
        <v>0</v>
      </c>
      <c r="H312" s="223">
        <v>0</v>
      </c>
      <c r="I312" s="223">
        <v>0</v>
      </c>
      <c r="J312" s="223">
        <v>0</v>
      </c>
      <c r="K312" s="223">
        <v>0</v>
      </c>
      <c r="L312" s="223">
        <v>0</v>
      </c>
      <c r="M312" s="223">
        <v>0</v>
      </c>
      <c r="N312" s="223">
        <v>0</v>
      </c>
      <c r="O312" s="224">
        <v>0</v>
      </c>
      <c r="P312" s="225"/>
      <c r="Q312" s="226"/>
    </row>
    <row r="313" spans="1:17" s="207" customFormat="1">
      <c r="A313" s="242" t="s">
        <v>1030</v>
      </c>
      <c r="B313" s="247" t="s">
        <v>1031</v>
      </c>
      <c r="C313" s="222">
        <f t="shared" si="79"/>
        <v>12604335.470000001</v>
      </c>
      <c r="D313" s="222"/>
      <c r="E313" s="222"/>
      <c r="F313" s="223">
        <v>45238910.469999999</v>
      </c>
      <c r="G313" s="223">
        <v>0</v>
      </c>
      <c r="H313" s="223">
        <v>12634575</v>
      </c>
      <c r="I313" s="223">
        <v>0</v>
      </c>
      <c r="J313" s="223">
        <v>20000000</v>
      </c>
      <c r="K313" s="223">
        <v>12604335.470000001</v>
      </c>
      <c r="L313" s="223">
        <v>0</v>
      </c>
      <c r="M313" s="223">
        <v>0</v>
      </c>
      <c r="N313" s="223">
        <v>0</v>
      </c>
      <c r="O313" s="224">
        <v>0</v>
      </c>
      <c r="P313" s="225"/>
      <c r="Q313" s="226"/>
    </row>
    <row r="314" spans="1:17" s="207" customFormat="1">
      <c r="A314" s="242" t="s">
        <v>1032</v>
      </c>
      <c r="B314" s="247" t="s">
        <v>1033</v>
      </c>
      <c r="C314" s="222">
        <f t="shared" si="79"/>
        <v>0</v>
      </c>
      <c r="D314" s="222"/>
      <c r="E314" s="222"/>
      <c r="F314" s="223">
        <v>0</v>
      </c>
      <c r="G314" s="223">
        <v>0</v>
      </c>
      <c r="H314" s="223">
        <v>0</v>
      </c>
      <c r="I314" s="223">
        <v>0</v>
      </c>
      <c r="J314" s="223">
        <v>0</v>
      </c>
      <c r="K314" s="223">
        <v>0</v>
      </c>
      <c r="L314" s="223">
        <v>0</v>
      </c>
      <c r="M314" s="223">
        <v>0</v>
      </c>
      <c r="N314" s="223">
        <v>0</v>
      </c>
      <c r="O314" s="224">
        <v>0</v>
      </c>
      <c r="P314" s="225"/>
      <c r="Q314" s="226"/>
    </row>
    <row r="315" spans="1:17" s="207" customFormat="1">
      <c r="A315" s="242" t="s">
        <v>1034</v>
      </c>
      <c r="B315" s="247" t="s">
        <v>1035</v>
      </c>
      <c r="C315" s="222">
        <f t="shared" si="79"/>
        <v>15000000</v>
      </c>
      <c r="D315" s="222"/>
      <c r="E315" s="222"/>
      <c r="F315" s="223">
        <v>12000000</v>
      </c>
      <c r="G315" s="223">
        <v>3000000</v>
      </c>
      <c r="H315" s="223">
        <v>0</v>
      </c>
      <c r="I315" s="223">
        <v>0</v>
      </c>
      <c r="J315" s="223">
        <v>0</v>
      </c>
      <c r="K315" s="223">
        <v>15000000</v>
      </c>
      <c r="L315" s="223">
        <v>15000000</v>
      </c>
      <c r="M315" s="223">
        <v>15000000</v>
      </c>
      <c r="N315" s="223">
        <v>15000000</v>
      </c>
      <c r="O315" s="224">
        <v>0</v>
      </c>
      <c r="P315" s="225"/>
      <c r="Q315" s="226"/>
    </row>
    <row r="316" spans="1:17" s="207" customFormat="1">
      <c r="A316" s="242" t="s">
        <v>1036</v>
      </c>
      <c r="B316" s="247" t="s">
        <v>1265</v>
      </c>
      <c r="C316" s="222">
        <f t="shared" si="79"/>
        <v>12634575</v>
      </c>
      <c r="D316" s="222"/>
      <c r="E316" s="222"/>
      <c r="F316" s="223">
        <v>0</v>
      </c>
      <c r="G316" s="223">
        <v>12634575</v>
      </c>
      <c r="H316" s="223">
        <v>0</v>
      </c>
      <c r="I316" s="223">
        <v>0</v>
      </c>
      <c r="J316" s="223">
        <v>0</v>
      </c>
      <c r="K316" s="223">
        <v>12634575</v>
      </c>
      <c r="L316" s="223">
        <v>0</v>
      </c>
      <c r="M316" s="223">
        <v>0</v>
      </c>
      <c r="N316" s="223">
        <v>0</v>
      </c>
      <c r="O316" s="224">
        <v>0</v>
      </c>
      <c r="P316" s="225"/>
      <c r="Q316" s="226"/>
    </row>
    <row r="317" spans="1:17" s="207" customFormat="1">
      <c r="A317" s="242" t="s">
        <v>1037</v>
      </c>
      <c r="B317" s="247" t="s">
        <v>1038</v>
      </c>
      <c r="C317" s="222">
        <f t="shared" si="79"/>
        <v>0</v>
      </c>
      <c r="D317" s="222"/>
      <c r="E317" s="222"/>
      <c r="F317" s="223">
        <v>0</v>
      </c>
      <c r="G317" s="223">
        <v>0</v>
      </c>
      <c r="H317" s="223">
        <v>0</v>
      </c>
      <c r="I317" s="223">
        <v>0</v>
      </c>
      <c r="J317" s="223">
        <v>0</v>
      </c>
      <c r="K317" s="223">
        <v>0</v>
      </c>
      <c r="L317" s="223">
        <v>0</v>
      </c>
      <c r="M317" s="223">
        <v>0</v>
      </c>
      <c r="N317" s="223">
        <v>0</v>
      </c>
      <c r="O317" s="224">
        <v>0</v>
      </c>
      <c r="P317" s="225"/>
      <c r="Q317" s="226"/>
    </row>
    <row r="318" spans="1:17" s="207" customFormat="1">
      <c r="A318" s="242" t="s">
        <v>1039</v>
      </c>
      <c r="B318" s="247" t="s">
        <v>1040</v>
      </c>
      <c r="C318" s="222">
        <f t="shared" si="79"/>
        <v>0</v>
      </c>
      <c r="D318" s="222"/>
      <c r="E318" s="222"/>
      <c r="F318" s="223">
        <v>0</v>
      </c>
      <c r="G318" s="223">
        <v>0</v>
      </c>
      <c r="H318" s="223">
        <v>0</v>
      </c>
      <c r="I318" s="223">
        <v>0</v>
      </c>
      <c r="J318" s="223">
        <v>0</v>
      </c>
      <c r="K318" s="223">
        <v>0</v>
      </c>
      <c r="L318" s="223">
        <v>0</v>
      </c>
      <c r="M318" s="223">
        <v>0</v>
      </c>
      <c r="N318" s="223">
        <v>0</v>
      </c>
      <c r="O318" s="224">
        <v>0</v>
      </c>
      <c r="P318" s="225"/>
      <c r="Q318" s="226"/>
    </row>
    <row r="319" spans="1:17" s="207" customFormat="1">
      <c r="A319" s="242" t="s">
        <v>1041</v>
      </c>
      <c r="B319" s="247" t="s">
        <v>1042</v>
      </c>
      <c r="C319" s="222">
        <f t="shared" si="79"/>
        <v>0</v>
      </c>
      <c r="D319" s="222"/>
      <c r="E319" s="222"/>
      <c r="F319" s="223">
        <v>20000000</v>
      </c>
      <c r="G319" s="223">
        <v>0</v>
      </c>
      <c r="H319" s="223">
        <v>0</v>
      </c>
      <c r="I319" s="223">
        <v>0</v>
      </c>
      <c r="J319" s="223">
        <v>20000000</v>
      </c>
      <c r="K319" s="223">
        <v>0</v>
      </c>
      <c r="L319" s="223">
        <v>0</v>
      </c>
      <c r="M319" s="223">
        <v>0</v>
      </c>
      <c r="N319" s="223">
        <v>0</v>
      </c>
      <c r="O319" s="224">
        <v>0</v>
      </c>
      <c r="P319" s="225"/>
      <c r="Q319" s="226"/>
    </row>
    <row r="320" spans="1:17" s="215" customFormat="1">
      <c r="A320" s="216" t="s">
        <v>1043</v>
      </c>
      <c r="B320" s="217" t="s">
        <v>1044</v>
      </c>
      <c r="C320" s="217">
        <f t="shared" si="79"/>
        <v>48242388.229999997</v>
      </c>
      <c r="D320" s="217"/>
      <c r="E320" s="217"/>
      <c r="F320" s="218">
        <v>48242388.229999997</v>
      </c>
      <c r="G320" s="218">
        <v>0</v>
      </c>
      <c r="H320" s="218">
        <v>0</v>
      </c>
      <c r="I320" s="218">
        <v>0</v>
      </c>
      <c r="J320" s="218">
        <v>0</v>
      </c>
      <c r="K320" s="218">
        <v>48242388.229999997</v>
      </c>
      <c r="L320" s="218">
        <f t="shared" ref="L320:O320" si="87">SUM(L321:L327)</f>
        <v>14242388.23</v>
      </c>
      <c r="M320" s="218">
        <f t="shared" si="87"/>
        <v>14242388.23</v>
      </c>
      <c r="N320" s="218">
        <f t="shared" si="87"/>
        <v>2697663</v>
      </c>
      <c r="O320" s="219">
        <f t="shared" si="87"/>
        <v>2697663</v>
      </c>
      <c r="P320" s="213"/>
      <c r="Q320" s="220">
        <f>SUM(Q321:Q327)</f>
        <v>0</v>
      </c>
    </row>
    <row r="321" spans="1:17" s="207" customFormat="1">
      <c r="A321" s="242" t="s">
        <v>1045</v>
      </c>
      <c r="B321" s="247" t="s">
        <v>1046</v>
      </c>
      <c r="C321" s="222">
        <f t="shared" si="79"/>
        <v>14242388.23</v>
      </c>
      <c r="D321" s="222"/>
      <c r="E321" s="222"/>
      <c r="F321" s="223">
        <v>14242388.23</v>
      </c>
      <c r="G321" s="223">
        <v>0</v>
      </c>
      <c r="H321" s="223">
        <v>0</v>
      </c>
      <c r="I321" s="223">
        <v>0</v>
      </c>
      <c r="J321" s="223">
        <v>0</v>
      </c>
      <c r="K321" s="223">
        <v>14242388.23</v>
      </c>
      <c r="L321" s="223">
        <v>14242388.23</v>
      </c>
      <c r="M321" s="223">
        <v>14242388.23</v>
      </c>
      <c r="N321" s="223">
        <v>2697663</v>
      </c>
      <c r="O321" s="224">
        <v>2697663</v>
      </c>
      <c r="P321" s="225"/>
      <c r="Q321" s="226"/>
    </row>
    <row r="322" spans="1:17" s="207" customFormat="1">
      <c r="A322" s="242" t="s">
        <v>1047</v>
      </c>
      <c r="B322" s="247" t="s">
        <v>1005</v>
      </c>
      <c r="C322" s="222">
        <f t="shared" si="79"/>
        <v>0</v>
      </c>
      <c r="D322" s="222"/>
      <c r="E322" s="222"/>
      <c r="F322" s="223">
        <v>0</v>
      </c>
      <c r="G322" s="223">
        <v>0</v>
      </c>
      <c r="H322" s="223">
        <v>0</v>
      </c>
      <c r="I322" s="223">
        <v>0</v>
      </c>
      <c r="J322" s="223">
        <v>0</v>
      </c>
      <c r="K322" s="223">
        <v>0</v>
      </c>
      <c r="L322" s="223">
        <v>0</v>
      </c>
      <c r="M322" s="223">
        <v>0</v>
      </c>
      <c r="N322" s="223">
        <v>0</v>
      </c>
      <c r="O322" s="224">
        <v>0</v>
      </c>
      <c r="P322" s="225"/>
      <c r="Q322" s="226"/>
    </row>
    <row r="323" spans="1:17" s="207" customFormat="1" ht="25.5">
      <c r="A323" s="242" t="s">
        <v>1048</v>
      </c>
      <c r="B323" s="247" t="s">
        <v>1049</v>
      </c>
      <c r="C323" s="222">
        <f t="shared" si="79"/>
        <v>0</v>
      </c>
      <c r="D323" s="222"/>
      <c r="E323" s="222"/>
      <c r="F323" s="223">
        <v>0</v>
      </c>
      <c r="G323" s="223">
        <v>0</v>
      </c>
      <c r="H323" s="223">
        <v>0</v>
      </c>
      <c r="I323" s="223">
        <v>0</v>
      </c>
      <c r="J323" s="223">
        <v>0</v>
      </c>
      <c r="K323" s="223">
        <v>0</v>
      </c>
      <c r="L323" s="223">
        <v>0</v>
      </c>
      <c r="M323" s="223">
        <v>0</v>
      </c>
      <c r="N323" s="223">
        <v>0</v>
      </c>
      <c r="O323" s="224">
        <v>0</v>
      </c>
      <c r="P323" s="225"/>
      <c r="Q323" s="226"/>
    </row>
    <row r="324" spans="1:17" s="207" customFormat="1">
      <c r="A324" s="242" t="s">
        <v>1050</v>
      </c>
      <c r="B324" s="247" t="s">
        <v>1051</v>
      </c>
      <c r="C324" s="222">
        <f t="shared" si="79"/>
        <v>10000000</v>
      </c>
      <c r="D324" s="222"/>
      <c r="E324" s="222"/>
      <c r="F324" s="223">
        <v>10000000</v>
      </c>
      <c r="G324" s="223">
        <v>0</v>
      </c>
      <c r="H324" s="223">
        <v>0</v>
      </c>
      <c r="I324" s="223">
        <v>0</v>
      </c>
      <c r="J324" s="223">
        <v>0</v>
      </c>
      <c r="K324" s="223">
        <v>10000000</v>
      </c>
      <c r="L324" s="223">
        <v>0</v>
      </c>
      <c r="M324" s="223">
        <v>0</v>
      </c>
      <c r="N324" s="223">
        <v>0</v>
      </c>
      <c r="O324" s="224">
        <v>0</v>
      </c>
      <c r="P324" s="225"/>
      <c r="Q324" s="226"/>
    </row>
    <row r="325" spans="1:17" s="207" customFormat="1">
      <c r="A325" s="242" t="s">
        <v>1052</v>
      </c>
      <c r="B325" s="247" t="s">
        <v>1053</v>
      </c>
      <c r="C325" s="222">
        <f t="shared" si="79"/>
        <v>0</v>
      </c>
      <c r="D325" s="222"/>
      <c r="E325" s="222"/>
      <c r="F325" s="223">
        <v>0</v>
      </c>
      <c r="G325" s="223">
        <v>0</v>
      </c>
      <c r="H325" s="223">
        <v>0</v>
      </c>
      <c r="I325" s="223">
        <v>0</v>
      </c>
      <c r="J325" s="223">
        <v>0</v>
      </c>
      <c r="K325" s="223">
        <v>0</v>
      </c>
      <c r="L325" s="223">
        <v>0</v>
      </c>
      <c r="M325" s="223">
        <v>0</v>
      </c>
      <c r="N325" s="223">
        <v>0</v>
      </c>
      <c r="O325" s="224">
        <v>0</v>
      </c>
      <c r="P325" s="225"/>
      <c r="Q325" s="226"/>
    </row>
    <row r="326" spans="1:17" s="207" customFormat="1">
      <c r="A326" s="242" t="s">
        <v>1054</v>
      </c>
      <c r="B326" s="247" t="s">
        <v>1055</v>
      </c>
      <c r="C326" s="222">
        <f t="shared" si="79"/>
        <v>8000000</v>
      </c>
      <c r="D326" s="222"/>
      <c r="E326" s="222"/>
      <c r="F326" s="223">
        <v>8000000</v>
      </c>
      <c r="G326" s="223">
        <v>0</v>
      </c>
      <c r="H326" s="223">
        <v>0</v>
      </c>
      <c r="I326" s="223">
        <v>0</v>
      </c>
      <c r="J326" s="223">
        <v>0</v>
      </c>
      <c r="K326" s="223">
        <v>8000000</v>
      </c>
      <c r="L326" s="223">
        <v>0</v>
      </c>
      <c r="M326" s="223">
        <v>0</v>
      </c>
      <c r="N326" s="223">
        <v>0</v>
      </c>
      <c r="O326" s="224">
        <v>0</v>
      </c>
      <c r="P326" s="225"/>
      <c r="Q326" s="226"/>
    </row>
    <row r="327" spans="1:17" s="207" customFormat="1">
      <c r="A327" s="242" t="s">
        <v>1056</v>
      </c>
      <c r="B327" s="247" t="s">
        <v>1057</v>
      </c>
      <c r="C327" s="222">
        <f t="shared" si="79"/>
        <v>16000000</v>
      </c>
      <c r="D327" s="222"/>
      <c r="E327" s="222"/>
      <c r="F327" s="223">
        <v>16000000</v>
      </c>
      <c r="G327" s="223">
        <v>0</v>
      </c>
      <c r="H327" s="223">
        <v>0</v>
      </c>
      <c r="I327" s="223">
        <v>0</v>
      </c>
      <c r="J327" s="223">
        <v>0</v>
      </c>
      <c r="K327" s="223">
        <v>16000000</v>
      </c>
      <c r="L327" s="223">
        <v>0</v>
      </c>
      <c r="M327" s="223">
        <v>0</v>
      </c>
      <c r="N327" s="223">
        <v>0</v>
      </c>
      <c r="O327" s="224">
        <v>0</v>
      </c>
      <c r="P327" s="225"/>
      <c r="Q327" s="226"/>
    </row>
    <row r="328" spans="1:17" s="207" customFormat="1" ht="25.5">
      <c r="A328" s="242" t="s">
        <v>1058</v>
      </c>
      <c r="B328" s="247" t="s">
        <v>1059</v>
      </c>
      <c r="C328" s="222">
        <f t="shared" si="79"/>
        <v>56000000</v>
      </c>
      <c r="D328" s="222"/>
      <c r="E328" s="222"/>
      <c r="F328" s="223">
        <v>0</v>
      </c>
      <c r="G328" s="223">
        <v>56000000</v>
      </c>
      <c r="H328" s="223">
        <v>0</v>
      </c>
      <c r="I328" s="223">
        <v>0</v>
      </c>
      <c r="J328" s="223">
        <v>0</v>
      </c>
      <c r="K328" s="223">
        <v>56000000</v>
      </c>
      <c r="L328" s="223">
        <v>0</v>
      </c>
      <c r="M328" s="223">
        <v>0</v>
      </c>
      <c r="N328" s="223">
        <v>0</v>
      </c>
      <c r="O328" s="224">
        <v>0</v>
      </c>
      <c r="P328" s="225"/>
      <c r="Q328" s="226"/>
    </row>
    <row r="329" spans="1:17" s="207" customFormat="1" ht="25.5">
      <c r="A329" s="242" t="s">
        <v>1060</v>
      </c>
      <c r="B329" s="247" t="s">
        <v>1061</v>
      </c>
      <c r="C329" s="222">
        <f t="shared" si="79"/>
        <v>10000000</v>
      </c>
      <c r="D329" s="222"/>
      <c r="E329" s="222"/>
      <c r="F329" s="223">
        <v>100000000</v>
      </c>
      <c r="G329" s="223">
        <v>0</v>
      </c>
      <c r="H329" s="223">
        <v>90000000</v>
      </c>
      <c r="I329" s="223">
        <v>0</v>
      </c>
      <c r="J329" s="223">
        <v>0</v>
      </c>
      <c r="K329" s="223">
        <v>10000000</v>
      </c>
      <c r="L329" s="223">
        <v>0</v>
      </c>
      <c r="M329" s="223">
        <v>0</v>
      </c>
      <c r="N329" s="223">
        <v>0</v>
      </c>
      <c r="O329" s="224">
        <v>0</v>
      </c>
      <c r="P329" s="225"/>
      <c r="Q329" s="226"/>
    </row>
    <row r="330" spans="1:17" s="207" customFormat="1">
      <c r="A330" s="242" t="s">
        <v>1062</v>
      </c>
      <c r="B330" s="247" t="s">
        <v>1266</v>
      </c>
      <c r="C330" s="222">
        <f t="shared" si="79"/>
        <v>39100000</v>
      </c>
      <c r="D330" s="222"/>
      <c r="E330" s="222"/>
      <c r="F330" s="223">
        <v>30000000</v>
      </c>
      <c r="G330" s="223">
        <v>14900000</v>
      </c>
      <c r="H330" s="223">
        <v>5800000</v>
      </c>
      <c r="I330" s="223">
        <v>0</v>
      </c>
      <c r="J330" s="223">
        <v>0</v>
      </c>
      <c r="K330" s="223">
        <v>39100000</v>
      </c>
      <c r="L330" s="223">
        <v>0</v>
      </c>
      <c r="M330" s="223">
        <v>0</v>
      </c>
      <c r="N330" s="223">
        <v>0</v>
      </c>
      <c r="O330" s="224">
        <v>0</v>
      </c>
      <c r="P330" s="225"/>
      <c r="Q330" s="226"/>
    </row>
    <row r="331" spans="1:17" s="323" customFormat="1" ht="25.5">
      <c r="A331" s="317" t="s">
        <v>1267</v>
      </c>
      <c r="B331" s="318" t="s">
        <v>1268</v>
      </c>
      <c r="C331" s="318"/>
      <c r="D331" s="318"/>
      <c r="E331" s="318"/>
      <c r="F331" s="319">
        <v>0</v>
      </c>
      <c r="G331" s="319">
        <v>2800000</v>
      </c>
      <c r="H331" s="319">
        <v>0</v>
      </c>
      <c r="I331" s="319">
        <v>0</v>
      </c>
      <c r="J331" s="319">
        <v>0</v>
      </c>
      <c r="K331" s="319">
        <v>2800000</v>
      </c>
      <c r="L331" s="319"/>
      <c r="M331" s="319"/>
      <c r="N331" s="319"/>
      <c r="O331" s="320"/>
      <c r="P331" s="321"/>
      <c r="Q331" s="322"/>
    </row>
    <row r="332" spans="1:17" s="215" customFormat="1">
      <c r="A332" s="216" t="s">
        <v>1063</v>
      </c>
      <c r="B332" s="217" t="s">
        <v>1064</v>
      </c>
      <c r="C332" s="217">
        <f t="shared" si="79"/>
        <v>0</v>
      </c>
      <c r="D332" s="217"/>
      <c r="E332" s="217"/>
      <c r="F332" s="218">
        <v>0</v>
      </c>
      <c r="G332" s="218">
        <v>0</v>
      </c>
      <c r="H332" s="218">
        <v>0</v>
      </c>
      <c r="I332" s="218">
        <v>0</v>
      </c>
      <c r="J332" s="218">
        <v>0</v>
      </c>
      <c r="K332" s="218">
        <v>0</v>
      </c>
      <c r="L332" s="218">
        <f t="shared" ref="L332:O332" si="88">SUM(L333)</f>
        <v>0</v>
      </c>
      <c r="M332" s="218">
        <f t="shared" si="88"/>
        <v>0</v>
      </c>
      <c r="N332" s="218">
        <f t="shared" si="88"/>
        <v>0</v>
      </c>
      <c r="O332" s="219">
        <f t="shared" si="88"/>
        <v>0</v>
      </c>
      <c r="P332" s="213"/>
      <c r="Q332" s="220">
        <f>SUM(Q333)</f>
        <v>0</v>
      </c>
    </row>
    <row r="333" spans="1:17" s="207" customFormat="1">
      <c r="A333" s="221" t="s">
        <v>1065</v>
      </c>
      <c r="B333" s="222" t="s">
        <v>1066</v>
      </c>
      <c r="C333" s="222">
        <f t="shared" si="79"/>
        <v>0</v>
      </c>
      <c r="D333" s="222"/>
      <c r="E333" s="222"/>
      <c r="F333" s="223">
        <v>0</v>
      </c>
      <c r="G333" s="223">
        <v>0</v>
      </c>
      <c r="H333" s="223">
        <v>0</v>
      </c>
      <c r="I333" s="223">
        <v>0</v>
      </c>
      <c r="J333" s="223">
        <v>0</v>
      </c>
      <c r="K333" s="223">
        <v>0</v>
      </c>
      <c r="L333" s="223">
        <v>0</v>
      </c>
      <c r="M333" s="223">
        <v>0</v>
      </c>
      <c r="N333" s="223">
        <v>0</v>
      </c>
      <c r="O333" s="224">
        <v>0</v>
      </c>
      <c r="P333" s="225"/>
      <c r="Q333" s="226"/>
    </row>
    <row r="334" spans="1:17" s="215" customFormat="1">
      <c r="A334" s="216" t="s">
        <v>30</v>
      </c>
      <c r="B334" s="217" t="s">
        <v>31</v>
      </c>
      <c r="C334" s="217">
        <f t="shared" si="79"/>
        <v>2520875642.5700002</v>
      </c>
      <c r="D334" s="217"/>
      <c r="E334" s="217"/>
      <c r="F334" s="218">
        <v>1769831153.76</v>
      </c>
      <c r="G334" s="218">
        <v>0</v>
      </c>
      <c r="H334" s="218">
        <v>0</v>
      </c>
      <c r="I334" s="218">
        <v>786666432.52999997</v>
      </c>
      <c r="J334" s="218">
        <v>35621943.719999999</v>
      </c>
      <c r="K334" s="218">
        <v>2520875642.5700002</v>
      </c>
      <c r="L334" s="218">
        <f t="shared" ref="L334:O334" si="89">SUM(L335+SUM(L371:L377))</f>
        <v>473027444.02000004</v>
      </c>
      <c r="M334" s="218">
        <f t="shared" si="89"/>
        <v>466352931.79000002</v>
      </c>
      <c r="N334" s="218">
        <f t="shared" si="89"/>
        <v>441610902.79000002</v>
      </c>
      <c r="O334" s="219">
        <f t="shared" si="89"/>
        <v>415136403</v>
      </c>
      <c r="P334" s="213"/>
      <c r="Q334" s="220">
        <f>SUM(Q335+SUM(Q371:Q377))</f>
        <v>0</v>
      </c>
    </row>
    <row r="335" spans="1:17" s="215" customFormat="1">
      <c r="A335" s="216" t="s">
        <v>32</v>
      </c>
      <c r="B335" s="217" t="s">
        <v>33</v>
      </c>
      <c r="C335" s="217">
        <f t="shared" si="79"/>
        <v>2448503025.5700002</v>
      </c>
      <c r="D335" s="217"/>
      <c r="E335" s="217"/>
      <c r="F335" s="218">
        <v>1764603725.76</v>
      </c>
      <c r="G335" s="218">
        <v>0</v>
      </c>
      <c r="H335" s="218">
        <v>0</v>
      </c>
      <c r="I335" s="218">
        <v>719521243.52999997</v>
      </c>
      <c r="J335" s="218">
        <v>35621943.719999999</v>
      </c>
      <c r="K335" s="218">
        <v>2448503025.5700002</v>
      </c>
      <c r="L335" s="218">
        <f t="shared" ref="L335:O335" si="90">L336</f>
        <v>473027444.02000004</v>
      </c>
      <c r="M335" s="218">
        <f t="shared" si="90"/>
        <v>466352931.79000002</v>
      </c>
      <c r="N335" s="218">
        <f t="shared" si="90"/>
        <v>441610902.79000002</v>
      </c>
      <c r="O335" s="219">
        <f t="shared" si="90"/>
        <v>415136403</v>
      </c>
      <c r="P335" s="213"/>
      <c r="Q335" s="220">
        <f>Q336</f>
        <v>0</v>
      </c>
    </row>
    <row r="336" spans="1:17" s="215" customFormat="1">
      <c r="A336" s="216" t="s">
        <v>37</v>
      </c>
      <c r="B336" s="217" t="s">
        <v>1067</v>
      </c>
      <c r="C336" s="217">
        <f t="shared" si="79"/>
        <v>2448503025.5700002</v>
      </c>
      <c r="D336" s="217"/>
      <c r="E336" s="217"/>
      <c r="F336" s="218">
        <v>1764603725.76</v>
      </c>
      <c r="G336" s="218">
        <v>0</v>
      </c>
      <c r="H336" s="218">
        <v>0</v>
      </c>
      <c r="I336" s="218">
        <v>719521243.52999997</v>
      </c>
      <c r="J336" s="218">
        <v>35621943.719999999</v>
      </c>
      <c r="K336" s="218">
        <v>2448503025.5700002</v>
      </c>
      <c r="L336" s="218">
        <f t="shared" ref="L336:O336" si="91">L337+L362+L366</f>
        <v>473027444.02000004</v>
      </c>
      <c r="M336" s="218">
        <f t="shared" si="91"/>
        <v>466352931.79000002</v>
      </c>
      <c r="N336" s="218">
        <f t="shared" si="91"/>
        <v>441610902.79000002</v>
      </c>
      <c r="O336" s="219">
        <f t="shared" si="91"/>
        <v>415136403</v>
      </c>
      <c r="P336" s="213"/>
      <c r="Q336" s="220">
        <f>Q337+Q362+Q366</f>
        <v>0</v>
      </c>
    </row>
    <row r="337" spans="1:17" s="215" customFormat="1">
      <c r="A337" s="216" t="s">
        <v>38</v>
      </c>
      <c r="B337" s="217" t="s">
        <v>1068</v>
      </c>
      <c r="C337" s="217">
        <f t="shared" si="79"/>
        <v>2362682723.1300001</v>
      </c>
      <c r="D337" s="217"/>
      <c r="E337" s="217"/>
      <c r="F337" s="218">
        <v>1704329926.0599999</v>
      </c>
      <c r="G337" s="218">
        <v>0</v>
      </c>
      <c r="H337" s="218">
        <v>0</v>
      </c>
      <c r="I337" s="218">
        <v>693974740.78999996</v>
      </c>
      <c r="J337" s="218">
        <v>35621943.719999999</v>
      </c>
      <c r="K337" s="218">
        <v>2362682723.1300001</v>
      </c>
      <c r="L337" s="218">
        <f t="shared" ref="L337:O337" si="92">SUM(L338:L343)+SUM(L360:L361)</f>
        <v>467369327.78000003</v>
      </c>
      <c r="M337" s="218">
        <f t="shared" si="92"/>
        <v>460694815.55000001</v>
      </c>
      <c r="N337" s="218">
        <f t="shared" si="92"/>
        <v>441610902.79000002</v>
      </c>
      <c r="O337" s="219">
        <f t="shared" si="92"/>
        <v>415136403</v>
      </c>
      <c r="P337" s="213"/>
      <c r="Q337" s="220">
        <f>SUM(Q338:Q343)+SUM(Q360:Q361)</f>
        <v>0</v>
      </c>
    </row>
    <row r="338" spans="1:17" s="207" customFormat="1">
      <c r="A338" s="243" t="s">
        <v>39</v>
      </c>
      <c r="B338" s="244" t="s">
        <v>40</v>
      </c>
      <c r="C338" s="222">
        <f t="shared" si="79"/>
        <v>1024707043</v>
      </c>
      <c r="D338" s="222"/>
      <c r="E338" s="222"/>
      <c r="F338" s="223">
        <v>974903599.74000001</v>
      </c>
      <c r="G338" s="223">
        <v>0</v>
      </c>
      <c r="H338" s="223">
        <v>0</v>
      </c>
      <c r="I338" s="223">
        <v>85211655.319999993</v>
      </c>
      <c r="J338" s="223">
        <v>35408212.060000002</v>
      </c>
      <c r="K338" s="223">
        <v>1024707043</v>
      </c>
      <c r="L338" s="223">
        <v>238727907.93000001</v>
      </c>
      <c r="M338" s="223">
        <v>238727907.93000001</v>
      </c>
      <c r="N338" s="223">
        <v>238727907</v>
      </c>
      <c r="O338" s="224">
        <v>238727907</v>
      </c>
      <c r="P338" s="225"/>
      <c r="Q338" s="226"/>
    </row>
    <row r="339" spans="1:17" s="207" customFormat="1">
      <c r="A339" s="243" t="s">
        <v>41</v>
      </c>
      <c r="B339" s="244" t="s">
        <v>42</v>
      </c>
      <c r="C339" s="222">
        <f t="shared" si="79"/>
        <v>263433.40000000002</v>
      </c>
      <c r="D339" s="222"/>
      <c r="E339" s="222"/>
      <c r="F339" s="223">
        <v>263433.40000000002</v>
      </c>
      <c r="G339" s="223">
        <v>0</v>
      </c>
      <c r="H339" s="223">
        <v>0</v>
      </c>
      <c r="I339" s="223">
        <v>0</v>
      </c>
      <c r="J339" s="223">
        <v>0</v>
      </c>
      <c r="K339" s="223">
        <v>263433.40000000002</v>
      </c>
      <c r="L339" s="223">
        <v>0</v>
      </c>
      <c r="M339" s="223">
        <v>0</v>
      </c>
      <c r="N339" s="223">
        <v>0</v>
      </c>
      <c r="O339" s="224">
        <v>0</v>
      </c>
      <c r="P339" s="225"/>
      <c r="Q339" s="226"/>
    </row>
    <row r="340" spans="1:17" s="207" customFormat="1">
      <c r="A340" s="245" t="s">
        <v>43</v>
      </c>
      <c r="B340" s="246" t="s">
        <v>44</v>
      </c>
      <c r="C340" s="222">
        <f t="shared" si="79"/>
        <v>566419515.72000003</v>
      </c>
      <c r="D340" s="222"/>
      <c r="E340" s="222"/>
      <c r="F340" s="223">
        <v>566419515.72000003</v>
      </c>
      <c r="G340" s="223">
        <v>0</v>
      </c>
      <c r="H340" s="223">
        <v>0</v>
      </c>
      <c r="I340" s="223">
        <v>0</v>
      </c>
      <c r="J340" s="223">
        <v>0</v>
      </c>
      <c r="K340" s="223">
        <v>566419515.72000003</v>
      </c>
      <c r="L340" s="223">
        <v>147418058.37</v>
      </c>
      <c r="M340" s="223">
        <v>147418058.37</v>
      </c>
      <c r="N340" s="223">
        <v>147374239.5</v>
      </c>
      <c r="O340" s="224">
        <v>147374239.5</v>
      </c>
      <c r="P340" s="225"/>
      <c r="Q340" s="226"/>
    </row>
    <row r="341" spans="1:17" s="207" customFormat="1">
      <c r="A341" s="245" t="s">
        <v>45</v>
      </c>
      <c r="B341" s="246" t="s">
        <v>1069</v>
      </c>
      <c r="C341" s="222">
        <f t="shared" si="79"/>
        <v>25097526.68</v>
      </c>
      <c r="D341" s="222"/>
      <c r="E341" s="222"/>
      <c r="F341" s="223">
        <v>25097526.68</v>
      </c>
      <c r="G341" s="223">
        <v>0</v>
      </c>
      <c r="H341" s="223">
        <v>0</v>
      </c>
      <c r="I341" s="223">
        <v>0</v>
      </c>
      <c r="J341" s="223">
        <v>0</v>
      </c>
      <c r="K341" s="223">
        <v>25097526.68</v>
      </c>
      <c r="L341" s="223">
        <v>4730000</v>
      </c>
      <c r="M341" s="223">
        <v>4730000</v>
      </c>
      <c r="N341" s="223">
        <v>4730000</v>
      </c>
      <c r="O341" s="224">
        <v>4730000</v>
      </c>
      <c r="P341" s="225"/>
      <c r="Q341" s="226"/>
    </row>
    <row r="342" spans="1:17" s="207" customFormat="1">
      <c r="A342" s="245" t="s">
        <v>46</v>
      </c>
      <c r="B342" s="246" t="s">
        <v>47</v>
      </c>
      <c r="C342" s="222">
        <f t="shared" si="79"/>
        <v>127419870.97</v>
      </c>
      <c r="D342" s="222"/>
      <c r="E342" s="222"/>
      <c r="F342" s="223">
        <v>127419870.97</v>
      </c>
      <c r="G342" s="223">
        <v>0</v>
      </c>
      <c r="H342" s="223">
        <v>0</v>
      </c>
      <c r="I342" s="223">
        <v>0</v>
      </c>
      <c r="J342" s="223">
        <v>0</v>
      </c>
      <c r="K342" s="223">
        <v>127419870.97</v>
      </c>
      <c r="L342" s="223">
        <v>4628841</v>
      </c>
      <c r="M342" s="223">
        <v>4628841</v>
      </c>
      <c r="N342" s="223">
        <v>4628841</v>
      </c>
      <c r="O342" s="224">
        <v>4628841</v>
      </c>
      <c r="P342" s="225"/>
      <c r="Q342" s="226"/>
    </row>
    <row r="343" spans="1:17" s="215" customFormat="1">
      <c r="A343" s="216" t="s">
        <v>48</v>
      </c>
      <c r="B343" s="217" t="s">
        <v>127</v>
      </c>
      <c r="C343" s="217">
        <f t="shared" si="79"/>
        <v>608763085.47000003</v>
      </c>
      <c r="D343" s="217"/>
      <c r="E343" s="217"/>
      <c r="F343" s="218">
        <v>0</v>
      </c>
      <c r="G343" s="218">
        <v>0</v>
      </c>
      <c r="H343" s="218">
        <v>0</v>
      </c>
      <c r="I343" s="218">
        <v>608763085.47000003</v>
      </c>
      <c r="J343" s="218">
        <v>0</v>
      </c>
      <c r="K343" s="218">
        <v>608763085.47000003</v>
      </c>
      <c r="L343" s="218">
        <f t="shared" ref="L343:O343" si="93">L344+L353+L354</f>
        <v>65190008.25</v>
      </c>
      <c r="M343" s="218">
        <f t="shared" si="93"/>
        <v>65190008.25</v>
      </c>
      <c r="N343" s="218">
        <f t="shared" si="93"/>
        <v>46149915.289999999</v>
      </c>
      <c r="O343" s="219">
        <f t="shared" si="93"/>
        <v>19675415.5</v>
      </c>
      <c r="P343" s="213"/>
      <c r="Q343" s="220">
        <f>Q344+Q353+Q354</f>
        <v>0</v>
      </c>
    </row>
    <row r="344" spans="1:17" s="215" customFormat="1">
      <c r="A344" s="216" t="s">
        <v>1070</v>
      </c>
      <c r="B344" s="217" t="s">
        <v>53</v>
      </c>
      <c r="C344" s="217">
        <f t="shared" si="79"/>
        <v>593840995.47000003</v>
      </c>
      <c r="D344" s="217"/>
      <c r="E344" s="217"/>
      <c r="F344" s="218">
        <v>0</v>
      </c>
      <c r="G344" s="218">
        <v>0</v>
      </c>
      <c r="H344" s="218">
        <v>0</v>
      </c>
      <c r="I344" s="218">
        <v>593840995.47000003</v>
      </c>
      <c r="J344" s="218">
        <v>0</v>
      </c>
      <c r="K344" s="218">
        <v>593840995.47000003</v>
      </c>
      <c r="L344" s="218">
        <f t="shared" ref="L344:O344" si="94">SUM(L345:L352)</f>
        <v>52063206.25</v>
      </c>
      <c r="M344" s="218">
        <f t="shared" si="94"/>
        <v>52063206.25</v>
      </c>
      <c r="N344" s="218">
        <f t="shared" si="94"/>
        <v>46149915.289999999</v>
      </c>
      <c r="O344" s="219">
        <f t="shared" si="94"/>
        <v>19675415.5</v>
      </c>
      <c r="P344" s="213"/>
      <c r="Q344" s="220">
        <f>SUM(Q345:Q352)</f>
        <v>0</v>
      </c>
    </row>
    <row r="345" spans="1:17" s="207" customFormat="1">
      <c r="A345" s="267" t="s">
        <v>1071</v>
      </c>
      <c r="B345" s="268" t="s">
        <v>432</v>
      </c>
      <c r="C345" s="222">
        <f t="shared" ref="C345:C408" si="95">K345</f>
        <v>1819.31</v>
      </c>
      <c r="D345" s="222"/>
      <c r="E345" s="222"/>
      <c r="F345" s="223">
        <v>0</v>
      </c>
      <c r="G345" s="223">
        <v>0</v>
      </c>
      <c r="H345" s="223">
        <v>0</v>
      </c>
      <c r="I345" s="223">
        <v>1819.31</v>
      </c>
      <c r="J345" s="223">
        <v>0</v>
      </c>
      <c r="K345" s="223">
        <v>1819.31</v>
      </c>
      <c r="L345" s="223">
        <v>0</v>
      </c>
      <c r="M345" s="223">
        <v>0</v>
      </c>
      <c r="N345" s="223">
        <v>0</v>
      </c>
      <c r="O345" s="224">
        <v>0</v>
      </c>
      <c r="P345" s="225"/>
      <c r="Q345" s="226"/>
    </row>
    <row r="346" spans="1:17" s="207" customFormat="1">
      <c r="A346" s="267" t="s">
        <v>1072</v>
      </c>
      <c r="B346" s="268" t="s">
        <v>54</v>
      </c>
      <c r="C346" s="222">
        <f t="shared" si="95"/>
        <v>5936611.8600000003</v>
      </c>
      <c r="D346" s="222"/>
      <c r="E346" s="222"/>
      <c r="F346" s="223">
        <v>0</v>
      </c>
      <c r="G346" s="223">
        <v>0</v>
      </c>
      <c r="H346" s="223">
        <v>0</v>
      </c>
      <c r="I346" s="223">
        <v>5936611.8600000003</v>
      </c>
      <c r="J346" s="223">
        <v>0</v>
      </c>
      <c r="K346" s="223">
        <v>5936611.8600000003</v>
      </c>
      <c r="L346" s="223">
        <v>5913289.7599999998</v>
      </c>
      <c r="M346" s="223">
        <v>5913289.7599999998</v>
      </c>
      <c r="N346" s="223">
        <v>0</v>
      </c>
      <c r="O346" s="224">
        <v>0</v>
      </c>
      <c r="P346" s="225"/>
      <c r="Q346" s="226"/>
    </row>
    <row r="347" spans="1:17" s="207" customFormat="1">
      <c r="A347" s="267" t="s">
        <v>1073</v>
      </c>
      <c r="B347" s="268" t="s">
        <v>52</v>
      </c>
      <c r="C347" s="222">
        <f t="shared" si="95"/>
        <v>0</v>
      </c>
      <c r="D347" s="222"/>
      <c r="E347" s="222"/>
      <c r="F347" s="223">
        <v>0</v>
      </c>
      <c r="G347" s="223">
        <v>0</v>
      </c>
      <c r="H347" s="223">
        <v>0</v>
      </c>
      <c r="I347" s="223">
        <v>0</v>
      </c>
      <c r="J347" s="223">
        <v>0</v>
      </c>
      <c r="K347" s="223">
        <v>0</v>
      </c>
      <c r="L347" s="223">
        <v>0</v>
      </c>
      <c r="M347" s="223">
        <v>0</v>
      </c>
      <c r="N347" s="223">
        <v>0</v>
      </c>
      <c r="O347" s="224">
        <v>0</v>
      </c>
      <c r="P347" s="225"/>
      <c r="Q347" s="226"/>
    </row>
    <row r="348" spans="1:17" s="207" customFormat="1">
      <c r="A348" s="267" t="s">
        <v>1074</v>
      </c>
      <c r="B348" s="268" t="s">
        <v>55</v>
      </c>
      <c r="C348" s="222">
        <f t="shared" si="95"/>
        <v>0</v>
      </c>
      <c r="D348" s="222"/>
      <c r="E348" s="222"/>
      <c r="F348" s="223">
        <v>0</v>
      </c>
      <c r="G348" s="223">
        <v>0</v>
      </c>
      <c r="H348" s="223">
        <v>0</v>
      </c>
      <c r="I348" s="223">
        <v>0</v>
      </c>
      <c r="J348" s="223">
        <v>0</v>
      </c>
      <c r="K348" s="223">
        <v>0</v>
      </c>
      <c r="L348" s="223">
        <v>0</v>
      </c>
      <c r="M348" s="223">
        <v>0</v>
      </c>
      <c r="N348" s="223">
        <v>0</v>
      </c>
      <c r="O348" s="224">
        <v>0</v>
      </c>
      <c r="P348" s="225"/>
      <c r="Q348" s="226"/>
    </row>
    <row r="349" spans="1:17" s="207" customFormat="1">
      <c r="A349" s="267" t="s">
        <v>1075</v>
      </c>
      <c r="B349" s="268" t="s">
        <v>56</v>
      </c>
      <c r="C349" s="222">
        <f t="shared" si="95"/>
        <v>0</v>
      </c>
      <c r="D349" s="222"/>
      <c r="E349" s="222"/>
      <c r="F349" s="223">
        <v>0</v>
      </c>
      <c r="G349" s="223">
        <v>0</v>
      </c>
      <c r="H349" s="223">
        <v>0</v>
      </c>
      <c r="I349" s="223">
        <v>0</v>
      </c>
      <c r="J349" s="223">
        <v>0</v>
      </c>
      <c r="K349" s="223">
        <v>0</v>
      </c>
      <c r="L349" s="223">
        <v>0</v>
      </c>
      <c r="M349" s="223">
        <v>0</v>
      </c>
      <c r="N349" s="223">
        <v>0</v>
      </c>
      <c r="O349" s="224">
        <v>0</v>
      </c>
      <c r="P349" s="225"/>
      <c r="Q349" s="226"/>
    </row>
    <row r="350" spans="1:17" s="207" customFormat="1">
      <c r="A350" s="267" t="s">
        <v>1076</v>
      </c>
      <c r="B350" s="268" t="s">
        <v>57</v>
      </c>
      <c r="C350" s="222">
        <f t="shared" si="95"/>
        <v>587902564.29999995</v>
      </c>
      <c r="D350" s="222"/>
      <c r="E350" s="222"/>
      <c r="F350" s="223">
        <v>0</v>
      </c>
      <c r="G350" s="223">
        <v>0</v>
      </c>
      <c r="H350" s="223">
        <v>0</v>
      </c>
      <c r="I350" s="223">
        <v>587902564.29999995</v>
      </c>
      <c r="J350" s="223">
        <v>0</v>
      </c>
      <c r="K350" s="223">
        <v>587902564.29999995</v>
      </c>
      <c r="L350" s="223">
        <v>46149916.490000002</v>
      </c>
      <c r="M350" s="223">
        <v>46149916.490000002</v>
      </c>
      <c r="N350" s="223">
        <v>46149915.289999999</v>
      </c>
      <c r="O350" s="224">
        <v>19675415.5</v>
      </c>
      <c r="P350" s="225"/>
      <c r="Q350" s="226"/>
    </row>
    <row r="351" spans="1:17" s="207" customFormat="1">
      <c r="A351" s="267" t="s">
        <v>1077</v>
      </c>
      <c r="B351" s="268" t="s">
        <v>58</v>
      </c>
      <c r="C351" s="222">
        <f t="shared" si="95"/>
        <v>0</v>
      </c>
      <c r="D351" s="222"/>
      <c r="E351" s="222"/>
      <c r="F351" s="223">
        <v>0</v>
      </c>
      <c r="G351" s="223">
        <v>0</v>
      </c>
      <c r="H351" s="223">
        <v>0</v>
      </c>
      <c r="I351" s="223">
        <v>0</v>
      </c>
      <c r="J351" s="223">
        <v>0</v>
      </c>
      <c r="K351" s="223">
        <v>0</v>
      </c>
      <c r="L351" s="223">
        <v>0</v>
      </c>
      <c r="M351" s="223">
        <v>0</v>
      </c>
      <c r="N351" s="223">
        <v>0</v>
      </c>
      <c r="O351" s="224">
        <v>0</v>
      </c>
      <c r="P351" s="225"/>
      <c r="Q351" s="226"/>
    </row>
    <row r="352" spans="1:17" s="207" customFormat="1">
      <c r="A352" s="267" t="s">
        <v>1078</v>
      </c>
      <c r="B352" s="268" t="s">
        <v>49</v>
      </c>
      <c r="C352" s="222">
        <f t="shared" si="95"/>
        <v>0</v>
      </c>
      <c r="D352" s="222"/>
      <c r="E352" s="222"/>
      <c r="F352" s="223">
        <v>0</v>
      </c>
      <c r="G352" s="223">
        <v>0</v>
      </c>
      <c r="H352" s="223">
        <v>0</v>
      </c>
      <c r="I352" s="223">
        <v>0</v>
      </c>
      <c r="J352" s="223">
        <v>0</v>
      </c>
      <c r="K352" s="223">
        <v>0</v>
      </c>
      <c r="L352" s="223">
        <v>0</v>
      </c>
      <c r="M352" s="223">
        <v>0</v>
      </c>
      <c r="N352" s="223">
        <v>0</v>
      </c>
      <c r="O352" s="224">
        <v>0</v>
      </c>
      <c r="P352" s="225"/>
      <c r="Q352" s="226"/>
    </row>
    <row r="353" spans="1:17" s="207" customFormat="1">
      <c r="A353" s="252" t="s">
        <v>1079</v>
      </c>
      <c r="B353" s="253" t="s">
        <v>62</v>
      </c>
      <c r="C353" s="222">
        <f t="shared" si="95"/>
        <v>1795288</v>
      </c>
      <c r="D353" s="222"/>
      <c r="E353" s="222"/>
      <c r="F353" s="223">
        <v>0</v>
      </c>
      <c r="G353" s="223">
        <v>0</v>
      </c>
      <c r="H353" s="223">
        <v>0</v>
      </c>
      <c r="I353" s="223">
        <v>1795288</v>
      </c>
      <c r="J353" s="223">
        <v>0</v>
      </c>
      <c r="K353" s="223">
        <v>1795288</v>
      </c>
      <c r="L353" s="223">
        <v>0</v>
      </c>
      <c r="M353" s="223">
        <v>0</v>
      </c>
      <c r="N353" s="223">
        <v>0</v>
      </c>
      <c r="O353" s="224">
        <v>0</v>
      </c>
      <c r="P353" s="225"/>
      <c r="Q353" s="226"/>
    </row>
    <row r="354" spans="1:17" s="215" customFormat="1" ht="25.5">
      <c r="A354" s="216" t="s">
        <v>1080</v>
      </c>
      <c r="B354" s="217" t="s">
        <v>1081</v>
      </c>
      <c r="C354" s="217">
        <f t="shared" si="95"/>
        <v>13126802</v>
      </c>
      <c r="D354" s="217"/>
      <c r="E354" s="217"/>
      <c r="F354" s="218">
        <v>0</v>
      </c>
      <c r="G354" s="218">
        <v>0</v>
      </c>
      <c r="H354" s="218">
        <v>0</v>
      </c>
      <c r="I354" s="218">
        <v>13126802</v>
      </c>
      <c r="J354" s="218">
        <v>0</v>
      </c>
      <c r="K354" s="218">
        <v>13126802</v>
      </c>
      <c r="L354" s="218">
        <f t="shared" ref="L354:O354" si="96">SUM(L355:L359)</f>
        <v>13126802</v>
      </c>
      <c r="M354" s="218">
        <f t="shared" si="96"/>
        <v>13126802</v>
      </c>
      <c r="N354" s="218">
        <f t="shared" si="96"/>
        <v>0</v>
      </c>
      <c r="O354" s="219">
        <f t="shared" si="96"/>
        <v>0</v>
      </c>
      <c r="P354" s="213"/>
      <c r="Q354" s="220">
        <f>SUM(Q355:Q359)</f>
        <v>0</v>
      </c>
    </row>
    <row r="355" spans="1:17" s="207" customFormat="1">
      <c r="A355" s="249" t="s">
        <v>1082</v>
      </c>
      <c r="B355" s="250" t="s">
        <v>40</v>
      </c>
      <c r="C355" s="222">
        <f t="shared" si="95"/>
        <v>5051636.82</v>
      </c>
      <c r="D355" s="222"/>
      <c r="E355" s="222"/>
      <c r="F355" s="223">
        <v>0</v>
      </c>
      <c r="G355" s="223">
        <v>0</v>
      </c>
      <c r="H355" s="223">
        <v>0</v>
      </c>
      <c r="I355" s="223">
        <v>5051636.82</v>
      </c>
      <c r="J355" s="223">
        <v>0</v>
      </c>
      <c r="K355" s="223">
        <v>5051636.82</v>
      </c>
      <c r="L355" s="223">
        <v>5051636.82</v>
      </c>
      <c r="M355" s="223">
        <v>5051636.82</v>
      </c>
      <c r="N355" s="223">
        <v>0</v>
      </c>
      <c r="O355" s="224">
        <v>0</v>
      </c>
      <c r="P355" s="225"/>
      <c r="Q355" s="226"/>
    </row>
    <row r="356" spans="1:17" s="207" customFormat="1">
      <c r="A356" s="249" t="s">
        <v>1083</v>
      </c>
      <c r="B356" s="250" t="s">
        <v>44</v>
      </c>
      <c r="C356" s="222">
        <f t="shared" si="95"/>
        <v>6634774.2000000002</v>
      </c>
      <c r="D356" s="222"/>
      <c r="E356" s="222"/>
      <c r="F356" s="223">
        <v>0</v>
      </c>
      <c r="G356" s="223">
        <v>0</v>
      </c>
      <c r="H356" s="223">
        <v>0</v>
      </c>
      <c r="I356" s="223">
        <v>6634774.2000000002</v>
      </c>
      <c r="J356" s="223">
        <v>0</v>
      </c>
      <c r="K356" s="223">
        <v>6634774.2000000002</v>
      </c>
      <c r="L356" s="223">
        <v>6634774.2000000002</v>
      </c>
      <c r="M356" s="223">
        <v>6634774.2000000002</v>
      </c>
      <c r="N356" s="223">
        <v>0</v>
      </c>
      <c r="O356" s="224">
        <v>0</v>
      </c>
      <c r="P356" s="225"/>
      <c r="Q356" s="226"/>
    </row>
    <row r="357" spans="1:17" s="207" customFormat="1">
      <c r="A357" s="249" t="s">
        <v>1084</v>
      </c>
      <c r="B357" s="250" t="s">
        <v>47</v>
      </c>
      <c r="C357" s="222">
        <f t="shared" si="95"/>
        <v>846927.3</v>
      </c>
      <c r="D357" s="222"/>
      <c r="E357" s="222"/>
      <c r="F357" s="223">
        <v>0</v>
      </c>
      <c r="G357" s="223">
        <v>0</v>
      </c>
      <c r="H357" s="223">
        <v>0</v>
      </c>
      <c r="I357" s="223">
        <v>846927.3</v>
      </c>
      <c r="J357" s="223">
        <v>0</v>
      </c>
      <c r="K357" s="223">
        <v>846927.3</v>
      </c>
      <c r="L357" s="223">
        <v>846927.3</v>
      </c>
      <c r="M357" s="223">
        <v>846927.3</v>
      </c>
      <c r="N357" s="223">
        <v>0</v>
      </c>
      <c r="O357" s="224">
        <v>0</v>
      </c>
      <c r="P357" s="225"/>
      <c r="Q357" s="226"/>
    </row>
    <row r="358" spans="1:17" s="207" customFormat="1">
      <c r="A358" s="249" t="s">
        <v>1085</v>
      </c>
      <c r="B358" s="250" t="s">
        <v>1086</v>
      </c>
      <c r="C358" s="222">
        <f t="shared" si="95"/>
        <v>445097.78</v>
      </c>
      <c r="D358" s="222"/>
      <c r="E358" s="222"/>
      <c r="F358" s="223">
        <v>0</v>
      </c>
      <c r="G358" s="223">
        <v>0</v>
      </c>
      <c r="H358" s="223">
        <v>0</v>
      </c>
      <c r="I358" s="223">
        <v>445097.78</v>
      </c>
      <c r="J358" s="223">
        <v>0</v>
      </c>
      <c r="K358" s="223">
        <v>445097.78</v>
      </c>
      <c r="L358" s="223">
        <v>445097.78</v>
      </c>
      <c r="M358" s="223">
        <v>445097.78</v>
      </c>
      <c r="N358" s="223">
        <v>0</v>
      </c>
      <c r="O358" s="224">
        <v>0</v>
      </c>
      <c r="P358" s="225"/>
      <c r="Q358" s="226"/>
    </row>
    <row r="359" spans="1:17" s="207" customFormat="1">
      <c r="A359" s="249" t="s">
        <v>1087</v>
      </c>
      <c r="B359" s="250" t="s">
        <v>1088</v>
      </c>
      <c r="C359" s="222">
        <f t="shared" si="95"/>
        <v>148365.9</v>
      </c>
      <c r="D359" s="222"/>
      <c r="E359" s="222"/>
      <c r="F359" s="223">
        <v>0</v>
      </c>
      <c r="G359" s="223">
        <v>0</v>
      </c>
      <c r="H359" s="223">
        <v>0</v>
      </c>
      <c r="I359" s="223">
        <v>148365.9</v>
      </c>
      <c r="J359" s="223">
        <v>0</v>
      </c>
      <c r="K359" s="223">
        <v>148365.9</v>
      </c>
      <c r="L359" s="223">
        <v>148365.9</v>
      </c>
      <c r="M359" s="223">
        <v>148365.9</v>
      </c>
      <c r="N359" s="223">
        <v>0</v>
      </c>
      <c r="O359" s="224">
        <v>0</v>
      </c>
      <c r="P359" s="225"/>
      <c r="Q359" s="226"/>
    </row>
    <row r="360" spans="1:17" s="207" customFormat="1" ht="25.5">
      <c r="A360" s="221" t="s">
        <v>50</v>
      </c>
      <c r="B360" s="222" t="s">
        <v>1089</v>
      </c>
      <c r="C360" s="222">
        <f t="shared" si="95"/>
        <v>3337415.96</v>
      </c>
      <c r="D360" s="222"/>
      <c r="E360" s="222"/>
      <c r="F360" s="223">
        <v>3408659.85</v>
      </c>
      <c r="G360" s="223">
        <v>0</v>
      </c>
      <c r="H360" s="223">
        <v>0</v>
      </c>
      <c r="I360" s="223">
        <v>0</v>
      </c>
      <c r="J360" s="223">
        <v>71243.89</v>
      </c>
      <c r="K360" s="223">
        <v>3337415.96</v>
      </c>
      <c r="L360" s="223">
        <v>0</v>
      </c>
      <c r="M360" s="223">
        <v>0</v>
      </c>
      <c r="N360" s="223">
        <v>0</v>
      </c>
      <c r="O360" s="224">
        <v>0</v>
      </c>
      <c r="P360" s="225"/>
      <c r="Q360" s="226"/>
    </row>
    <row r="361" spans="1:17" s="207" customFormat="1">
      <c r="A361" s="221" t="s">
        <v>51</v>
      </c>
      <c r="B361" s="222" t="s">
        <v>1090</v>
      </c>
      <c r="C361" s="222">
        <f t="shared" si="95"/>
        <v>6674831.9299999997</v>
      </c>
      <c r="D361" s="222"/>
      <c r="E361" s="222"/>
      <c r="F361" s="223">
        <v>6817319.7000000002</v>
      </c>
      <c r="G361" s="223">
        <v>0</v>
      </c>
      <c r="H361" s="223">
        <v>0</v>
      </c>
      <c r="I361" s="223">
        <v>0</v>
      </c>
      <c r="J361" s="223">
        <v>142487.76999999999</v>
      </c>
      <c r="K361" s="223">
        <v>6674831.9299999997</v>
      </c>
      <c r="L361" s="223">
        <v>6674512.2300000004</v>
      </c>
      <c r="M361" s="223">
        <v>0</v>
      </c>
      <c r="N361" s="223">
        <v>0</v>
      </c>
      <c r="O361" s="224">
        <v>0</v>
      </c>
      <c r="P361" s="225"/>
      <c r="Q361" s="226"/>
    </row>
    <row r="362" spans="1:17" s="215" customFormat="1">
      <c r="A362" s="216" t="s">
        <v>59</v>
      </c>
      <c r="B362" s="217" t="s">
        <v>1091</v>
      </c>
      <c r="C362" s="217">
        <f t="shared" si="95"/>
        <v>64570593</v>
      </c>
      <c r="D362" s="217"/>
      <c r="E362" s="217"/>
      <c r="F362" s="218">
        <v>53961544.5</v>
      </c>
      <c r="G362" s="218">
        <v>0</v>
      </c>
      <c r="H362" s="218">
        <v>0</v>
      </c>
      <c r="I362" s="218">
        <v>10609048.5</v>
      </c>
      <c r="J362" s="218">
        <v>0</v>
      </c>
      <c r="K362" s="218">
        <v>64570593</v>
      </c>
      <c r="L362" s="218">
        <f t="shared" ref="L362:O362" si="97">SUM(L363:L364)</f>
        <v>0</v>
      </c>
      <c r="M362" s="218">
        <f t="shared" si="97"/>
        <v>0</v>
      </c>
      <c r="N362" s="218">
        <f t="shared" si="97"/>
        <v>0</v>
      </c>
      <c r="O362" s="219">
        <f t="shared" si="97"/>
        <v>0</v>
      </c>
      <c r="P362" s="213"/>
      <c r="Q362" s="220">
        <f>SUM(Q363:Q364)</f>
        <v>0</v>
      </c>
    </row>
    <row r="363" spans="1:17" s="207" customFormat="1">
      <c r="A363" s="243" t="s">
        <v>60</v>
      </c>
      <c r="B363" s="244" t="s">
        <v>1092</v>
      </c>
      <c r="C363" s="222">
        <f t="shared" si="95"/>
        <v>64439678</v>
      </c>
      <c r="D363" s="222"/>
      <c r="E363" s="222"/>
      <c r="F363" s="223">
        <v>53961544.5</v>
      </c>
      <c r="G363" s="223">
        <v>0</v>
      </c>
      <c r="H363" s="223">
        <v>0</v>
      </c>
      <c r="I363" s="223">
        <v>10478133.5</v>
      </c>
      <c r="J363" s="223">
        <v>0</v>
      </c>
      <c r="K363" s="223">
        <v>64439678</v>
      </c>
      <c r="L363" s="223">
        <v>0</v>
      </c>
      <c r="M363" s="223">
        <v>0</v>
      </c>
      <c r="N363" s="223">
        <v>0</v>
      </c>
      <c r="O363" s="224">
        <v>0</v>
      </c>
      <c r="P363" s="225"/>
      <c r="Q363" s="226"/>
    </row>
    <row r="364" spans="1:17" s="215" customFormat="1">
      <c r="A364" s="216" t="s">
        <v>61</v>
      </c>
      <c r="B364" s="217" t="s">
        <v>74</v>
      </c>
      <c r="C364" s="217">
        <f t="shared" si="95"/>
        <v>130915</v>
      </c>
      <c r="D364" s="217"/>
      <c r="E364" s="217"/>
      <c r="F364" s="218">
        <v>0</v>
      </c>
      <c r="G364" s="218">
        <v>0</v>
      </c>
      <c r="H364" s="218">
        <v>0</v>
      </c>
      <c r="I364" s="218">
        <v>130915</v>
      </c>
      <c r="J364" s="218">
        <v>0</v>
      </c>
      <c r="K364" s="218">
        <v>130915</v>
      </c>
      <c r="L364" s="218">
        <f t="shared" ref="L364:O364" si="98">L365</f>
        <v>0</v>
      </c>
      <c r="M364" s="218">
        <f t="shared" si="98"/>
        <v>0</v>
      </c>
      <c r="N364" s="218">
        <f t="shared" si="98"/>
        <v>0</v>
      </c>
      <c r="O364" s="219">
        <f t="shared" si="98"/>
        <v>0</v>
      </c>
      <c r="P364" s="213"/>
      <c r="Q364" s="220">
        <f>Q365</f>
        <v>0</v>
      </c>
    </row>
    <row r="365" spans="1:17" s="207" customFormat="1">
      <c r="A365" s="267" t="s">
        <v>1093</v>
      </c>
      <c r="B365" s="268" t="s">
        <v>75</v>
      </c>
      <c r="C365" s="222">
        <f t="shared" si="95"/>
        <v>130915</v>
      </c>
      <c r="D365" s="222"/>
      <c r="E365" s="222"/>
      <c r="F365" s="223">
        <v>0</v>
      </c>
      <c r="G365" s="223">
        <v>0</v>
      </c>
      <c r="H365" s="223">
        <v>0</v>
      </c>
      <c r="I365" s="223">
        <v>130915</v>
      </c>
      <c r="J365" s="223">
        <v>0</v>
      </c>
      <c r="K365" s="223">
        <v>130915</v>
      </c>
      <c r="L365" s="223">
        <v>0</v>
      </c>
      <c r="M365" s="223">
        <v>0</v>
      </c>
      <c r="N365" s="223">
        <v>0</v>
      </c>
      <c r="O365" s="224">
        <v>0</v>
      </c>
      <c r="P365" s="225"/>
      <c r="Q365" s="226"/>
    </row>
    <row r="366" spans="1:17" s="215" customFormat="1">
      <c r="A366" s="216" t="s">
        <v>70</v>
      </c>
      <c r="B366" s="217" t="s">
        <v>76</v>
      </c>
      <c r="C366" s="217">
        <f t="shared" si="95"/>
        <v>21249709.440000001</v>
      </c>
      <c r="D366" s="217"/>
      <c r="E366" s="217"/>
      <c r="F366" s="218">
        <v>6312255.2000000002</v>
      </c>
      <c r="G366" s="218">
        <v>0</v>
      </c>
      <c r="H366" s="218">
        <v>0</v>
      </c>
      <c r="I366" s="218">
        <v>14937454.24</v>
      </c>
      <c r="J366" s="218">
        <v>0</v>
      </c>
      <c r="K366" s="218">
        <v>21249709.440000001</v>
      </c>
      <c r="L366" s="218">
        <f t="shared" ref="L366:O366" si="99">SUM(L367:L370)</f>
        <v>5658116.2400000002</v>
      </c>
      <c r="M366" s="218">
        <f t="shared" si="99"/>
        <v>5658116.2400000002</v>
      </c>
      <c r="N366" s="218">
        <f t="shared" si="99"/>
        <v>0</v>
      </c>
      <c r="O366" s="219">
        <f t="shared" si="99"/>
        <v>0</v>
      </c>
      <c r="P366" s="213"/>
      <c r="Q366" s="220">
        <f>SUM(Q367:Q370)</f>
        <v>0</v>
      </c>
    </row>
    <row r="367" spans="1:17" s="207" customFormat="1">
      <c r="A367" s="270" t="s">
        <v>71</v>
      </c>
      <c r="B367" s="271" t="s">
        <v>77</v>
      </c>
      <c r="C367" s="222">
        <f t="shared" si="95"/>
        <v>6312255.2000000002</v>
      </c>
      <c r="D367" s="222"/>
      <c r="E367" s="222"/>
      <c r="F367" s="223">
        <v>6312255.2000000002</v>
      </c>
      <c r="G367" s="223">
        <v>0</v>
      </c>
      <c r="H367" s="223">
        <v>0</v>
      </c>
      <c r="I367" s="223">
        <v>0</v>
      </c>
      <c r="J367" s="223">
        <v>0</v>
      </c>
      <c r="K367" s="223">
        <v>6312255.2000000002</v>
      </c>
      <c r="L367" s="223">
        <v>0</v>
      </c>
      <c r="M367" s="223">
        <v>0</v>
      </c>
      <c r="N367" s="223">
        <v>0</v>
      </c>
      <c r="O367" s="224">
        <v>0</v>
      </c>
      <c r="P367" s="225"/>
      <c r="Q367" s="226"/>
    </row>
    <row r="368" spans="1:17" s="207" customFormat="1">
      <c r="A368" s="272" t="s">
        <v>72</v>
      </c>
      <c r="B368" s="273" t="s">
        <v>78</v>
      </c>
      <c r="C368" s="222">
        <f t="shared" si="95"/>
        <v>0</v>
      </c>
      <c r="D368" s="222"/>
      <c r="E368" s="222"/>
      <c r="F368" s="223">
        <v>0</v>
      </c>
      <c r="G368" s="223">
        <v>0</v>
      </c>
      <c r="H368" s="223">
        <v>0</v>
      </c>
      <c r="I368" s="223">
        <v>0</v>
      </c>
      <c r="J368" s="223">
        <v>0</v>
      </c>
      <c r="K368" s="223">
        <v>0</v>
      </c>
      <c r="L368" s="223">
        <v>0</v>
      </c>
      <c r="M368" s="223">
        <v>0</v>
      </c>
      <c r="N368" s="223">
        <v>0</v>
      </c>
      <c r="O368" s="224">
        <v>0</v>
      </c>
      <c r="P368" s="225"/>
      <c r="Q368" s="226"/>
    </row>
    <row r="369" spans="1:18" s="207" customFormat="1">
      <c r="A369" s="274" t="s">
        <v>73</v>
      </c>
      <c r="B369" s="275" t="s">
        <v>1094</v>
      </c>
      <c r="C369" s="222">
        <f t="shared" si="95"/>
        <v>5665971.2400000002</v>
      </c>
      <c r="D369" s="222"/>
      <c r="E369" s="222"/>
      <c r="F369" s="223">
        <v>0</v>
      </c>
      <c r="G369" s="223">
        <v>0</v>
      </c>
      <c r="H369" s="223">
        <v>0</v>
      </c>
      <c r="I369" s="223">
        <v>5665971.2400000002</v>
      </c>
      <c r="J369" s="223">
        <v>0</v>
      </c>
      <c r="K369" s="223">
        <v>5665971.2400000002</v>
      </c>
      <c r="L369" s="223">
        <v>5658116.2400000002</v>
      </c>
      <c r="M369" s="223">
        <v>5658116.2400000002</v>
      </c>
      <c r="N369" s="223">
        <v>0</v>
      </c>
      <c r="O369" s="224">
        <v>0</v>
      </c>
      <c r="P369" s="225"/>
      <c r="Q369" s="226"/>
    </row>
    <row r="370" spans="1:18" s="207" customFormat="1" ht="22.5" customHeight="1">
      <c r="A370" s="243" t="s">
        <v>1095</v>
      </c>
      <c r="B370" s="244" t="s">
        <v>1096</v>
      </c>
      <c r="C370" s="222">
        <f t="shared" si="95"/>
        <v>9271483</v>
      </c>
      <c r="D370" s="222"/>
      <c r="E370" s="222"/>
      <c r="F370" s="223">
        <v>0</v>
      </c>
      <c r="G370" s="223">
        <v>0</v>
      </c>
      <c r="H370" s="223">
        <v>0</v>
      </c>
      <c r="I370" s="223">
        <v>9271483</v>
      </c>
      <c r="J370" s="223">
        <v>0</v>
      </c>
      <c r="K370" s="223">
        <v>9271483</v>
      </c>
      <c r="L370" s="223">
        <v>0</v>
      </c>
      <c r="M370" s="223">
        <v>0</v>
      </c>
      <c r="N370" s="223">
        <v>0</v>
      </c>
      <c r="O370" s="224">
        <v>0</v>
      </c>
      <c r="P370" s="225"/>
      <c r="Q370" s="226"/>
    </row>
    <row r="371" spans="1:18" s="207" customFormat="1">
      <c r="A371" s="221" t="s">
        <v>79</v>
      </c>
      <c r="B371" s="222" t="s">
        <v>1097</v>
      </c>
      <c r="C371" s="222">
        <f t="shared" si="95"/>
        <v>1000</v>
      </c>
      <c r="D371" s="222"/>
      <c r="E371" s="222"/>
      <c r="F371" s="223">
        <v>1000</v>
      </c>
      <c r="G371" s="223">
        <v>0</v>
      </c>
      <c r="H371" s="223">
        <v>0</v>
      </c>
      <c r="I371" s="223">
        <v>0</v>
      </c>
      <c r="J371" s="223">
        <v>0</v>
      </c>
      <c r="K371" s="223">
        <v>1000</v>
      </c>
      <c r="L371" s="223">
        <v>0</v>
      </c>
      <c r="M371" s="223">
        <v>0</v>
      </c>
      <c r="N371" s="223">
        <v>0</v>
      </c>
      <c r="O371" s="224">
        <v>0</v>
      </c>
      <c r="P371" s="230"/>
      <c r="Q371" s="226"/>
    </row>
    <row r="372" spans="1:18" s="207" customFormat="1">
      <c r="A372" s="221" t="s">
        <v>80</v>
      </c>
      <c r="B372" s="222" t="s">
        <v>1269</v>
      </c>
      <c r="C372" s="222">
        <f t="shared" si="95"/>
        <v>67146189</v>
      </c>
      <c r="D372" s="222"/>
      <c r="E372" s="222"/>
      <c r="F372" s="223">
        <v>1000</v>
      </c>
      <c r="G372" s="223">
        <v>0</v>
      </c>
      <c r="H372" s="223">
        <v>0</v>
      </c>
      <c r="I372" s="223">
        <v>67145189</v>
      </c>
      <c r="J372" s="223">
        <v>0</v>
      </c>
      <c r="K372" s="223">
        <v>67146189</v>
      </c>
      <c r="L372" s="223">
        <v>0</v>
      </c>
      <c r="M372" s="223">
        <v>0</v>
      </c>
      <c r="N372" s="223">
        <v>0</v>
      </c>
      <c r="O372" s="224">
        <v>0</v>
      </c>
      <c r="P372" s="225"/>
      <c r="Q372" s="226"/>
    </row>
    <row r="373" spans="1:18" s="207" customFormat="1">
      <c r="A373" s="270" t="s">
        <v>81</v>
      </c>
      <c r="B373" s="271" t="s">
        <v>1098</v>
      </c>
      <c r="C373" s="222">
        <f t="shared" si="95"/>
        <v>2145412</v>
      </c>
      <c r="D373" s="222"/>
      <c r="E373" s="222"/>
      <c r="F373" s="223">
        <v>2145412</v>
      </c>
      <c r="G373" s="223">
        <v>0</v>
      </c>
      <c r="H373" s="223">
        <v>0</v>
      </c>
      <c r="I373" s="223">
        <v>0</v>
      </c>
      <c r="J373" s="223">
        <v>0</v>
      </c>
      <c r="K373" s="223">
        <v>2145412</v>
      </c>
      <c r="L373" s="223">
        <v>0</v>
      </c>
      <c r="M373" s="223">
        <v>0</v>
      </c>
      <c r="N373" s="223">
        <v>0</v>
      </c>
      <c r="O373" s="224">
        <v>0</v>
      </c>
      <c r="P373" s="225"/>
      <c r="Q373" s="226"/>
    </row>
    <row r="374" spans="1:18" s="207" customFormat="1">
      <c r="A374" s="221" t="s">
        <v>82</v>
      </c>
      <c r="B374" s="222" t="s">
        <v>1099</v>
      </c>
      <c r="C374" s="222">
        <f t="shared" si="95"/>
        <v>1000</v>
      </c>
      <c r="D374" s="222"/>
      <c r="E374" s="222"/>
      <c r="F374" s="223">
        <v>1000</v>
      </c>
      <c r="G374" s="223">
        <v>0</v>
      </c>
      <c r="H374" s="223">
        <v>0</v>
      </c>
      <c r="I374" s="223">
        <v>0</v>
      </c>
      <c r="J374" s="223">
        <v>0</v>
      </c>
      <c r="K374" s="223">
        <v>1000</v>
      </c>
      <c r="L374" s="223">
        <v>0</v>
      </c>
      <c r="M374" s="223">
        <v>0</v>
      </c>
      <c r="N374" s="223">
        <v>0</v>
      </c>
      <c r="O374" s="224">
        <v>0</v>
      </c>
      <c r="P374" s="225"/>
      <c r="Q374" s="226"/>
    </row>
    <row r="375" spans="1:18" s="207" customFormat="1">
      <c r="A375" s="221" t="s">
        <v>83</v>
      </c>
      <c r="B375" s="222" t="s">
        <v>1100</v>
      </c>
      <c r="C375" s="222">
        <f t="shared" si="95"/>
        <v>1000</v>
      </c>
      <c r="D375" s="222"/>
      <c r="E375" s="222"/>
      <c r="F375" s="223">
        <v>1000</v>
      </c>
      <c r="G375" s="223">
        <v>0</v>
      </c>
      <c r="H375" s="223">
        <v>0</v>
      </c>
      <c r="I375" s="223">
        <v>0</v>
      </c>
      <c r="J375" s="223">
        <v>0</v>
      </c>
      <c r="K375" s="223">
        <v>1000</v>
      </c>
      <c r="L375" s="223">
        <v>0</v>
      </c>
      <c r="M375" s="223">
        <v>0</v>
      </c>
      <c r="N375" s="223">
        <v>0</v>
      </c>
      <c r="O375" s="224">
        <v>0</v>
      </c>
      <c r="P375" s="225"/>
      <c r="Q375" s="226"/>
    </row>
    <row r="376" spans="1:18" s="207" customFormat="1">
      <c r="A376" s="270" t="s">
        <v>84</v>
      </c>
      <c r="B376" s="271" t="s">
        <v>1101</v>
      </c>
      <c r="C376" s="222">
        <f t="shared" si="95"/>
        <v>3077016</v>
      </c>
      <c r="D376" s="222"/>
      <c r="E376" s="222"/>
      <c r="F376" s="223">
        <v>3077016</v>
      </c>
      <c r="G376" s="223">
        <v>0</v>
      </c>
      <c r="H376" s="223">
        <v>0</v>
      </c>
      <c r="I376" s="223">
        <v>0</v>
      </c>
      <c r="J376" s="223">
        <v>0</v>
      </c>
      <c r="K376" s="223">
        <v>3077016</v>
      </c>
      <c r="L376" s="223">
        <v>0</v>
      </c>
      <c r="M376" s="223">
        <v>0</v>
      </c>
      <c r="N376" s="223">
        <v>0</v>
      </c>
      <c r="O376" s="224">
        <v>0</v>
      </c>
      <c r="P376" s="225"/>
      <c r="Q376" s="226"/>
    </row>
    <row r="377" spans="1:18" s="215" customFormat="1">
      <c r="A377" s="221" t="s">
        <v>85</v>
      </c>
      <c r="B377" s="222" t="s">
        <v>1102</v>
      </c>
      <c r="C377" s="222">
        <f t="shared" si="95"/>
        <v>1000</v>
      </c>
      <c r="D377" s="222"/>
      <c r="E377" s="222"/>
      <c r="F377" s="223">
        <v>1000</v>
      </c>
      <c r="G377" s="223">
        <v>0</v>
      </c>
      <c r="H377" s="223">
        <v>0</v>
      </c>
      <c r="I377" s="223">
        <v>0</v>
      </c>
      <c r="J377" s="223">
        <v>0</v>
      </c>
      <c r="K377" s="223">
        <v>1000</v>
      </c>
      <c r="L377" s="223">
        <v>0</v>
      </c>
      <c r="M377" s="223">
        <v>0</v>
      </c>
      <c r="N377" s="223">
        <v>0</v>
      </c>
      <c r="O377" s="224">
        <v>0</v>
      </c>
      <c r="P377" s="225"/>
      <c r="Q377" s="226"/>
      <c r="R377" s="207"/>
    </row>
    <row r="378" spans="1:18" s="215" customFormat="1">
      <c r="A378" s="216" t="s">
        <v>93</v>
      </c>
      <c r="B378" s="217" t="s">
        <v>1103</v>
      </c>
      <c r="C378" s="217">
        <f t="shared" si="95"/>
        <v>67285217.870000005</v>
      </c>
      <c r="D378" s="217"/>
      <c r="E378" s="217"/>
      <c r="F378" s="218">
        <v>68193377.870000005</v>
      </c>
      <c r="G378" s="218">
        <v>0</v>
      </c>
      <c r="H378" s="218">
        <v>0</v>
      </c>
      <c r="I378" s="218">
        <v>0</v>
      </c>
      <c r="J378" s="218">
        <v>908160</v>
      </c>
      <c r="K378" s="218">
        <v>67285217.870000005</v>
      </c>
      <c r="L378" s="218">
        <f t="shared" ref="L378:O378" si="100">L379+L386+L389</f>
        <v>21999020</v>
      </c>
      <c r="M378" s="218">
        <f t="shared" si="100"/>
        <v>21999020</v>
      </c>
      <c r="N378" s="218">
        <f t="shared" si="100"/>
        <v>2711360</v>
      </c>
      <c r="O378" s="219">
        <f t="shared" si="100"/>
        <v>999019.99</v>
      </c>
      <c r="P378" s="213"/>
      <c r="Q378" s="220">
        <f>Q379+Q386+Q389</f>
        <v>0</v>
      </c>
    </row>
    <row r="379" spans="1:18" s="207" customFormat="1">
      <c r="A379" s="216" t="s">
        <v>94</v>
      </c>
      <c r="B379" s="217" t="s">
        <v>87</v>
      </c>
      <c r="C379" s="217">
        <f t="shared" si="95"/>
        <v>19075944</v>
      </c>
      <c r="D379" s="217"/>
      <c r="E379" s="217"/>
      <c r="F379" s="218">
        <v>19075944</v>
      </c>
      <c r="G379" s="218">
        <v>0</v>
      </c>
      <c r="H379" s="218">
        <v>0</v>
      </c>
      <c r="I379" s="218">
        <v>0</v>
      </c>
      <c r="J379" s="218">
        <v>0</v>
      </c>
      <c r="K379" s="218">
        <v>19075944</v>
      </c>
      <c r="L379" s="218">
        <f t="shared" ref="L379:O379" si="101">SUM(L380:L385)</f>
        <v>0</v>
      </c>
      <c r="M379" s="218">
        <f t="shared" si="101"/>
        <v>0</v>
      </c>
      <c r="N379" s="218">
        <f t="shared" si="101"/>
        <v>0</v>
      </c>
      <c r="O379" s="219">
        <f t="shared" si="101"/>
        <v>0</v>
      </c>
      <c r="P379" s="213"/>
      <c r="Q379" s="220">
        <f>SUM(Q380:Q385)</f>
        <v>0</v>
      </c>
      <c r="R379" s="215"/>
    </row>
    <row r="380" spans="1:18" s="207" customFormat="1">
      <c r="A380" s="245" t="s">
        <v>95</v>
      </c>
      <c r="B380" s="246" t="s">
        <v>524</v>
      </c>
      <c r="C380" s="222">
        <f t="shared" si="95"/>
        <v>7630377.5999999996</v>
      </c>
      <c r="D380" s="222"/>
      <c r="E380" s="222"/>
      <c r="F380" s="223">
        <v>7630377.5999999996</v>
      </c>
      <c r="G380" s="223">
        <v>0</v>
      </c>
      <c r="H380" s="223">
        <v>0</v>
      </c>
      <c r="I380" s="223">
        <v>0</v>
      </c>
      <c r="J380" s="223">
        <v>0</v>
      </c>
      <c r="K380" s="223">
        <v>7630377.5999999996</v>
      </c>
      <c r="L380" s="223">
        <v>0</v>
      </c>
      <c r="M380" s="223">
        <v>0</v>
      </c>
      <c r="N380" s="223">
        <v>0</v>
      </c>
      <c r="O380" s="224">
        <v>0</v>
      </c>
      <c r="P380" s="230"/>
      <c r="Q380" s="226"/>
    </row>
    <row r="381" spans="1:18" s="207" customFormat="1">
      <c r="A381" s="245" t="s">
        <v>96</v>
      </c>
      <c r="B381" s="246" t="s">
        <v>88</v>
      </c>
      <c r="C381" s="222">
        <f t="shared" si="95"/>
        <v>1907594.4</v>
      </c>
      <c r="D381" s="222"/>
      <c r="E381" s="222"/>
      <c r="F381" s="223">
        <v>1907594.4</v>
      </c>
      <c r="G381" s="223">
        <v>0</v>
      </c>
      <c r="H381" s="223">
        <v>0</v>
      </c>
      <c r="I381" s="223">
        <v>0</v>
      </c>
      <c r="J381" s="223">
        <v>0</v>
      </c>
      <c r="K381" s="223">
        <v>1907594.4</v>
      </c>
      <c r="L381" s="223">
        <v>0</v>
      </c>
      <c r="M381" s="223">
        <v>0</v>
      </c>
      <c r="N381" s="223">
        <v>0</v>
      </c>
      <c r="O381" s="224">
        <v>0</v>
      </c>
      <c r="P381" s="230"/>
      <c r="Q381" s="226"/>
    </row>
    <row r="382" spans="1:18" s="207" customFormat="1">
      <c r="A382" s="245" t="s">
        <v>97</v>
      </c>
      <c r="B382" s="246" t="s">
        <v>89</v>
      </c>
      <c r="C382" s="222">
        <f t="shared" si="95"/>
        <v>1907594.4</v>
      </c>
      <c r="D382" s="222"/>
      <c r="E382" s="222"/>
      <c r="F382" s="223">
        <v>1907594.4</v>
      </c>
      <c r="G382" s="223">
        <v>0</v>
      </c>
      <c r="H382" s="223">
        <v>0</v>
      </c>
      <c r="I382" s="223">
        <v>0</v>
      </c>
      <c r="J382" s="223">
        <v>0</v>
      </c>
      <c r="K382" s="223">
        <v>1907594.4</v>
      </c>
      <c r="L382" s="223">
        <v>0</v>
      </c>
      <c r="M382" s="223">
        <v>0</v>
      </c>
      <c r="N382" s="223">
        <v>0</v>
      </c>
      <c r="O382" s="224">
        <v>0</v>
      </c>
      <c r="P382" s="225"/>
      <c r="Q382" s="226"/>
    </row>
    <row r="383" spans="1:18" s="207" customFormat="1">
      <c r="A383" s="245" t="s">
        <v>1104</v>
      </c>
      <c r="B383" s="246" t="s">
        <v>90</v>
      </c>
      <c r="C383" s="222">
        <f t="shared" si="95"/>
        <v>1907594.4</v>
      </c>
      <c r="D383" s="222"/>
      <c r="E383" s="222"/>
      <c r="F383" s="223">
        <v>1907594.4</v>
      </c>
      <c r="G383" s="223">
        <v>0</v>
      </c>
      <c r="H383" s="223">
        <v>0</v>
      </c>
      <c r="I383" s="223">
        <v>0</v>
      </c>
      <c r="J383" s="223">
        <v>0</v>
      </c>
      <c r="K383" s="223">
        <v>1907594.4</v>
      </c>
      <c r="L383" s="223">
        <v>0</v>
      </c>
      <c r="M383" s="223">
        <v>0</v>
      </c>
      <c r="N383" s="223">
        <v>0</v>
      </c>
      <c r="O383" s="224">
        <v>0</v>
      </c>
      <c r="P383" s="225"/>
      <c r="Q383" s="226"/>
    </row>
    <row r="384" spans="1:18" s="207" customFormat="1">
      <c r="A384" s="245" t="s">
        <v>1105</v>
      </c>
      <c r="B384" s="246" t="s">
        <v>91</v>
      </c>
      <c r="C384" s="222">
        <f t="shared" si="95"/>
        <v>3815188.8</v>
      </c>
      <c r="D384" s="222"/>
      <c r="E384" s="222"/>
      <c r="F384" s="223">
        <v>3815188.8</v>
      </c>
      <c r="G384" s="223">
        <v>0</v>
      </c>
      <c r="H384" s="223">
        <v>0</v>
      </c>
      <c r="I384" s="223">
        <v>0</v>
      </c>
      <c r="J384" s="223">
        <v>0</v>
      </c>
      <c r="K384" s="223">
        <v>3815188.8</v>
      </c>
      <c r="L384" s="223">
        <v>0</v>
      </c>
      <c r="M384" s="223">
        <v>0</v>
      </c>
      <c r="N384" s="223">
        <v>0</v>
      </c>
      <c r="O384" s="224">
        <v>0</v>
      </c>
      <c r="P384" s="225"/>
      <c r="Q384" s="226"/>
    </row>
    <row r="385" spans="1:18" s="215" customFormat="1">
      <c r="A385" s="245" t="s">
        <v>1106</v>
      </c>
      <c r="B385" s="246" t="s">
        <v>92</v>
      </c>
      <c r="C385" s="222">
        <f t="shared" si="95"/>
        <v>1907594.4</v>
      </c>
      <c r="D385" s="222"/>
      <c r="E385" s="222"/>
      <c r="F385" s="223">
        <v>1907594.4</v>
      </c>
      <c r="G385" s="223">
        <v>0</v>
      </c>
      <c r="H385" s="223">
        <v>0</v>
      </c>
      <c r="I385" s="223">
        <v>0</v>
      </c>
      <c r="J385" s="223">
        <v>0</v>
      </c>
      <c r="K385" s="223">
        <v>1907594.4</v>
      </c>
      <c r="L385" s="223">
        <v>0</v>
      </c>
      <c r="M385" s="223">
        <v>0</v>
      </c>
      <c r="N385" s="223">
        <v>0</v>
      </c>
      <c r="O385" s="224">
        <v>0</v>
      </c>
      <c r="P385" s="225"/>
      <c r="Q385" s="226"/>
      <c r="R385" s="207"/>
    </row>
    <row r="386" spans="1:18" s="207" customFormat="1">
      <c r="A386" s="216" t="s">
        <v>103</v>
      </c>
      <c r="B386" s="217" t="s">
        <v>1107</v>
      </c>
      <c r="C386" s="217">
        <f t="shared" si="95"/>
        <v>26177273.870000001</v>
      </c>
      <c r="D386" s="217"/>
      <c r="E386" s="217"/>
      <c r="F386" s="218">
        <v>26177273.870000001</v>
      </c>
      <c r="G386" s="218">
        <v>0</v>
      </c>
      <c r="H386" s="218">
        <v>0</v>
      </c>
      <c r="I386" s="218">
        <v>0</v>
      </c>
      <c r="J386" s="218">
        <v>0</v>
      </c>
      <c r="K386" s="218">
        <v>26177273.870000001</v>
      </c>
      <c r="L386" s="218">
        <f t="shared" ref="L386:O386" si="102">SUM(L387:L388)</f>
        <v>21999020</v>
      </c>
      <c r="M386" s="218">
        <f t="shared" si="102"/>
        <v>21999020</v>
      </c>
      <c r="N386" s="218">
        <f t="shared" si="102"/>
        <v>2711360</v>
      </c>
      <c r="O386" s="219">
        <f t="shared" si="102"/>
        <v>999019.99</v>
      </c>
      <c r="P386" s="213"/>
      <c r="Q386" s="220">
        <f>SUM(Q387:Q388)</f>
        <v>0</v>
      </c>
      <c r="R386" s="215"/>
    </row>
    <row r="387" spans="1:18" s="207" customFormat="1">
      <c r="A387" s="245" t="s">
        <v>104</v>
      </c>
      <c r="B387" s="246" t="s">
        <v>1108</v>
      </c>
      <c r="C387" s="222">
        <f t="shared" si="95"/>
        <v>26177273.870000001</v>
      </c>
      <c r="D387" s="222"/>
      <c r="E387" s="222"/>
      <c r="F387" s="223">
        <v>26177273.870000001</v>
      </c>
      <c r="G387" s="223">
        <v>0</v>
      </c>
      <c r="H387" s="223">
        <v>0</v>
      </c>
      <c r="I387" s="223">
        <v>0</v>
      </c>
      <c r="J387" s="223">
        <v>0</v>
      </c>
      <c r="K387" s="223">
        <v>26177273.870000001</v>
      </c>
      <c r="L387" s="223">
        <v>21999020</v>
      </c>
      <c r="M387" s="223">
        <v>21999020</v>
      </c>
      <c r="N387" s="223">
        <v>2711360</v>
      </c>
      <c r="O387" s="224">
        <v>999019.99</v>
      </c>
      <c r="P387" s="225"/>
      <c r="Q387" s="226"/>
    </row>
    <row r="388" spans="1:18" s="215" customFormat="1">
      <c r="A388" s="245" t="s">
        <v>105</v>
      </c>
      <c r="B388" s="246" t="s">
        <v>86</v>
      </c>
      <c r="C388" s="222">
        <f t="shared" si="95"/>
        <v>0</v>
      </c>
      <c r="D388" s="222"/>
      <c r="E388" s="222"/>
      <c r="F388" s="223">
        <v>0</v>
      </c>
      <c r="G388" s="223">
        <v>0</v>
      </c>
      <c r="H388" s="223">
        <v>0</v>
      </c>
      <c r="I388" s="223">
        <v>0</v>
      </c>
      <c r="J388" s="223">
        <v>0</v>
      </c>
      <c r="K388" s="223">
        <v>0</v>
      </c>
      <c r="L388" s="223">
        <v>0</v>
      </c>
      <c r="M388" s="223">
        <v>0</v>
      </c>
      <c r="N388" s="223">
        <v>0</v>
      </c>
      <c r="O388" s="224">
        <v>0</v>
      </c>
      <c r="P388" s="225"/>
      <c r="Q388" s="226"/>
      <c r="R388" s="207"/>
    </row>
    <row r="389" spans="1:18" s="207" customFormat="1">
      <c r="A389" s="216" t="s">
        <v>106</v>
      </c>
      <c r="B389" s="217" t="s">
        <v>1109</v>
      </c>
      <c r="C389" s="217">
        <f t="shared" si="95"/>
        <v>22032000</v>
      </c>
      <c r="D389" s="217"/>
      <c r="E389" s="217"/>
      <c r="F389" s="218">
        <v>22940160</v>
      </c>
      <c r="G389" s="218">
        <v>0</v>
      </c>
      <c r="H389" s="218">
        <v>0</v>
      </c>
      <c r="I389" s="218">
        <v>0</v>
      </c>
      <c r="J389" s="218">
        <v>908160</v>
      </c>
      <c r="K389" s="218">
        <v>22032000</v>
      </c>
      <c r="L389" s="218">
        <f t="shared" ref="L389:O389" si="103">SUM(L390:L391)</f>
        <v>0</v>
      </c>
      <c r="M389" s="218">
        <f t="shared" si="103"/>
        <v>0</v>
      </c>
      <c r="N389" s="218">
        <f t="shared" si="103"/>
        <v>0</v>
      </c>
      <c r="O389" s="219">
        <f t="shared" si="103"/>
        <v>0</v>
      </c>
      <c r="P389" s="213"/>
      <c r="Q389" s="220">
        <f>SUM(Q390:Q391)</f>
        <v>0</v>
      </c>
      <c r="R389" s="215"/>
    </row>
    <row r="390" spans="1:18" s="207" customFormat="1">
      <c r="A390" s="245" t="s">
        <v>107</v>
      </c>
      <c r="B390" s="246" t="s">
        <v>1110</v>
      </c>
      <c r="C390" s="222">
        <f t="shared" si="95"/>
        <v>15149952</v>
      </c>
      <c r="D390" s="222"/>
      <c r="E390" s="222"/>
      <c r="F390" s="223">
        <v>16058112</v>
      </c>
      <c r="G390" s="223">
        <v>0</v>
      </c>
      <c r="H390" s="223">
        <v>0</v>
      </c>
      <c r="I390" s="223">
        <v>0</v>
      </c>
      <c r="J390" s="223">
        <v>908160</v>
      </c>
      <c r="K390" s="223">
        <v>15149952</v>
      </c>
      <c r="L390" s="223">
        <v>0</v>
      </c>
      <c r="M390" s="223">
        <v>0</v>
      </c>
      <c r="N390" s="223">
        <v>0</v>
      </c>
      <c r="O390" s="224">
        <v>0</v>
      </c>
      <c r="P390" s="225"/>
      <c r="Q390" s="226"/>
    </row>
    <row r="391" spans="1:18" s="207" customFormat="1">
      <c r="A391" s="245" t="s">
        <v>1111</v>
      </c>
      <c r="B391" s="246" t="s">
        <v>1112</v>
      </c>
      <c r="C391" s="222">
        <f t="shared" si="95"/>
        <v>6882048</v>
      </c>
      <c r="D391" s="222"/>
      <c r="E391" s="222"/>
      <c r="F391" s="223">
        <v>6882048</v>
      </c>
      <c r="G391" s="223">
        <v>0</v>
      </c>
      <c r="H391" s="223">
        <v>0</v>
      </c>
      <c r="I391" s="223">
        <v>0</v>
      </c>
      <c r="J391" s="223">
        <v>0</v>
      </c>
      <c r="K391" s="223">
        <v>6882048</v>
      </c>
      <c r="L391" s="223">
        <v>0</v>
      </c>
      <c r="M391" s="223">
        <v>0</v>
      </c>
      <c r="N391" s="223">
        <v>0</v>
      </c>
      <c r="O391" s="224">
        <v>0</v>
      </c>
      <c r="P391" s="225"/>
      <c r="Q391" s="226"/>
    </row>
    <row r="392" spans="1:18" s="215" customFormat="1">
      <c r="A392" s="221" t="s">
        <v>1113</v>
      </c>
      <c r="B392" s="222" t="s">
        <v>1114</v>
      </c>
      <c r="C392" s="222">
        <f t="shared" si="95"/>
        <v>0</v>
      </c>
      <c r="D392" s="222"/>
      <c r="E392" s="222"/>
      <c r="F392" s="223">
        <v>0</v>
      </c>
      <c r="G392" s="223">
        <v>0</v>
      </c>
      <c r="H392" s="223">
        <v>0</v>
      </c>
      <c r="I392" s="223">
        <v>0</v>
      </c>
      <c r="J392" s="223">
        <v>0</v>
      </c>
      <c r="K392" s="223">
        <v>0</v>
      </c>
      <c r="L392" s="223">
        <v>0</v>
      </c>
      <c r="M392" s="223">
        <v>0</v>
      </c>
      <c r="N392" s="223">
        <v>0</v>
      </c>
      <c r="O392" s="224">
        <v>0</v>
      </c>
      <c r="P392" s="225"/>
      <c r="Q392" s="226"/>
      <c r="R392" s="207"/>
    </row>
    <row r="393" spans="1:18" s="215" customFormat="1">
      <c r="A393" s="216" t="s">
        <v>108</v>
      </c>
      <c r="B393" s="217" t="s">
        <v>127</v>
      </c>
      <c r="C393" s="217">
        <f t="shared" si="95"/>
        <v>1510274378.28</v>
      </c>
      <c r="D393" s="217"/>
      <c r="E393" s="217"/>
      <c r="F393" s="218">
        <v>5000</v>
      </c>
      <c r="G393" s="218">
        <v>0</v>
      </c>
      <c r="H393" s="218">
        <v>0</v>
      </c>
      <c r="I393" s="218">
        <v>1533369378.28</v>
      </c>
      <c r="J393" s="218">
        <v>23100000</v>
      </c>
      <c r="K393" s="218">
        <v>1510274378.28</v>
      </c>
      <c r="L393" s="218">
        <f t="shared" ref="L393:O393" si="104">L394+L406+L410</f>
        <v>1163412600.76</v>
      </c>
      <c r="M393" s="218">
        <f t="shared" si="104"/>
        <v>1089288216.21</v>
      </c>
      <c r="N393" s="218">
        <f t="shared" si="104"/>
        <v>115045022.75</v>
      </c>
      <c r="O393" s="219">
        <f t="shared" si="104"/>
        <v>26943593</v>
      </c>
      <c r="P393" s="213"/>
      <c r="Q393" s="220">
        <f>Q394+Q406+Q410</f>
        <v>0</v>
      </c>
    </row>
    <row r="394" spans="1:18" s="215" customFormat="1">
      <c r="A394" s="216" t="s">
        <v>109</v>
      </c>
      <c r="B394" s="217" t="s">
        <v>128</v>
      </c>
      <c r="C394" s="217">
        <f t="shared" si="95"/>
        <v>11005000</v>
      </c>
      <c r="D394" s="217"/>
      <c r="E394" s="217"/>
      <c r="F394" s="218">
        <v>5000</v>
      </c>
      <c r="G394" s="218">
        <v>0</v>
      </c>
      <c r="H394" s="218">
        <v>0</v>
      </c>
      <c r="I394" s="218">
        <v>11000000</v>
      </c>
      <c r="J394" s="218">
        <v>0</v>
      </c>
      <c r="K394" s="218">
        <v>11005000</v>
      </c>
      <c r="L394" s="218">
        <f t="shared" ref="L394:O394" si="105">L395</f>
        <v>0</v>
      </c>
      <c r="M394" s="218">
        <f t="shared" si="105"/>
        <v>0</v>
      </c>
      <c r="N394" s="218">
        <f t="shared" si="105"/>
        <v>0</v>
      </c>
      <c r="O394" s="219">
        <f t="shared" si="105"/>
        <v>0</v>
      </c>
      <c r="P394" s="213"/>
      <c r="Q394" s="220">
        <f>Q395</f>
        <v>0</v>
      </c>
    </row>
    <row r="395" spans="1:18" s="215" customFormat="1">
      <c r="A395" s="216" t="s">
        <v>110</v>
      </c>
      <c r="B395" s="217" t="s">
        <v>1115</v>
      </c>
      <c r="C395" s="217">
        <f t="shared" si="95"/>
        <v>11005000</v>
      </c>
      <c r="D395" s="217"/>
      <c r="E395" s="217"/>
      <c r="F395" s="218">
        <v>5000</v>
      </c>
      <c r="G395" s="218">
        <v>0</v>
      </c>
      <c r="H395" s="218">
        <v>0</v>
      </c>
      <c r="I395" s="218">
        <v>11000000</v>
      </c>
      <c r="J395" s="218">
        <v>0</v>
      </c>
      <c r="K395" s="218">
        <v>11005000</v>
      </c>
      <c r="L395" s="218">
        <f t="shared" ref="L395:O395" si="106">L396+L398+L400+L404</f>
        <v>0</v>
      </c>
      <c r="M395" s="218">
        <f t="shared" si="106"/>
        <v>0</v>
      </c>
      <c r="N395" s="218">
        <f t="shared" si="106"/>
        <v>0</v>
      </c>
      <c r="O395" s="219">
        <f t="shared" si="106"/>
        <v>0</v>
      </c>
      <c r="P395" s="213"/>
      <c r="Q395" s="220">
        <f>Q396+Q398+Q400+Q404</f>
        <v>0</v>
      </c>
    </row>
    <row r="396" spans="1:18" s="207" customFormat="1">
      <c r="A396" s="216" t="s">
        <v>111</v>
      </c>
      <c r="B396" s="217" t="s">
        <v>1116</v>
      </c>
      <c r="C396" s="217">
        <f t="shared" si="95"/>
        <v>1000</v>
      </c>
      <c r="D396" s="217"/>
      <c r="E396" s="217"/>
      <c r="F396" s="218">
        <v>1000</v>
      </c>
      <c r="G396" s="218">
        <v>0</v>
      </c>
      <c r="H396" s="218">
        <v>0</v>
      </c>
      <c r="I396" s="218">
        <v>0</v>
      </c>
      <c r="J396" s="218">
        <v>0</v>
      </c>
      <c r="K396" s="218">
        <v>1000</v>
      </c>
      <c r="L396" s="218">
        <f t="shared" ref="L396:O396" si="107">L397</f>
        <v>0</v>
      </c>
      <c r="M396" s="218">
        <f t="shared" si="107"/>
        <v>0</v>
      </c>
      <c r="N396" s="218">
        <f t="shared" si="107"/>
        <v>0</v>
      </c>
      <c r="O396" s="219">
        <f t="shared" si="107"/>
        <v>0</v>
      </c>
      <c r="P396" s="213"/>
      <c r="Q396" s="220">
        <f>Q397</f>
        <v>0</v>
      </c>
      <c r="R396" s="215"/>
    </row>
    <row r="397" spans="1:18" s="215" customFormat="1">
      <c r="A397" s="221" t="s">
        <v>1117</v>
      </c>
      <c r="B397" s="222" t="s">
        <v>1116</v>
      </c>
      <c r="C397" s="222">
        <f t="shared" si="95"/>
        <v>1000</v>
      </c>
      <c r="D397" s="222"/>
      <c r="E397" s="222"/>
      <c r="F397" s="223">
        <v>1000</v>
      </c>
      <c r="G397" s="223">
        <v>0</v>
      </c>
      <c r="H397" s="223">
        <v>0</v>
      </c>
      <c r="I397" s="223">
        <v>0</v>
      </c>
      <c r="J397" s="223">
        <v>0</v>
      </c>
      <c r="K397" s="223">
        <v>1000</v>
      </c>
      <c r="L397" s="223">
        <v>0</v>
      </c>
      <c r="M397" s="223">
        <v>0</v>
      </c>
      <c r="N397" s="223">
        <v>0</v>
      </c>
      <c r="O397" s="224">
        <v>0</v>
      </c>
      <c r="P397" s="225"/>
      <c r="Q397" s="226"/>
      <c r="R397" s="207"/>
    </row>
    <row r="398" spans="1:18" s="207" customFormat="1">
      <c r="A398" s="216" t="s">
        <v>1118</v>
      </c>
      <c r="B398" s="217" t="s">
        <v>1119</v>
      </c>
      <c r="C398" s="217">
        <f t="shared" si="95"/>
        <v>1000</v>
      </c>
      <c r="D398" s="217"/>
      <c r="E398" s="217"/>
      <c r="F398" s="218">
        <v>1000</v>
      </c>
      <c r="G398" s="218">
        <v>0</v>
      </c>
      <c r="H398" s="218">
        <v>0</v>
      </c>
      <c r="I398" s="218">
        <v>0</v>
      </c>
      <c r="J398" s="218">
        <v>0</v>
      </c>
      <c r="K398" s="218">
        <v>1000</v>
      </c>
      <c r="L398" s="218">
        <f t="shared" ref="L398:O398" si="108">L399</f>
        <v>0</v>
      </c>
      <c r="M398" s="218">
        <f t="shared" si="108"/>
        <v>0</v>
      </c>
      <c r="N398" s="218">
        <f t="shared" si="108"/>
        <v>0</v>
      </c>
      <c r="O398" s="219">
        <f t="shared" si="108"/>
        <v>0</v>
      </c>
      <c r="P398" s="213"/>
      <c r="Q398" s="220">
        <f>Q399</f>
        <v>0</v>
      </c>
      <c r="R398" s="215"/>
    </row>
    <row r="399" spans="1:18" s="215" customFormat="1">
      <c r="A399" s="221" t="s">
        <v>1120</v>
      </c>
      <c r="B399" s="222" t="s">
        <v>1119</v>
      </c>
      <c r="C399" s="222">
        <f t="shared" si="95"/>
        <v>1000</v>
      </c>
      <c r="D399" s="222"/>
      <c r="E399" s="222"/>
      <c r="F399" s="223">
        <v>1000</v>
      </c>
      <c r="G399" s="223">
        <v>0</v>
      </c>
      <c r="H399" s="223">
        <v>0</v>
      </c>
      <c r="I399" s="223">
        <v>0</v>
      </c>
      <c r="J399" s="223">
        <v>0</v>
      </c>
      <c r="K399" s="223">
        <v>1000</v>
      </c>
      <c r="L399" s="223">
        <v>0</v>
      </c>
      <c r="M399" s="223">
        <v>0</v>
      </c>
      <c r="N399" s="223">
        <v>0</v>
      </c>
      <c r="O399" s="224">
        <v>0</v>
      </c>
      <c r="P399" s="225"/>
      <c r="Q399" s="226"/>
      <c r="R399" s="207"/>
    </row>
    <row r="400" spans="1:18" s="215" customFormat="1">
      <c r="A400" s="216" t="s">
        <v>1121</v>
      </c>
      <c r="B400" s="217" t="s">
        <v>1122</v>
      </c>
      <c r="C400" s="217">
        <f t="shared" si="95"/>
        <v>11002000</v>
      </c>
      <c r="D400" s="217"/>
      <c r="E400" s="217"/>
      <c r="F400" s="218">
        <v>2000</v>
      </c>
      <c r="G400" s="218">
        <v>0</v>
      </c>
      <c r="H400" s="218">
        <v>0</v>
      </c>
      <c r="I400" s="218">
        <v>11000000</v>
      </c>
      <c r="J400" s="218">
        <v>0</v>
      </c>
      <c r="K400" s="218">
        <v>11002000</v>
      </c>
      <c r="L400" s="218">
        <f t="shared" ref="L400:O400" si="109">L401</f>
        <v>0</v>
      </c>
      <c r="M400" s="218">
        <f t="shared" si="109"/>
        <v>0</v>
      </c>
      <c r="N400" s="218">
        <f t="shared" si="109"/>
        <v>0</v>
      </c>
      <c r="O400" s="219">
        <f t="shared" si="109"/>
        <v>0</v>
      </c>
      <c r="P400" s="213"/>
      <c r="Q400" s="220">
        <f>Q401</f>
        <v>0</v>
      </c>
    </row>
    <row r="401" spans="1:18" s="207" customFormat="1">
      <c r="A401" s="216" t="s">
        <v>1123</v>
      </c>
      <c r="B401" s="217" t="s">
        <v>1124</v>
      </c>
      <c r="C401" s="217">
        <f t="shared" si="95"/>
        <v>11002000</v>
      </c>
      <c r="D401" s="217"/>
      <c r="E401" s="217"/>
      <c r="F401" s="218">
        <v>2000</v>
      </c>
      <c r="G401" s="218">
        <v>0</v>
      </c>
      <c r="H401" s="218">
        <v>0</v>
      </c>
      <c r="I401" s="218">
        <v>11000000</v>
      </c>
      <c r="J401" s="218">
        <v>0</v>
      </c>
      <c r="K401" s="218">
        <v>11002000</v>
      </c>
      <c r="L401" s="218">
        <f t="shared" ref="L401:O401" si="110">SUM(L402:L403)</f>
        <v>0</v>
      </c>
      <c r="M401" s="218">
        <f t="shared" si="110"/>
        <v>0</v>
      </c>
      <c r="N401" s="218">
        <f t="shared" si="110"/>
        <v>0</v>
      </c>
      <c r="O401" s="219">
        <f t="shared" si="110"/>
        <v>0</v>
      </c>
      <c r="P401" s="213"/>
      <c r="Q401" s="220">
        <f>SUM(Q402:Q403)</f>
        <v>0</v>
      </c>
      <c r="R401" s="215"/>
    </row>
    <row r="402" spans="1:18" s="207" customFormat="1">
      <c r="A402" s="221" t="s">
        <v>1125</v>
      </c>
      <c r="B402" s="222" t="s">
        <v>1126</v>
      </c>
      <c r="C402" s="222">
        <f t="shared" si="95"/>
        <v>1000</v>
      </c>
      <c r="D402" s="222"/>
      <c r="E402" s="222"/>
      <c r="F402" s="223">
        <v>1000</v>
      </c>
      <c r="G402" s="223">
        <v>0</v>
      </c>
      <c r="H402" s="223">
        <v>0</v>
      </c>
      <c r="I402" s="223">
        <v>0</v>
      </c>
      <c r="J402" s="223">
        <v>0</v>
      </c>
      <c r="K402" s="223">
        <v>1000</v>
      </c>
      <c r="L402" s="223">
        <v>0</v>
      </c>
      <c r="M402" s="223">
        <v>0</v>
      </c>
      <c r="N402" s="223">
        <v>0</v>
      </c>
      <c r="O402" s="224">
        <v>0</v>
      </c>
      <c r="P402" s="225"/>
      <c r="Q402" s="226"/>
    </row>
    <row r="403" spans="1:18" s="215" customFormat="1">
      <c r="A403" s="221" t="s">
        <v>1127</v>
      </c>
      <c r="B403" s="222" t="s">
        <v>1128</v>
      </c>
      <c r="C403" s="222">
        <f t="shared" si="95"/>
        <v>11001000</v>
      </c>
      <c r="D403" s="222"/>
      <c r="E403" s="222"/>
      <c r="F403" s="223">
        <v>1000</v>
      </c>
      <c r="G403" s="223">
        <v>0</v>
      </c>
      <c r="H403" s="223">
        <v>0</v>
      </c>
      <c r="I403" s="223">
        <v>11000000</v>
      </c>
      <c r="J403" s="223">
        <v>0</v>
      </c>
      <c r="K403" s="223">
        <v>11001000</v>
      </c>
      <c r="L403" s="223">
        <v>0</v>
      </c>
      <c r="M403" s="223">
        <v>0</v>
      </c>
      <c r="N403" s="223">
        <v>0</v>
      </c>
      <c r="O403" s="224">
        <v>0</v>
      </c>
      <c r="P403" s="225"/>
      <c r="Q403" s="226"/>
      <c r="R403" s="207"/>
    </row>
    <row r="404" spans="1:18" s="207" customFormat="1">
      <c r="A404" s="216" t="s">
        <v>1129</v>
      </c>
      <c r="B404" s="217" t="s">
        <v>1130</v>
      </c>
      <c r="C404" s="217">
        <f t="shared" si="95"/>
        <v>1000</v>
      </c>
      <c r="D404" s="217"/>
      <c r="E404" s="217"/>
      <c r="F404" s="218">
        <v>1000</v>
      </c>
      <c r="G404" s="218">
        <v>0</v>
      </c>
      <c r="H404" s="218">
        <v>0</v>
      </c>
      <c r="I404" s="218">
        <v>0</v>
      </c>
      <c r="J404" s="218">
        <v>0</v>
      </c>
      <c r="K404" s="218">
        <v>1000</v>
      </c>
      <c r="L404" s="218">
        <f t="shared" ref="L404:O404" si="111">L405</f>
        <v>0</v>
      </c>
      <c r="M404" s="218">
        <f t="shared" si="111"/>
        <v>0</v>
      </c>
      <c r="N404" s="218">
        <f t="shared" si="111"/>
        <v>0</v>
      </c>
      <c r="O404" s="219">
        <f t="shared" si="111"/>
        <v>0</v>
      </c>
      <c r="P404" s="213"/>
      <c r="Q404" s="220">
        <f>Q405</f>
        <v>0</v>
      </c>
      <c r="R404" s="215"/>
    </row>
    <row r="405" spans="1:18" s="215" customFormat="1">
      <c r="A405" s="221" t="s">
        <v>1131</v>
      </c>
      <c r="B405" s="222" t="s">
        <v>1132</v>
      </c>
      <c r="C405" s="222">
        <f t="shared" si="95"/>
        <v>1000</v>
      </c>
      <c r="D405" s="222"/>
      <c r="E405" s="222"/>
      <c r="F405" s="223">
        <v>1000</v>
      </c>
      <c r="G405" s="223">
        <v>0</v>
      </c>
      <c r="H405" s="223">
        <v>0</v>
      </c>
      <c r="I405" s="223">
        <v>0</v>
      </c>
      <c r="J405" s="223">
        <v>0</v>
      </c>
      <c r="K405" s="223">
        <v>1000</v>
      </c>
      <c r="L405" s="223">
        <v>0</v>
      </c>
      <c r="M405" s="223">
        <v>0</v>
      </c>
      <c r="N405" s="223">
        <v>0</v>
      </c>
      <c r="O405" s="224">
        <v>0</v>
      </c>
      <c r="P405" s="225"/>
      <c r="Q405" s="226"/>
      <c r="R405" s="207"/>
    </row>
    <row r="406" spans="1:18" s="215" customFormat="1">
      <c r="A406" s="216" t="s">
        <v>112</v>
      </c>
      <c r="B406" s="217" t="s">
        <v>129</v>
      </c>
      <c r="C406" s="217">
        <f t="shared" si="95"/>
        <v>200369871.91999999</v>
      </c>
      <c r="D406" s="217"/>
      <c r="E406" s="217"/>
      <c r="F406" s="218">
        <v>0</v>
      </c>
      <c r="G406" s="218">
        <v>0</v>
      </c>
      <c r="H406" s="218">
        <v>0</v>
      </c>
      <c r="I406" s="218">
        <v>200369871.91999999</v>
      </c>
      <c r="J406" s="218">
        <v>0</v>
      </c>
      <c r="K406" s="218">
        <v>200369871.91999999</v>
      </c>
      <c r="L406" s="218">
        <f t="shared" ref="L406:O406" si="112">L407</f>
        <v>66124056.170000002</v>
      </c>
      <c r="M406" s="218">
        <f t="shared" si="112"/>
        <v>0</v>
      </c>
      <c r="N406" s="218">
        <f t="shared" si="112"/>
        <v>0</v>
      </c>
      <c r="O406" s="219">
        <f t="shared" si="112"/>
        <v>0</v>
      </c>
      <c r="P406" s="213"/>
      <c r="Q406" s="220">
        <f>Q407</f>
        <v>0</v>
      </c>
    </row>
    <row r="407" spans="1:18" s="207" customFormat="1">
      <c r="A407" s="216" t="s">
        <v>113</v>
      </c>
      <c r="B407" s="217" t="s">
        <v>1133</v>
      </c>
      <c r="C407" s="217">
        <f t="shared" si="95"/>
        <v>200369871.91999999</v>
      </c>
      <c r="D407" s="217"/>
      <c r="E407" s="217"/>
      <c r="F407" s="218">
        <v>0</v>
      </c>
      <c r="G407" s="218">
        <v>0</v>
      </c>
      <c r="H407" s="218">
        <v>0</v>
      </c>
      <c r="I407" s="218">
        <v>200369871.91999999</v>
      </c>
      <c r="J407" s="218">
        <v>0</v>
      </c>
      <c r="K407" s="218">
        <v>200369871.91999999</v>
      </c>
      <c r="L407" s="218">
        <f t="shared" ref="L407:O407" si="113">L408+L409</f>
        <v>66124056.170000002</v>
      </c>
      <c r="M407" s="218">
        <f t="shared" si="113"/>
        <v>0</v>
      </c>
      <c r="N407" s="218">
        <f t="shared" si="113"/>
        <v>0</v>
      </c>
      <c r="O407" s="219">
        <f t="shared" si="113"/>
        <v>0</v>
      </c>
      <c r="P407" s="215"/>
      <c r="Q407" s="220">
        <f>Q408+Q409</f>
        <v>0</v>
      </c>
      <c r="R407" s="215"/>
    </row>
    <row r="408" spans="1:18" s="207" customFormat="1">
      <c r="A408" s="221" t="s">
        <v>114</v>
      </c>
      <c r="B408" s="222" t="s">
        <v>1134</v>
      </c>
      <c r="C408" s="222">
        <f t="shared" si="95"/>
        <v>0</v>
      </c>
      <c r="D408" s="222"/>
      <c r="E408" s="222"/>
      <c r="F408" s="223">
        <v>0</v>
      </c>
      <c r="G408" s="223">
        <v>0</v>
      </c>
      <c r="H408" s="223">
        <v>0</v>
      </c>
      <c r="I408" s="223">
        <v>0</v>
      </c>
      <c r="J408" s="223">
        <v>0</v>
      </c>
      <c r="K408" s="223">
        <v>0</v>
      </c>
      <c r="L408" s="223">
        <v>0</v>
      </c>
      <c r="M408" s="223">
        <v>0</v>
      </c>
      <c r="N408" s="223">
        <v>0</v>
      </c>
      <c r="O408" s="224">
        <v>0</v>
      </c>
      <c r="P408" s="225"/>
      <c r="Q408" s="226"/>
    </row>
    <row r="409" spans="1:18" s="215" customFormat="1">
      <c r="A409" s="283" t="s">
        <v>1135</v>
      </c>
      <c r="B409" s="284" t="s">
        <v>1136</v>
      </c>
      <c r="C409" s="222">
        <f t="shared" ref="C409:C473" si="114">K409</f>
        <v>200369871.91999999</v>
      </c>
      <c r="D409" s="222"/>
      <c r="E409" s="222"/>
      <c r="F409" s="223">
        <v>0</v>
      </c>
      <c r="G409" s="223">
        <v>0</v>
      </c>
      <c r="H409" s="223">
        <v>0</v>
      </c>
      <c r="I409" s="223">
        <v>200369871.91999999</v>
      </c>
      <c r="J409" s="223">
        <v>0</v>
      </c>
      <c r="K409" s="223">
        <v>200369871.91999999</v>
      </c>
      <c r="L409" s="223">
        <v>66124056.170000002</v>
      </c>
      <c r="M409" s="223">
        <v>0</v>
      </c>
      <c r="N409" s="223">
        <v>0</v>
      </c>
      <c r="O409" s="224">
        <v>0</v>
      </c>
      <c r="P409" s="225"/>
      <c r="Q409" s="226"/>
      <c r="R409" s="207"/>
    </row>
    <row r="410" spans="1:18" s="215" customFormat="1">
      <c r="A410" s="216" t="s">
        <v>117</v>
      </c>
      <c r="B410" s="217" t="s">
        <v>1137</v>
      </c>
      <c r="C410" s="217">
        <f t="shared" si="114"/>
        <v>1298899506.3599999</v>
      </c>
      <c r="D410" s="217"/>
      <c r="E410" s="217"/>
      <c r="F410" s="218">
        <v>0</v>
      </c>
      <c r="G410" s="218">
        <v>0</v>
      </c>
      <c r="H410" s="218">
        <v>0</v>
      </c>
      <c r="I410" s="218">
        <v>1321999506.3599999</v>
      </c>
      <c r="J410" s="218">
        <v>23100000</v>
      </c>
      <c r="K410" s="218">
        <v>1298899506.3599999</v>
      </c>
      <c r="L410" s="218">
        <f t="shared" ref="L410:O410" si="115">L411+L448+L463</f>
        <v>1097288544.5899999</v>
      </c>
      <c r="M410" s="218">
        <f t="shared" si="115"/>
        <v>1089288216.21</v>
      </c>
      <c r="N410" s="218">
        <f t="shared" si="115"/>
        <v>115045022.75</v>
      </c>
      <c r="O410" s="219">
        <f t="shared" si="115"/>
        <v>26943593</v>
      </c>
      <c r="P410" s="213"/>
      <c r="Q410" s="220">
        <f>Q411+Q448+Q463</f>
        <v>0</v>
      </c>
    </row>
    <row r="411" spans="1:18" s="207" customFormat="1">
      <c r="A411" s="216" t="s">
        <v>119</v>
      </c>
      <c r="B411" s="217" t="s">
        <v>1138</v>
      </c>
      <c r="C411" s="217">
        <f t="shared" si="114"/>
        <v>283567520.61000001</v>
      </c>
      <c r="D411" s="217"/>
      <c r="E411" s="217"/>
      <c r="F411" s="218">
        <v>0</v>
      </c>
      <c r="G411" s="218">
        <v>0</v>
      </c>
      <c r="H411" s="218">
        <v>0</v>
      </c>
      <c r="I411" s="218">
        <v>306667520.61000001</v>
      </c>
      <c r="J411" s="218">
        <v>23100000</v>
      </c>
      <c r="K411" s="218">
        <v>283567520.61000001</v>
      </c>
      <c r="L411" s="218">
        <f t="shared" ref="L411:O411" si="116">SUM(L412:L413)</f>
        <v>83602012.840000004</v>
      </c>
      <c r="M411" s="218">
        <f t="shared" si="116"/>
        <v>75601684.460000008</v>
      </c>
      <c r="N411" s="218">
        <f t="shared" si="116"/>
        <v>14667600</v>
      </c>
      <c r="O411" s="219">
        <f t="shared" si="116"/>
        <v>14667600</v>
      </c>
      <c r="P411" s="213"/>
      <c r="Q411" s="220">
        <f>SUM(Q412:Q413)</f>
        <v>0</v>
      </c>
      <c r="R411" s="215"/>
    </row>
    <row r="412" spans="1:18" s="215" customFormat="1">
      <c r="A412" s="221" t="s">
        <v>120</v>
      </c>
      <c r="B412" s="222" t="s">
        <v>1139</v>
      </c>
      <c r="C412" s="222">
        <f t="shared" si="114"/>
        <v>0</v>
      </c>
      <c r="D412" s="222"/>
      <c r="E412" s="222"/>
      <c r="F412" s="223">
        <v>0</v>
      </c>
      <c r="G412" s="223">
        <v>0</v>
      </c>
      <c r="H412" s="223">
        <v>0</v>
      </c>
      <c r="I412" s="223">
        <v>0</v>
      </c>
      <c r="J412" s="223">
        <v>0</v>
      </c>
      <c r="K412" s="223">
        <v>0</v>
      </c>
      <c r="L412" s="223">
        <v>0</v>
      </c>
      <c r="M412" s="223">
        <v>0</v>
      </c>
      <c r="N412" s="223">
        <v>0</v>
      </c>
      <c r="O412" s="224">
        <v>0</v>
      </c>
      <c r="P412" s="225"/>
      <c r="Q412" s="226"/>
      <c r="R412" s="207"/>
    </row>
    <row r="413" spans="1:18" s="215" customFormat="1">
      <c r="A413" s="216" t="s">
        <v>121</v>
      </c>
      <c r="B413" s="217" t="s">
        <v>1140</v>
      </c>
      <c r="C413" s="217">
        <f t="shared" si="114"/>
        <v>283567520.61000001</v>
      </c>
      <c r="D413" s="217"/>
      <c r="E413" s="217"/>
      <c r="F413" s="218">
        <v>0</v>
      </c>
      <c r="G413" s="218">
        <v>0</v>
      </c>
      <c r="H413" s="218">
        <v>0</v>
      </c>
      <c r="I413" s="218">
        <v>306667520.61000001</v>
      </c>
      <c r="J413" s="218">
        <v>23100000</v>
      </c>
      <c r="K413" s="218">
        <v>283567520.61000001</v>
      </c>
      <c r="L413" s="218">
        <f t="shared" ref="L413:O413" si="117">L414+L424</f>
        <v>83602012.840000004</v>
      </c>
      <c r="M413" s="218">
        <f t="shared" si="117"/>
        <v>75601684.460000008</v>
      </c>
      <c r="N413" s="218">
        <f t="shared" si="117"/>
        <v>14667600</v>
      </c>
      <c r="O413" s="219">
        <f t="shared" si="117"/>
        <v>14667600</v>
      </c>
      <c r="P413" s="213"/>
      <c r="Q413" s="220">
        <f>Q414+Q424</f>
        <v>0</v>
      </c>
    </row>
    <row r="414" spans="1:18" s="207" customFormat="1">
      <c r="A414" s="216" t="s">
        <v>122</v>
      </c>
      <c r="B414" s="217" t="s">
        <v>1141</v>
      </c>
      <c r="C414" s="217">
        <f t="shared" si="114"/>
        <v>94454152.150000006</v>
      </c>
      <c r="D414" s="217"/>
      <c r="E414" s="217"/>
      <c r="F414" s="218">
        <v>0</v>
      </c>
      <c r="G414" s="218">
        <v>0</v>
      </c>
      <c r="H414" s="218">
        <v>0</v>
      </c>
      <c r="I414" s="218">
        <v>94454152.150000006</v>
      </c>
      <c r="J414" s="218">
        <v>0</v>
      </c>
      <c r="K414" s="218">
        <v>94454152.150000006</v>
      </c>
      <c r="L414" s="218">
        <f t="shared" ref="L414:O414" si="118">SUM(L415:L418)+L423</f>
        <v>81023843.439999998</v>
      </c>
      <c r="M414" s="218">
        <f t="shared" si="118"/>
        <v>73023515.060000002</v>
      </c>
      <c r="N414" s="218">
        <f t="shared" si="118"/>
        <v>14667600</v>
      </c>
      <c r="O414" s="219">
        <f t="shared" si="118"/>
        <v>14667600</v>
      </c>
      <c r="P414" s="213"/>
      <c r="Q414" s="220">
        <f>SUM(Q415:Q418)+Q423</f>
        <v>0</v>
      </c>
      <c r="R414" s="215"/>
    </row>
    <row r="415" spans="1:18" s="207" customFormat="1">
      <c r="A415" s="267" t="s">
        <v>1142</v>
      </c>
      <c r="B415" s="268" t="s">
        <v>1143</v>
      </c>
      <c r="C415" s="222">
        <f t="shared" si="114"/>
        <v>23432733.059999999</v>
      </c>
      <c r="D415" s="222"/>
      <c r="E415" s="222"/>
      <c r="F415" s="223">
        <v>0</v>
      </c>
      <c r="G415" s="223">
        <v>0</v>
      </c>
      <c r="H415" s="223">
        <v>0</v>
      </c>
      <c r="I415" s="223">
        <v>23432733.059999999</v>
      </c>
      <c r="J415" s="223">
        <v>0</v>
      </c>
      <c r="K415" s="223">
        <v>23432733.059999999</v>
      </c>
      <c r="L415" s="223">
        <v>14667600</v>
      </c>
      <c r="M415" s="223">
        <v>14667600</v>
      </c>
      <c r="N415" s="223">
        <v>14667600</v>
      </c>
      <c r="O415" s="224">
        <v>14667600</v>
      </c>
      <c r="P415" s="225"/>
      <c r="Q415" s="226"/>
    </row>
    <row r="416" spans="1:18" s="207" customFormat="1">
      <c r="A416" s="267" t="s">
        <v>1144</v>
      </c>
      <c r="B416" s="268" t="s">
        <v>1145</v>
      </c>
      <c r="C416" s="222">
        <f t="shared" si="114"/>
        <v>1511380.54</v>
      </c>
      <c r="D416" s="222"/>
      <c r="E416" s="222"/>
      <c r="F416" s="223">
        <v>0</v>
      </c>
      <c r="G416" s="223">
        <v>0</v>
      </c>
      <c r="H416" s="223">
        <v>0</v>
      </c>
      <c r="I416" s="223">
        <v>1511380.54</v>
      </c>
      <c r="J416" s="223">
        <v>0</v>
      </c>
      <c r="K416" s="223">
        <v>1511380.54</v>
      </c>
      <c r="L416" s="223">
        <v>1511380</v>
      </c>
      <c r="M416" s="223">
        <v>1511380</v>
      </c>
      <c r="N416" s="223">
        <v>0</v>
      </c>
      <c r="O416" s="224">
        <v>0</v>
      </c>
      <c r="P416" s="225"/>
      <c r="Q416" s="226"/>
    </row>
    <row r="417" spans="1:18" s="215" customFormat="1">
      <c r="A417" s="267" t="s">
        <v>1146</v>
      </c>
      <c r="B417" s="268" t="s">
        <v>1147</v>
      </c>
      <c r="C417" s="222">
        <f t="shared" si="114"/>
        <v>535568.98</v>
      </c>
      <c r="D417" s="222"/>
      <c r="E417" s="222"/>
      <c r="F417" s="223">
        <v>0</v>
      </c>
      <c r="G417" s="223">
        <v>0</v>
      </c>
      <c r="H417" s="223">
        <v>0</v>
      </c>
      <c r="I417" s="223">
        <v>535568.98</v>
      </c>
      <c r="J417" s="223">
        <v>0</v>
      </c>
      <c r="K417" s="223">
        <v>535568.98</v>
      </c>
      <c r="L417" s="223">
        <v>0</v>
      </c>
      <c r="M417" s="223">
        <v>0</v>
      </c>
      <c r="N417" s="223">
        <v>0</v>
      </c>
      <c r="O417" s="224">
        <v>0</v>
      </c>
      <c r="P417" s="225"/>
      <c r="Q417" s="226"/>
      <c r="R417" s="207"/>
    </row>
    <row r="418" spans="1:18" s="207" customFormat="1">
      <c r="A418" s="216" t="s">
        <v>1148</v>
      </c>
      <c r="B418" s="217" t="s">
        <v>1149</v>
      </c>
      <c r="C418" s="217">
        <f t="shared" si="114"/>
        <v>68295050.569999993</v>
      </c>
      <c r="D418" s="217"/>
      <c r="E418" s="217"/>
      <c r="F418" s="218">
        <v>0</v>
      </c>
      <c r="G418" s="218">
        <v>0</v>
      </c>
      <c r="H418" s="218">
        <v>0</v>
      </c>
      <c r="I418" s="218">
        <v>68295050.569999993</v>
      </c>
      <c r="J418" s="218">
        <v>0</v>
      </c>
      <c r="K418" s="218">
        <v>68295050.569999993</v>
      </c>
      <c r="L418" s="218">
        <f t="shared" ref="L418:O418" si="119">SUM(L419:L422)</f>
        <v>64844863.439999998</v>
      </c>
      <c r="M418" s="218">
        <f t="shared" si="119"/>
        <v>56844535.060000002</v>
      </c>
      <c r="N418" s="218">
        <f t="shared" si="119"/>
        <v>0</v>
      </c>
      <c r="O418" s="219">
        <f t="shared" si="119"/>
        <v>0</v>
      </c>
      <c r="P418" s="213"/>
      <c r="Q418" s="220">
        <f>SUM(Q419:Q422)</f>
        <v>0</v>
      </c>
      <c r="R418" s="215"/>
    </row>
    <row r="419" spans="1:18" s="207" customFormat="1">
      <c r="A419" s="267" t="s">
        <v>1150</v>
      </c>
      <c r="B419" s="268" t="s">
        <v>130</v>
      </c>
      <c r="C419" s="222">
        <f t="shared" si="114"/>
        <v>9936700.6099999994</v>
      </c>
      <c r="D419" s="222"/>
      <c r="E419" s="222"/>
      <c r="F419" s="223">
        <v>0</v>
      </c>
      <c r="G419" s="223">
        <v>0</v>
      </c>
      <c r="H419" s="223">
        <v>0</v>
      </c>
      <c r="I419" s="223">
        <v>9936700.6099999994</v>
      </c>
      <c r="J419" s="223">
        <v>0</v>
      </c>
      <c r="K419" s="223">
        <v>9936700.6099999994</v>
      </c>
      <c r="L419" s="223">
        <v>9936700.6099999994</v>
      </c>
      <c r="M419" s="223">
        <v>9936700.6099999994</v>
      </c>
      <c r="N419" s="223">
        <v>0</v>
      </c>
      <c r="O419" s="224">
        <v>0</v>
      </c>
      <c r="P419" s="225"/>
      <c r="Q419" s="226"/>
    </row>
    <row r="420" spans="1:18" s="207" customFormat="1">
      <c r="A420" s="267" t="s">
        <v>1151</v>
      </c>
      <c r="B420" s="268" t="s">
        <v>116</v>
      </c>
      <c r="C420" s="222">
        <f t="shared" si="114"/>
        <v>13163636.6</v>
      </c>
      <c r="D420" s="222"/>
      <c r="E420" s="222"/>
      <c r="F420" s="223">
        <v>0</v>
      </c>
      <c r="G420" s="223">
        <v>0</v>
      </c>
      <c r="H420" s="223">
        <v>0</v>
      </c>
      <c r="I420" s="223">
        <v>13163636.6</v>
      </c>
      <c r="J420" s="223">
        <v>0</v>
      </c>
      <c r="K420" s="223">
        <v>13163636.6</v>
      </c>
      <c r="L420" s="223">
        <v>13163636.6</v>
      </c>
      <c r="M420" s="223">
        <v>13163636.6</v>
      </c>
      <c r="N420" s="223">
        <v>0</v>
      </c>
      <c r="O420" s="224">
        <v>0</v>
      </c>
      <c r="P420" s="225"/>
      <c r="Q420" s="226"/>
    </row>
    <row r="421" spans="1:18" s="207" customFormat="1">
      <c r="A421" s="221" t="s">
        <v>1152</v>
      </c>
      <c r="B421" s="222" t="s">
        <v>1153</v>
      </c>
      <c r="C421" s="222">
        <f t="shared" si="114"/>
        <v>0</v>
      </c>
      <c r="D421" s="222"/>
      <c r="E421" s="222"/>
      <c r="F421" s="223">
        <v>0</v>
      </c>
      <c r="G421" s="223">
        <v>0</v>
      </c>
      <c r="H421" s="223">
        <v>0</v>
      </c>
      <c r="I421" s="223">
        <v>0</v>
      </c>
      <c r="J421" s="223">
        <v>0</v>
      </c>
      <c r="K421" s="223">
        <v>0</v>
      </c>
      <c r="L421" s="223">
        <v>0</v>
      </c>
      <c r="M421" s="223">
        <v>0</v>
      </c>
      <c r="N421" s="223">
        <v>0</v>
      </c>
      <c r="O421" s="224">
        <v>0</v>
      </c>
      <c r="P421" s="225"/>
      <c r="Q421" s="226"/>
    </row>
    <row r="422" spans="1:18" s="207" customFormat="1">
      <c r="A422" s="267" t="s">
        <v>1154</v>
      </c>
      <c r="B422" s="268" t="s">
        <v>1155</v>
      </c>
      <c r="C422" s="222">
        <f t="shared" si="114"/>
        <v>45194713.359999999</v>
      </c>
      <c r="D422" s="222"/>
      <c r="E422" s="222"/>
      <c r="F422" s="223">
        <v>0</v>
      </c>
      <c r="G422" s="223">
        <v>0</v>
      </c>
      <c r="H422" s="223">
        <v>0</v>
      </c>
      <c r="I422" s="223">
        <v>45194713.359999999</v>
      </c>
      <c r="J422" s="223">
        <v>0</v>
      </c>
      <c r="K422" s="223">
        <v>45194713.359999999</v>
      </c>
      <c r="L422" s="223">
        <v>41744526.229999997</v>
      </c>
      <c r="M422" s="223">
        <v>33744197.850000001</v>
      </c>
      <c r="N422" s="223">
        <v>0</v>
      </c>
      <c r="O422" s="224">
        <v>0</v>
      </c>
      <c r="P422" s="225"/>
      <c r="Q422" s="226"/>
    </row>
    <row r="423" spans="1:18" s="215" customFormat="1">
      <c r="A423" s="267" t="s">
        <v>1156</v>
      </c>
      <c r="B423" s="268" t="s">
        <v>1157</v>
      </c>
      <c r="C423" s="222">
        <f t="shared" si="114"/>
        <v>679419</v>
      </c>
      <c r="D423" s="222"/>
      <c r="E423" s="222"/>
      <c r="F423" s="223">
        <v>0</v>
      </c>
      <c r="G423" s="223">
        <v>0</v>
      </c>
      <c r="H423" s="223">
        <v>0</v>
      </c>
      <c r="I423" s="223">
        <v>679419</v>
      </c>
      <c r="J423" s="223">
        <v>0</v>
      </c>
      <c r="K423" s="223">
        <v>679419</v>
      </c>
      <c r="L423" s="223">
        <v>0</v>
      </c>
      <c r="M423" s="223">
        <v>0</v>
      </c>
      <c r="N423" s="223">
        <v>0</v>
      </c>
      <c r="O423" s="224">
        <v>0</v>
      </c>
      <c r="P423" s="225"/>
      <c r="Q423" s="226"/>
      <c r="R423" s="207"/>
    </row>
    <row r="424" spans="1:18" s="215" customFormat="1">
      <c r="A424" s="216" t="s">
        <v>1158</v>
      </c>
      <c r="B424" s="217" t="s">
        <v>1159</v>
      </c>
      <c r="C424" s="217">
        <f t="shared" si="114"/>
        <v>189113368.46000001</v>
      </c>
      <c r="D424" s="217"/>
      <c r="E424" s="217"/>
      <c r="F424" s="218">
        <v>0</v>
      </c>
      <c r="G424" s="218">
        <v>0</v>
      </c>
      <c r="H424" s="218">
        <v>0</v>
      </c>
      <c r="I424" s="218">
        <v>212213368.46000001</v>
      </c>
      <c r="J424" s="218">
        <v>23100000</v>
      </c>
      <c r="K424" s="218">
        <v>189113368.46000001</v>
      </c>
      <c r="L424" s="218">
        <f t="shared" ref="L424:O424" si="120">L425+L430+L434</f>
        <v>2578169.4</v>
      </c>
      <c r="M424" s="218">
        <f t="shared" si="120"/>
        <v>2578169.4</v>
      </c>
      <c r="N424" s="218">
        <f t="shared" si="120"/>
        <v>0</v>
      </c>
      <c r="O424" s="219">
        <f t="shared" si="120"/>
        <v>0</v>
      </c>
      <c r="P424" s="213"/>
      <c r="Q424" s="220">
        <f>Q425+Q430+Q434</f>
        <v>0</v>
      </c>
    </row>
    <row r="425" spans="1:18" s="207" customFormat="1">
      <c r="A425" s="216" t="s">
        <v>1160</v>
      </c>
      <c r="B425" s="217" t="s">
        <v>1161</v>
      </c>
      <c r="C425" s="217">
        <f t="shared" si="114"/>
        <v>114358167.01000001</v>
      </c>
      <c r="D425" s="217"/>
      <c r="E425" s="217"/>
      <c r="F425" s="218">
        <v>0</v>
      </c>
      <c r="G425" s="218">
        <v>0</v>
      </c>
      <c r="H425" s="218">
        <v>0</v>
      </c>
      <c r="I425" s="218">
        <v>137458167.00999999</v>
      </c>
      <c r="J425" s="218">
        <v>23100000</v>
      </c>
      <c r="K425" s="218">
        <v>114358167.01000001</v>
      </c>
      <c r="L425" s="218">
        <f t="shared" ref="L425:O425" si="121">SUM(L426:L429)</f>
        <v>0</v>
      </c>
      <c r="M425" s="218">
        <f t="shared" si="121"/>
        <v>0</v>
      </c>
      <c r="N425" s="218">
        <f t="shared" si="121"/>
        <v>0</v>
      </c>
      <c r="O425" s="219">
        <f t="shared" si="121"/>
        <v>0</v>
      </c>
      <c r="P425" s="213"/>
      <c r="Q425" s="220">
        <f>SUM(Q426:Q429)</f>
        <v>0</v>
      </c>
      <c r="R425" s="215"/>
    </row>
    <row r="426" spans="1:18" s="207" customFormat="1">
      <c r="A426" s="283" t="s">
        <v>1162</v>
      </c>
      <c r="B426" s="284" t="s">
        <v>1163</v>
      </c>
      <c r="C426" s="222">
        <f t="shared" si="114"/>
        <v>36331260.420000002</v>
      </c>
      <c r="D426" s="222"/>
      <c r="E426" s="222"/>
      <c r="F426" s="223">
        <v>0</v>
      </c>
      <c r="G426" s="223">
        <v>0</v>
      </c>
      <c r="H426" s="223">
        <v>0</v>
      </c>
      <c r="I426" s="223">
        <v>59431260.420000002</v>
      </c>
      <c r="J426" s="223">
        <v>23100000</v>
      </c>
      <c r="K426" s="223">
        <v>36331260.420000002</v>
      </c>
      <c r="L426" s="223">
        <v>0</v>
      </c>
      <c r="M426" s="223">
        <v>0</v>
      </c>
      <c r="N426" s="223">
        <v>0</v>
      </c>
      <c r="O426" s="224">
        <v>0</v>
      </c>
      <c r="P426" s="225"/>
      <c r="Q426" s="226"/>
    </row>
    <row r="427" spans="1:18" s="207" customFormat="1">
      <c r="A427" s="283" t="s">
        <v>1164</v>
      </c>
      <c r="B427" s="284" t="s">
        <v>1165</v>
      </c>
      <c r="C427" s="222">
        <f t="shared" si="114"/>
        <v>33977547.57</v>
      </c>
      <c r="D427" s="222"/>
      <c r="E427" s="222"/>
      <c r="F427" s="223">
        <v>0</v>
      </c>
      <c r="G427" s="223">
        <v>0</v>
      </c>
      <c r="H427" s="223">
        <v>0</v>
      </c>
      <c r="I427" s="223">
        <v>33977547.57</v>
      </c>
      <c r="J427" s="223">
        <v>0</v>
      </c>
      <c r="K427" s="223">
        <v>33977547.57</v>
      </c>
      <c r="L427" s="223">
        <v>0</v>
      </c>
      <c r="M427" s="223">
        <v>0</v>
      </c>
      <c r="N427" s="223">
        <v>0</v>
      </c>
      <c r="O427" s="224">
        <v>0</v>
      </c>
      <c r="P427" s="225"/>
      <c r="Q427" s="226"/>
    </row>
    <row r="428" spans="1:18" s="207" customFormat="1">
      <c r="A428" s="283" t="s">
        <v>1166</v>
      </c>
      <c r="B428" s="284" t="s">
        <v>1167</v>
      </c>
      <c r="C428" s="222">
        <f t="shared" si="114"/>
        <v>7853138.7000000002</v>
      </c>
      <c r="D428" s="222"/>
      <c r="E428" s="222"/>
      <c r="F428" s="223">
        <v>0</v>
      </c>
      <c r="G428" s="223">
        <v>0</v>
      </c>
      <c r="H428" s="223">
        <v>0</v>
      </c>
      <c r="I428" s="223">
        <v>7853138.7000000002</v>
      </c>
      <c r="J428" s="223">
        <v>0</v>
      </c>
      <c r="K428" s="223">
        <v>7853138.7000000002</v>
      </c>
      <c r="L428" s="223">
        <v>0</v>
      </c>
      <c r="M428" s="223">
        <v>0</v>
      </c>
      <c r="N428" s="223">
        <v>0</v>
      </c>
      <c r="O428" s="224">
        <v>0</v>
      </c>
      <c r="P428" s="225"/>
      <c r="Q428" s="226"/>
    </row>
    <row r="429" spans="1:18" s="215" customFormat="1">
      <c r="A429" s="283" t="s">
        <v>1168</v>
      </c>
      <c r="B429" s="284" t="s">
        <v>1169</v>
      </c>
      <c r="C429" s="222">
        <f t="shared" si="114"/>
        <v>36196220.32</v>
      </c>
      <c r="D429" s="222"/>
      <c r="E429" s="222"/>
      <c r="F429" s="223">
        <v>0</v>
      </c>
      <c r="G429" s="223">
        <v>0</v>
      </c>
      <c r="H429" s="223">
        <v>0</v>
      </c>
      <c r="I429" s="223">
        <v>36196220.32</v>
      </c>
      <c r="J429" s="223">
        <v>0</v>
      </c>
      <c r="K429" s="223">
        <v>36196220.32</v>
      </c>
      <c r="L429" s="223">
        <v>0</v>
      </c>
      <c r="M429" s="223">
        <v>0</v>
      </c>
      <c r="N429" s="223">
        <v>0</v>
      </c>
      <c r="O429" s="224">
        <v>0</v>
      </c>
      <c r="P429" s="225"/>
      <c r="Q429" s="226"/>
      <c r="R429" s="207"/>
    </row>
    <row r="430" spans="1:18" s="207" customFormat="1">
      <c r="A430" s="216" t="s">
        <v>1170</v>
      </c>
      <c r="B430" s="217" t="s">
        <v>118</v>
      </c>
      <c r="C430" s="217">
        <f t="shared" si="114"/>
        <v>1444029.71</v>
      </c>
      <c r="D430" s="217"/>
      <c r="E430" s="217"/>
      <c r="F430" s="218">
        <v>0</v>
      </c>
      <c r="G430" s="218">
        <v>0</v>
      </c>
      <c r="H430" s="218">
        <v>0</v>
      </c>
      <c r="I430" s="218">
        <v>1444029.71</v>
      </c>
      <c r="J430" s="218">
        <v>0</v>
      </c>
      <c r="K430" s="218">
        <v>1444029.71</v>
      </c>
      <c r="L430" s="218">
        <f t="shared" ref="L430:O430" si="122">SUM(L431:L433)</f>
        <v>0</v>
      </c>
      <c r="M430" s="218">
        <f t="shared" si="122"/>
        <v>0</v>
      </c>
      <c r="N430" s="218">
        <f t="shared" si="122"/>
        <v>0</v>
      </c>
      <c r="O430" s="219">
        <f t="shared" si="122"/>
        <v>0</v>
      </c>
      <c r="P430" s="213"/>
      <c r="Q430" s="220">
        <f>SUM(Q431:Q433)</f>
        <v>0</v>
      </c>
      <c r="R430" s="215"/>
    </row>
    <row r="431" spans="1:18" s="207" customFormat="1">
      <c r="A431" s="221" t="s">
        <v>1171</v>
      </c>
      <c r="B431" s="222" t="s">
        <v>126</v>
      </c>
      <c r="C431" s="222">
        <f t="shared" si="114"/>
        <v>657654.27</v>
      </c>
      <c r="D431" s="222"/>
      <c r="E431" s="222"/>
      <c r="F431" s="223">
        <v>0</v>
      </c>
      <c r="G431" s="223">
        <v>0</v>
      </c>
      <c r="H431" s="223">
        <v>0</v>
      </c>
      <c r="I431" s="223">
        <v>657654.27</v>
      </c>
      <c r="J431" s="223">
        <v>0</v>
      </c>
      <c r="K431" s="223">
        <v>657654.27</v>
      </c>
      <c r="L431" s="223">
        <v>0</v>
      </c>
      <c r="M431" s="223">
        <v>0</v>
      </c>
      <c r="N431" s="223">
        <v>0</v>
      </c>
      <c r="O431" s="224">
        <v>0</v>
      </c>
      <c r="P431" s="225"/>
      <c r="Q431" s="226"/>
    </row>
    <row r="432" spans="1:18" s="207" customFormat="1">
      <c r="A432" s="267" t="s">
        <v>1172</v>
      </c>
      <c r="B432" s="268" t="s">
        <v>1173</v>
      </c>
      <c r="C432" s="222">
        <f t="shared" si="114"/>
        <v>494038.86</v>
      </c>
      <c r="D432" s="222"/>
      <c r="E432" s="222"/>
      <c r="F432" s="223">
        <v>0</v>
      </c>
      <c r="G432" s="223">
        <v>0</v>
      </c>
      <c r="H432" s="223">
        <v>0</v>
      </c>
      <c r="I432" s="223">
        <v>494038.86</v>
      </c>
      <c r="J432" s="223">
        <v>0</v>
      </c>
      <c r="K432" s="223">
        <v>494038.86</v>
      </c>
      <c r="L432" s="223">
        <v>0</v>
      </c>
      <c r="M432" s="223">
        <v>0</v>
      </c>
      <c r="N432" s="223">
        <v>0</v>
      </c>
      <c r="O432" s="224">
        <v>0</v>
      </c>
      <c r="P432" s="225"/>
      <c r="Q432" s="226"/>
    </row>
    <row r="433" spans="1:18" s="215" customFormat="1">
      <c r="A433" s="267" t="s">
        <v>1174</v>
      </c>
      <c r="B433" s="268" t="s">
        <v>1175</v>
      </c>
      <c r="C433" s="222">
        <f t="shared" si="114"/>
        <v>292336.58</v>
      </c>
      <c r="D433" s="222"/>
      <c r="E433" s="222"/>
      <c r="F433" s="223">
        <v>0</v>
      </c>
      <c r="G433" s="223">
        <v>0</v>
      </c>
      <c r="H433" s="223">
        <v>0</v>
      </c>
      <c r="I433" s="223">
        <v>292336.58</v>
      </c>
      <c r="J433" s="223">
        <v>0</v>
      </c>
      <c r="K433" s="223">
        <v>292336.58</v>
      </c>
      <c r="L433" s="223">
        <v>0</v>
      </c>
      <c r="M433" s="223">
        <v>0</v>
      </c>
      <c r="N433" s="223">
        <v>0</v>
      </c>
      <c r="O433" s="224">
        <v>0</v>
      </c>
      <c r="P433" s="225"/>
      <c r="Q433" s="226"/>
      <c r="R433" s="207"/>
    </row>
    <row r="434" spans="1:18" s="215" customFormat="1">
      <c r="A434" s="216" t="s">
        <v>1176</v>
      </c>
      <c r="B434" s="217" t="s">
        <v>1177</v>
      </c>
      <c r="C434" s="217">
        <f t="shared" si="114"/>
        <v>72444827.939999998</v>
      </c>
      <c r="D434" s="217"/>
      <c r="E434" s="217"/>
      <c r="F434" s="218">
        <v>0</v>
      </c>
      <c r="G434" s="218">
        <v>0</v>
      </c>
      <c r="H434" s="218">
        <v>0</v>
      </c>
      <c r="I434" s="218">
        <v>72444827.939999998</v>
      </c>
      <c r="J434" s="218">
        <v>0</v>
      </c>
      <c r="K434" s="218">
        <v>72444827.939999998</v>
      </c>
      <c r="L434" s="218">
        <f t="shared" ref="L434:O434" si="123">SUM(L435)+SUM(L442:L446)</f>
        <v>2578169.4</v>
      </c>
      <c r="M434" s="218">
        <f t="shared" si="123"/>
        <v>2578169.4</v>
      </c>
      <c r="N434" s="218">
        <f t="shared" si="123"/>
        <v>0</v>
      </c>
      <c r="O434" s="219">
        <f t="shared" si="123"/>
        <v>0</v>
      </c>
      <c r="P434" s="213"/>
      <c r="Q434" s="220">
        <f>SUM(Q435)+SUM(Q442:Q446)</f>
        <v>0</v>
      </c>
    </row>
    <row r="435" spans="1:18" s="207" customFormat="1">
      <c r="A435" s="216" t="s">
        <v>1178</v>
      </c>
      <c r="B435" s="217" t="s">
        <v>1179</v>
      </c>
      <c r="C435" s="217">
        <f t="shared" si="114"/>
        <v>36528112.630000003</v>
      </c>
      <c r="D435" s="217"/>
      <c r="E435" s="217"/>
      <c r="F435" s="218">
        <v>0</v>
      </c>
      <c r="G435" s="218">
        <v>0</v>
      </c>
      <c r="H435" s="218">
        <v>0</v>
      </c>
      <c r="I435" s="218">
        <v>36528112.630000003</v>
      </c>
      <c r="J435" s="218">
        <v>0</v>
      </c>
      <c r="K435" s="218">
        <v>36528112.630000003</v>
      </c>
      <c r="L435" s="218">
        <f t="shared" ref="L435:O435" si="124">SUM(L436:L441)</f>
        <v>2578169.4</v>
      </c>
      <c r="M435" s="218">
        <f t="shared" si="124"/>
        <v>2578169.4</v>
      </c>
      <c r="N435" s="218">
        <f t="shared" si="124"/>
        <v>0</v>
      </c>
      <c r="O435" s="219">
        <f t="shared" si="124"/>
        <v>0</v>
      </c>
      <c r="P435" s="213"/>
      <c r="Q435" s="220">
        <f>SUM(Q436:Q441)</f>
        <v>0</v>
      </c>
      <c r="R435" s="215"/>
    </row>
    <row r="436" spans="1:18" s="207" customFormat="1">
      <c r="A436" s="267" t="s">
        <v>1180</v>
      </c>
      <c r="B436" s="268" t="s">
        <v>524</v>
      </c>
      <c r="C436" s="222">
        <f t="shared" si="114"/>
        <v>6897143</v>
      </c>
      <c r="D436" s="222"/>
      <c r="E436" s="222"/>
      <c r="F436" s="223">
        <v>0</v>
      </c>
      <c r="G436" s="223">
        <v>0</v>
      </c>
      <c r="H436" s="223">
        <v>0</v>
      </c>
      <c r="I436" s="223">
        <v>6897143</v>
      </c>
      <c r="J436" s="223">
        <v>0</v>
      </c>
      <c r="K436" s="223">
        <v>6897143</v>
      </c>
      <c r="L436" s="223">
        <v>2578169.4</v>
      </c>
      <c r="M436" s="223">
        <v>2578169.4</v>
      </c>
      <c r="N436" s="223">
        <v>0</v>
      </c>
      <c r="O436" s="224">
        <v>0</v>
      </c>
      <c r="P436" s="225"/>
      <c r="Q436" s="226"/>
    </row>
    <row r="437" spans="1:18" s="207" customFormat="1">
      <c r="A437" s="267" t="s">
        <v>1181</v>
      </c>
      <c r="B437" s="268" t="s">
        <v>88</v>
      </c>
      <c r="C437" s="222">
        <f t="shared" si="114"/>
        <v>2127770.5299999998</v>
      </c>
      <c r="D437" s="222"/>
      <c r="E437" s="222"/>
      <c r="F437" s="223">
        <v>0</v>
      </c>
      <c r="G437" s="223">
        <v>0</v>
      </c>
      <c r="H437" s="223">
        <v>0</v>
      </c>
      <c r="I437" s="223">
        <v>2127770.5299999998</v>
      </c>
      <c r="J437" s="223">
        <v>0</v>
      </c>
      <c r="K437" s="223">
        <v>2127770.5299999998</v>
      </c>
      <c r="L437" s="223">
        <v>0</v>
      </c>
      <c r="M437" s="223">
        <v>0</v>
      </c>
      <c r="N437" s="223">
        <v>0</v>
      </c>
      <c r="O437" s="224">
        <v>0</v>
      </c>
      <c r="P437" s="225"/>
      <c r="Q437" s="226"/>
    </row>
    <row r="438" spans="1:18" s="207" customFormat="1">
      <c r="A438" s="267" t="s">
        <v>1182</v>
      </c>
      <c r="B438" s="268" t="s">
        <v>89</v>
      </c>
      <c r="C438" s="222">
        <f t="shared" si="114"/>
        <v>2127770.5</v>
      </c>
      <c r="D438" s="222"/>
      <c r="E438" s="222"/>
      <c r="F438" s="223">
        <v>0</v>
      </c>
      <c r="G438" s="223">
        <v>0</v>
      </c>
      <c r="H438" s="223">
        <v>0</v>
      </c>
      <c r="I438" s="223">
        <v>2127770.5</v>
      </c>
      <c r="J438" s="223">
        <v>0</v>
      </c>
      <c r="K438" s="223">
        <v>2127770.5</v>
      </c>
      <c r="L438" s="223">
        <v>0</v>
      </c>
      <c r="M438" s="223">
        <v>0</v>
      </c>
      <c r="N438" s="223">
        <v>0</v>
      </c>
      <c r="O438" s="224">
        <v>0</v>
      </c>
      <c r="P438" s="225"/>
      <c r="Q438" s="226"/>
    </row>
    <row r="439" spans="1:18" s="207" customFormat="1">
      <c r="A439" s="267" t="s">
        <v>1183</v>
      </c>
      <c r="B439" s="268" t="s">
        <v>90</v>
      </c>
      <c r="C439" s="222">
        <f t="shared" si="114"/>
        <v>7734786.2999999998</v>
      </c>
      <c r="D439" s="222"/>
      <c r="E439" s="222"/>
      <c r="F439" s="223">
        <v>0</v>
      </c>
      <c r="G439" s="223">
        <v>0</v>
      </c>
      <c r="H439" s="223">
        <v>0</v>
      </c>
      <c r="I439" s="223">
        <v>7734786.2999999998</v>
      </c>
      <c r="J439" s="223">
        <v>0</v>
      </c>
      <c r="K439" s="223">
        <v>7734786.2999999998</v>
      </c>
      <c r="L439" s="223">
        <v>0</v>
      </c>
      <c r="M439" s="223">
        <v>0</v>
      </c>
      <c r="N439" s="223">
        <v>0</v>
      </c>
      <c r="O439" s="224">
        <v>0</v>
      </c>
      <c r="P439" s="225"/>
      <c r="Q439" s="226"/>
    </row>
    <row r="440" spans="1:18" s="207" customFormat="1">
      <c r="A440" s="267" t="s">
        <v>1184</v>
      </c>
      <c r="B440" s="268" t="s">
        <v>91</v>
      </c>
      <c r="C440" s="222">
        <f t="shared" si="114"/>
        <v>15512871.800000001</v>
      </c>
      <c r="D440" s="222"/>
      <c r="E440" s="222"/>
      <c r="F440" s="223">
        <v>0</v>
      </c>
      <c r="G440" s="223">
        <v>0</v>
      </c>
      <c r="H440" s="223">
        <v>0</v>
      </c>
      <c r="I440" s="223">
        <v>15512871.800000001</v>
      </c>
      <c r="J440" s="223">
        <v>0</v>
      </c>
      <c r="K440" s="223">
        <v>15512871.800000001</v>
      </c>
      <c r="L440" s="223">
        <v>0</v>
      </c>
      <c r="M440" s="223">
        <v>0</v>
      </c>
      <c r="N440" s="223">
        <v>0</v>
      </c>
      <c r="O440" s="224">
        <v>0</v>
      </c>
      <c r="P440" s="225"/>
      <c r="Q440" s="226"/>
    </row>
    <row r="441" spans="1:18" s="207" customFormat="1">
      <c r="A441" s="267" t="s">
        <v>1185</v>
      </c>
      <c r="B441" s="268" t="s">
        <v>92</v>
      </c>
      <c r="C441" s="222">
        <f t="shared" si="114"/>
        <v>2127770.5</v>
      </c>
      <c r="D441" s="222"/>
      <c r="E441" s="222"/>
      <c r="F441" s="223">
        <v>0</v>
      </c>
      <c r="G441" s="223">
        <v>0</v>
      </c>
      <c r="H441" s="223">
        <v>0</v>
      </c>
      <c r="I441" s="223">
        <v>2127770.5</v>
      </c>
      <c r="J441" s="223">
        <v>0</v>
      </c>
      <c r="K441" s="223">
        <v>2127770.5</v>
      </c>
      <c r="L441" s="223">
        <v>0</v>
      </c>
      <c r="M441" s="223">
        <v>0</v>
      </c>
      <c r="N441" s="223">
        <v>0</v>
      </c>
      <c r="O441" s="224">
        <v>0</v>
      </c>
      <c r="P441" s="225"/>
      <c r="Q441" s="226"/>
    </row>
    <row r="442" spans="1:18" s="207" customFormat="1">
      <c r="A442" s="267" t="s">
        <v>1186</v>
      </c>
      <c r="B442" s="268" t="s">
        <v>1187</v>
      </c>
      <c r="C442" s="222">
        <f t="shared" si="114"/>
        <v>5971206.4100000001</v>
      </c>
      <c r="D442" s="222"/>
      <c r="E442" s="222"/>
      <c r="F442" s="223">
        <v>0</v>
      </c>
      <c r="G442" s="223">
        <v>0</v>
      </c>
      <c r="H442" s="223">
        <v>0</v>
      </c>
      <c r="I442" s="223">
        <v>5971206.4100000001</v>
      </c>
      <c r="J442" s="223">
        <v>0</v>
      </c>
      <c r="K442" s="223">
        <v>5971206.4100000001</v>
      </c>
      <c r="L442" s="223">
        <v>0</v>
      </c>
      <c r="M442" s="223">
        <v>0</v>
      </c>
      <c r="N442" s="223">
        <v>0</v>
      </c>
      <c r="O442" s="224">
        <v>0</v>
      </c>
      <c r="P442" s="225"/>
      <c r="Q442" s="226"/>
    </row>
    <row r="443" spans="1:18" s="207" customFormat="1">
      <c r="A443" s="221" t="s">
        <v>1188</v>
      </c>
      <c r="B443" s="222" t="s">
        <v>1189</v>
      </c>
      <c r="C443" s="222">
        <f t="shared" si="114"/>
        <v>2990261</v>
      </c>
      <c r="D443" s="222"/>
      <c r="E443" s="222"/>
      <c r="F443" s="223">
        <v>0</v>
      </c>
      <c r="G443" s="223">
        <v>0</v>
      </c>
      <c r="H443" s="223">
        <v>0</v>
      </c>
      <c r="I443" s="223">
        <v>2990261</v>
      </c>
      <c r="J443" s="223">
        <v>0</v>
      </c>
      <c r="K443" s="223">
        <v>2990261</v>
      </c>
      <c r="L443" s="223">
        <v>0</v>
      </c>
      <c r="M443" s="223">
        <v>0</v>
      </c>
      <c r="N443" s="223">
        <v>0</v>
      </c>
      <c r="O443" s="224">
        <v>0</v>
      </c>
      <c r="P443" s="225"/>
      <c r="Q443" s="226"/>
    </row>
    <row r="444" spans="1:18" s="207" customFormat="1">
      <c r="A444" s="267" t="s">
        <v>1190</v>
      </c>
      <c r="B444" s="268" t="s">
        <v>1191</v>
      </c>
      <c r="C444" s="222">
        <f t="shared" si="114"/>
        <v>1665518.47</v>
      </c>
      <c r="D444" s="222"/>
      <c r="E444" s="222"/>
      <c r="F444" s="223">
        <v>0</v>
      </c>
      <c r="G444" s="223">
        <v>0</v>
      </c>
      <c r="H444" s="223">
        <v>0</v>
      </c>
      <c r="I444" s="223">
        <v>1665518.47</v>
      </c>
      <c r="J444" s="223">
        <v>0</v>
      </c>
      <c r="K444" s="223">
        <v>1665518.47</v>
      </c>
      <c r="L444" s="223">
        <v>0</v>
      </c>
      <c r="M444" s="223">
        <v>0</v>
      </c>
      <c r="N444" s="223">
        <v>0</v>
      </c>
      <c r="O444" s="224">
        <v>0</v>
      </c>
      <c r="P444" s="225"/>
      <c r="Q444" s="226"/>
    </row>
    <row r="445" spans="1:18" s="207" customFormat="1">
      <c r="A445" s="221" t="s">
        <v>1192</v>
      </c>
      <c r="B445" s="222" t="s">
        <v>1193</v>
      </c>
      <c r="C445" s="222">
        <f t="shared" si="114"/>
        <v>1111314</v>
      </c>
      <c r="D445" s="222"/>
      <c r="E445" s="222"/>
      <c r="F445" s="223">
        <v>0</v>
      </c>
      <c r="G445" s="223">
        <v>0</v>
      </c>
      <c r="H445" s="223">
        <v>0</v>
      </c>
      <c r="I445" s="223">
        <v>1111314</v>
      </c>
      <c r="J445" s="223">
        <v>0</v>
      </c>
      <c r="K445" s="223">
        <v>1111314</v>
      </c>
      <c r="L445" s="223">
        <v>0</v>
      </c>
      <c r="M445" s="223">
        <v>0</v>
      </c>
      <c r="N445" s="223">
        <v>0</v>
      </c>
      <c r="O445" s="224">
        <v>0</v>
      </c>
      <c r="P445" s="225"/>
      <c r="Q445" s="226"/>
    </row>
    <row r="446" spans="1:18" s="215" customFormat="1">
      <c r="A446" s="267" t="s">
        <v>1194</v>
      </c>
      <c r="B446" s="268" t="s">
        <v>520</v>
      </c>
      <c r="C446" s="222">
        <f t="shared" si="114"/>
        <v>24178415.43</v>
      </c>
      <c r="D446" s="222"/>
      <c r="E446" s="222"/>
      <c r="F446" s="223">
        <v>0</v>
      </c>
      <c r="G446" s="223">
        <v>0</v>
      </c>
      <c r="H446" s="223">
        <v>0</v>
      </c>
      <c r="I446" s="223">
        <v>24178415.43</v>
      </c>
      <c r="J446" s="223">
        <v>0</v>
      </c>
      <c r="K446" s="223">
        <v>24178415.43</v>
      </c>
      <c r="L446" s="223">
        <v>0</v>
      </c>
      <c r="M446" s="223">
        <v>0</v>
      </c>
      <c r="N446" s="223">
        <v>0</v>
      </c>
      <c r="O446" s="224">
        <v>0</v>
      </c>
      <c r="P446" s="225"/>
      <c r="Q446" s="226"/>
      <c r="R446" s="207"/>
    </row>
    <row r="447" spans="1:18" s="324" customFormat="1">
      <c r="A447" s="317" t="s">
        <v>1270</v>
      </c>
      <c r="B447" s="318" t="s">
        <v>1271</v>
      </c>
      <c r="C447" s="222">
        <f t="shared" si="114"/>
        <v>866343.8</v>
      </c>
      <c r="D447" s="318"/>
      <c r="E447" s="318"/>
      <c r="F447" s="319">
        <v>0</v>
      </c>
      <c r="G447" s="319">
        <v>0</v>
      </c>
      <c r="H447" s="319">
        <v>0</v>
      </c>
      <c r="I447" s="319">
        <v>866343.8</v>
      </c>
      <c r="J447" s="319">
        <v>0</v>
      </c>
      <c r="K447" s="319">
        <v>866343.8</v>
      </c>
      <c r="L447" s="319"/>
      <c r="M447" s="319"/>
      <c r="N447" s="319"/>
      <c r="O447" s="320"/>
      <c r="P447" s="321"/>
      <c r="Q447" s="322"/>
      <c r="R447" s="323"/>
    </row>
    <row r="448" spans="1:18" s="207" customFormat="1" ht="25.5">
      <c r="A448" s="216" t="s">
        <v>123</v>
      </c>
      <c r="B448" s="217" t="s">
        <v>1081</v>
      </c>
      <c r="C448" s="217">
        <f t="shared" si="114"/>
        <v>1013547642.75</v>
      </c>
      <c r="D448" s="217"/>
      <c r="E448" s="217"/>
      <c r="F448" s="218">
        <v>0</v>
      </c>
      <c r="G448" s="218">
        <v>0</v>
      </c>
      <c r="H448" s="218">
        <v>0</v>
      </c>
      <c r="I448" s="218">
        <v>1013547642.75</v>
      </c>
      <c r="J448" s="218">
        <v>0</v>
      </c>
      <c r="K448" s="218">
        <v>1013547642.75</v>
      </c>
      <c r="L448" s="218">
        <f t="shared" ref="L448:O448" si="125">SUM(L449:L450)</f>
        <v>1013547642.75</v>
      </c>
      <c r="M448" s="218">
        <f t="shared" si="125"/>
        <v>1013547642.75</v>
      </c>
      <c r="N448" s="218">
        <f t="shared" si="125"/>
        <v>100238533.75</v>
      </c>
      <c r="O448" s="219">
        <f t="shared" si="125"/>
        <v>12275993</v>
      </c>
      <c r="P448" s="213"/>
      <c r="Q448" s="220">
        <f>SUM(Q449:Q450)</f>
        <v>0</v>
      </c>
      <c r="R448" s="215"/>
    </row>
    <row r="449" spans="1:18" s="215" customFormat="1">
      <c r="A449" s="249" t="s">
        <v>124</v>
      </c>
      <c r="B449" s="250" t="s">
        <v>1139</v>
      </c>
      <c r="C449" s="222">
        <f t="shared" si="114"/>
        <v>50820656</v>
      </c>
      <c r="D449" s="222"/>
      <c r="E449" s="222"/>
      <c r="F449" s="223">
        <v>0</v>
      </c>
      <c r="G449" s="223">
        <v>0</v>
      </c>
      <c r="H449" s="223">
        <v>0</v>
      </c>
      <c r="I449" s="223">
        <v>50820656</v>
      </c>
      <c r="J449" s="223">
        <v>0</v>
      </c>
      <c r="K449" s="223">
        <v>50820656</v>
      </c>
      <c r="L449" s="223">
        <v>50820656</v>
      </c>
      <c r="M449" s="223">
        <v>50820656</v>
      </c>
      <c r="N449" s="223">
        <v>0</v>
      </c>
      <c r="O449" s="224">
        <v>0</v>
      </c>
      <c r="P449" s="225"/>
      <c r="Q449" s="226"/>
      <c r="R449" s="207"/>
    </row>
    <row r="450" spans="1:18" s="215" customFormat="1">
      <c r="A450" s="216" t="s">
        <v>1195</v>
      </c>
      <c r="B450" s="217" t="s">
        <v>1140</v>
      </c>
      <c r="C450" s="217">
        <f t="shared" si="114"/>
        <v>962726986.75</v>
      </c>
      <c r="D450" s="217"/>
      <c r="E450" s="217"/>
      <c r="F450" s="218">
        <v>0</v>
      </c>
      <c r="G450" s="218">
        <v>0</v>
      </c>
      <c r="H450" s="218">
        <v>0</v>
      </c>
      <c r="I450" s="218">
        <v>962726986.75</v>
      </c>
      <c r="J450" s="218">
        <v>0</v>
      </c>
      <c r="K450" s="218">
        <v>962726986.75</v>
      </c>
      <c r="L450" s="218">
        <f t="shared" ref="L450:O450" si="126">L451+L460</f>
        <v>962726986.75</v>
      </c>
      <c r="M450" s="218">
        <f t="shared" si="126"/>
        <v>962726986.75</v>
      </c>
      <c r="N450" s="218">
        <f t="shared" si="126"/>
        <v>100238533.75</v>
      </c>
      <c r="O450" s="219">
        <f t="shared" si="126"/>
        <v>12275993</v>
      </c>
      <c r="P450" s="213"/>
      <c r="Q450" s="220">
        <f>Q451+Q460</f>
        <v>0</v>
      </c>
    </row>
    <row r="451" spans="1:18" s="207" customFormat="1">
      <c r="A451" s="216" t="s">
        <v>1196</v>
      </c>
      <c r="B451" s="217" t="s">
        <v>1141</v>
      </c>
      <c r="C451" s="217">
        <f t="shared" si="114"/>
        <v>194027944.69999999</v>
      </c>
      <c r="D451" s="217"/>
      <c r="E451" s="217"/>
      <c r="F451" s="218">
        <v>0</v>
      </c>
      <c r="G451" s="218">
        <v>0</v>
      </c>
      <c r="H451" s="218">
        <v>0</v>
      </c>
      <c r="I451" s="218">
        <v>194027944.69999999</v>
      </c>
      <c r="J451" s="218">
        <v>0</v>
      </c>
      <c r="K451" s="218">
        <v>194027944.69999999</v>
      </c>
      <c r="L451" s="218">
        <f t="shared" ref="L451:O451" si="127">SUM(L452:L455)</f>
        <v>194027944.69999999</v>
      </c>
      <c r="M451" s="218">
        <f t="shared" si="127"/>
        <v>194027944.69999999</v>
      </c>
      <c r="N451" s="218">
        <f t="shared" si="127"/>
        <v>0</v>
      </c>
      <c r="O451" s="219">
        <f t="shared" si="127"/>
        <v>0</v>
      </c>
      <c r="P451" s="213"/>
      <c r="Q451" s="220">
        <f>SUM(Q452:Q455)</f>
        <v>0</v>
      </c>
      <c r="R451" s="215"/>
    </row>
    <row r="452" spans="1:18" s="207" customFormat="1">
      <c r="A452" s="249" t="s">
        <v>1197</v>
      </c>
      <c r="B452" s="250" t="s">
        <v>1143</v>
      </c>
      <c r="C452" s="222">
        <f t="shared" si="114"/>
        <v>0</v>
      </c>
      <c r="D452" s="222"/>
      <c r="E452" s="222"/>
      <c r="F452" s="223">
        <v>0</v>
      </c>
      <c r="G452" s="223">
        <v>0</v>
      </c>
      <c r="H452" s="223">
        <v>0</v>
      </c>
      <c r="I452" s="223">
        <v>0</v>
      </c>
      <c r="J452" s="223">
        <v>0</v>
      </c>
      <c r="K452" s="223">
        <v>0</v>
      </c>
      <c r="L452" s="223">
        <v>0</v>
      </c>
      <c r="M452" s="223">
        <v>0</v>
      </c>
      <c r="N452" s="223">
        <v>0</v>
      </c>
      <c r="O452" s="224">
        <v>0</v>
      </c>
      <c r="P452" s="225"/>
      <c r="Q452" s="226"/>
    </row>
    <row r="453" spans="1:18" s="207" customFormat="1">
      <c r="A453" s="249" t="s">
        <v>1198</v>
      </c>
      <c r="B453" s="250" t="s">
        <v>1145</v>
      </c>
      <c r="C453" s="222">
        <f t="shared" si="114"/>
        <v>0</v>
      </c>
      <c r="D453" s="222"/>
      <c r="E453" s="222"/>
      <c r="F453" s="223">
        <v>0</v>
      </c>
      <c r="G453" s="223">
        <v>0</v>
      </c>
      <c r="H453" s="223">
        <v>0</v>
      </c>
      <c r="I453" s="223">
        <v>0</v>
      </c>
      <c r="J453" s="223">
        <v>0</v>
      </c>
      <c r="K453" s="223">
        <v>0</v>
      </c>
      <c r="L453" s="223">
        <v>0</v>
      </c>
      <c r="M453" s="223">
        <v>0</v>
      </c>
      <c r="N453" s="223">
        <v>0</v>
      </c>
      <c r="O453" s="224">
        <v>0</v>
      </c>
      <c r="P453" s="225"/>
      <c r="Q453" s="226"/>
    </row>
    <row r="454" spans="1:18" s="215" customFormat="1">
      <c r="A454" s="249" t="s">
        <v>1199</v>
      </c>
      <c r="B454" s="250" t="s">
        <v>1147</v>
      </c>
      <c r="C454" s="222">
        <f t="shared" si="114"/>
        <v>194027944.69999999</v>
      </c>
      <c r="D454" s="222"/>
      <c r="E454" s="222"/>
      <c r="F454" s="223">
        <v>0</v>
      </c>
      <c r="G454" s="223">
        <v>0</v>
      </c>
      <c r="H454" s="223">
        <v>0</v>
      </c>
      <c r="I454" s="223">
        <v>194027944.69999999</v>
      </c>
      <c r="J454" s="223">
        <v>0</v>
      </c>
      <c r="K454" s="223">
        <v>194027944.69999999</v>
      </c>
      <c r="L454" s="223">
        <v>194027944.69999999</v>
      </c>
      <c r="M454" s="223">
        <v>194027944.69999999</v>
      </c>
      <c r="N454" s="223">
        <v>0</v>
      </c>
      <c r="O454" s="224">
        <v>0</v>
      </c>
      <c r="P454" s="225"/>
      <c r="Q454" s="226"/>
      <c r="R454" s="207"/>
    </row>
    <row r="455" spans="1:18" s="207" customFormat="1">
      <c r="A455" s="216" t="s">
        <v>1200</v>
      </c>
      <c r="B455" s="217" t="s">
        <v>1149</v>
      </c>
      <c r="C455" s="217">
        <f t="shared" si="114"/>
        <v>0</v>
      </c>
      <c r="D455" s="217"/>
      <c r="E455" s="217"/>
      <c r="F455" s="218">
        <v>0</v>
      </c>
      <c r="G455" s="218">
        <v>0</v>
      </c>
      <c r="H455" s="218">
        <v>0</v>
      </c>
      <c r="I455" s="218">
        <v>0</v>
      </c>
      <c r="J455" s="218">
        <v>0</v>
      </c>
      <c r="K455" s="218">
        <v>0</v>
      </c>
      <c r="L455" s="218">
        <f t="shared" ref="L455:O455" si="128">SUM(L456:L459)</f>
        <v>0</v>
      </c>
      <c r="M455" s="218">
        <f t="shared" si="128"/>
        <v>0</v>
      </c>
      <c r="N455" s="218">
        <f t="shared" si="128"/>
        <v>0</v>
      </c>
      <c r="O455" s="219">
        <f t="shared" si="128"/>
        <v>0</v>
      </c>
      <c r="P455" s="213"/>
      <c r="Q455" s="220">
        <f>SUM(Q456:Q459)</f>
        <v>0</v>
      </c>
      <c r="R455" s="215"/>
    </row>
    <row r="456" spans="1:18" s="207" customFormat="1">
      <c r="A456" s="249" t="s">
        <v>1201</v>
      </c>
      <c r="B456" s="250" t="s">
        <v>130</v>
      </c>
      <c r="C456" s="222">
        <f t="shared" si="114"/>
        <v>0</v>
      </c>
      <c r="D456" s="222"/>
      <c r="E456" s="222"/>
      <c r="F456" s="223">
        <v>0</v>
      </c>
      <c r="G456" s="223">
        <v>0</v>
      </c>
      <c r="H456" s="223">
        <v>0</v>
      </c>
      <c r="I456" s="223">
        <v>0</v>
      </c>
      <c r="J456" s="223">
        <v>0</v>
      </c>
      <c r="K456" s="223">
        <v>0</v>
      </c>
      <c r="L456" s="223">
        <v>0</v>
      </c>
      <c r="M456" s="223">
        <v>0</v>
      </c>
      <c r="N456" s="223">
        <v>0</v>
      </c>
      <c r="O456" s="224">
        <v>0</v>
      </c>
      <c r="P456" s="225"/>
      <c r="Q456" s="226"/>
    </row>
    <row r="457" spans="1:18" s="207" customFormat="1">
      <c r="A457" s="249" t="s">
        <v>1202</v>
      </c>
      <c r="B457" s="250" t="s">
        <v>116</v>
      </c>
      <c r="C457" s="222">
        <f t="shared" si="114"/>
        <v>0</v>
      </c>
      <c r="D457" s="222"/>
      <c r="E457" s="222"/>
      <c r="F457" s="223">
        <v>0</v>
      </c>
      <c r="G457" s="223">
        <v>0</v>
      </c>
      <c r="H457" s="223">
        <v>0</v>
      </c>
      <c r="I457" s="223">
        <v>0</v>
      </c>
      <c r="J457" s="223">
        <v>0</v>
      </c>
      <c r="K457" s="223">
        <v>0</v>
      </c>
      <c r="L457" s="223">
        <v>0</v>
      </c>
      <c r="M457" s="223">
        <v>0</v>
      </c>
      <c r="N457" s="223">
        <v>0</v>
      </c>
      <c r="O457" s="224">
        <v>0</v>
      </c>
      <c r="P457" s="225"/>
      <c r="Q457" s="226"/>
    </row>
    <row r="458" spans="1:18" s="207" customFormat="1">
      <c r="A458" s="221" t="s">
        <v>1203</v>
      </c>
      <c r="B458" s="222" t="s">
        <v>1153</v>
      </c>
      <c r="C458" s="222">
        <f t="shared" si="114"/>
        <v>0</v>
      </c>
      <c r="D458" s="222"/>
      <c r="E458" s="222"/>
      <c r="F458" s="223">
        <v>0</v>
      </c>
      <c r="G458" s="223">
        <v>0</v>
      </c>
      <c r="H458" s="223">
        <v>0</v>
      </c>
      <c r="I458" s="223">
        <v>0</v>
      </c>
      <c r="J458" s="223">
        <v>0</v>
      </c>
      <c r="K458" s="223">
        <v>0</v>
      </c>
      <c r="L458" s="223">
        <v>0</v>
      </c>
      <c r="M458" s="223">
        <v>0</v>
      </c>
      <c r="N458" s="223">
        <v>0</v>
      </c>
      <c r="O458" s="224">
        <v>0</v>
      </c>
      <c r="P458" s="225"/>
      <c r="Q458" s="226"/>
    </row>
    <row r="459" spans="1:18" s="215" customFormat="1">
      <c r="A459" s="221" t="s">
        <v>1204</v>
      </c>
      <c r="B459" s="222" t="s">
        <v>1155</v>
      </c>
      <c r="C459" s="222">
        <f t="shared" si="114"/>
        <v>0</v>
      </c>
      <c r="D459" s="222"/>
      <c r="E459" s="222"/>
      <c r="F459" s="223">
        <v>0</v>
      </c>
      <c r="G459" s="223">
        <v>0</v>
      </c>
      <c r="H459" s="223">
        <v>0</v>
      </c>
      <c r="I459" s="223">
        <v>0</v>
      </c>
      <c r="J459" s="223">
        <v>0</v>
      </c>
      <c r="K459" s="223">
        <v>0</v>
      </c>
      <c r="L459" s="223">
        <v>0</v>
      </c>
      <c r="M459" s="223">
        <v>0</v>
      </c>
      <c r="N459" s="223">
        <v>0</v>
      </c>
      <c r="O459" s="224">
        <v>0</v>
      </c>
      <c r="P459" s="225"/>
      <c r="Q459" s="226"/>
      <c r="R459" s="207"/>
    </row>
    <row r="460" spans="1:18" s="207" customFormat="1">
      <c r="A460" s="216" t="s">
        <v>1205</v>
      </c>
      <c r="B460" s="217" t="s">
        <v>1159</v>
      </c>
      <c r="C460" s="217">
        <f t="shared" si="114"/>
        <v>768699042.04999995</v>
      </c>
      <c r="D460" s="217"/>
      <c r="E460" s="217"/>
      <c r="F460" s="218">
        <v>0</v>
      </c>
      <c r="G460" s="218">
        <v>0</v>
      </c>
      <c r="H460" s="218">
        <v>0</v>
      </c>
      <c r="I460" s="218">
        <v>768699042.04999995</v>
      </c>
      <c r="J460" s="218">
        <v>0</v>
      </c>
      <c r="K460" s="218">
        <v>768699042.04999995</v>
      </c>
      <c r="L460" s="218">
        <f t="shared" ref="L460:O460" si="129">SUM(L461:L462)</f>
        <v>768699042.04999995</v>
      </c>
      <c r="M460" s="218">
        <f t="shared" si="129"/>
        <v>768699042.04999995</v>
      </c>
      <c r="N460" s="218">
        <f t="shared" si="129"/>
        <v>100238533.75</v>
      </c>
      <c r="O460" s="219">
        <f t="shared" si="129"/>
        <v>12275993</v>
      </c>
      <c r="P460" s="213"/>
      <c r="Q460" s="220">
        <f>SUM(Q461:Q462)</f>
        <v>0</v>
      </c>
      <c r="R460" s="215"/>
    </row>
    <row r="461" spans="1:18" s="207" customFormat="1">
      <c r="A461" s="249" t="s">
        <v>1206</v>
      </c>
      <c r="B461" s="250" t="s">
        <v>1161</v>
      </c>
      <c r="C461" s="222">
        <f t="shared" si="114"/>
        <v>759129042.04999995</v>
      </c>
      <c r="D461" s="222"/>
      <c r="E461" s="222"/>
      <c r="F461" s="223">
        <v>0</v>
      </c>
      <c r="G461" s="223">
        <v>0</v>
      </c>
      <c r="H461" s="223">
        <v>0</v>
      </c>
      <c r="I461" s="223">
        <v>759129042.04999995</v>
      </c>
      <c r="J461" s="223">
        <v>0</v>
      </c>
      <c r="K461" s="223">
        <v>759129042.04999995</v>
      </c>
      <c r="L461" s="223">
        <v>759129042.04999995</v>
      </c>
      <c r="M461" s="223">
        <v>759129042.04999995</v>
      </c>
      <c r="N461" s="223">
        <v>100238533.75</v>
      </c>
      <c r="O461" s="224">
        <v>12275993</v>
      </c>
      <c r="P461" s="225"/>
      <c r="Q461" s="226"/>
    </row>
    <row r="462" spans="1:18" s="215" customFormat="1">
      <c r="A462" s="249" t="s">
        <v>1207</v>
      </c>
      <c r="B462" s="250" t="s">
        <v>118</v>
      </c>
      <c r="C462" s="222">
        <f t="shared" si="114"/>
        <v>9570000</v>
      </c>
      <c r="D462" s="222"/>
      <c r="E462" s="222"/>
      <c r="F462" s="223">
        <v>0</v>
      </c>
      <c r="G462" s="223">
        <v>0</v>
      </c>
      <c r="H462" s="223">
        <v>0</v>
      </c>
      <c r="I462" s="223">
        <v>9570000</v>
      </c>
      <c r="J462" s="223">
        <v>0</v>
      </c>
      <c r="K462" s="223">
        <v>9570000</v>
      </c>
      <c r="L462" s="223">
        <v>9570000</v>
      </c>
      <c r="M462" s="223">
        <v>9570000</v>
      </c>
      <c r="N462" s="223">
        <v>0</v>
      </c>
      <c r="O462" s="224">
        <v>0</v>
      </c>
      <c r="P462" s="225"/>
      <c r="Q462" s="226"/>
      <c r="R462" s="207"/>
    </row>
    <row r="463" spans="1:18" s="207" customFormat="1">
      <c r="A463" s="216" t="s">
        <v>1208</v>
      </c>
      <c r="B463" s="217" t="s">
        <v>1209</v>
      </c>
      <c r="C463" s="217">
        <f t="shared" si="114"/>
        <v>1784343</v>
      </c>
      <c r="D463" s="217"/>
      <c r="E463" s="217"/>
      <c r="F463" s="218">
        <v>0</v>
      </c>
      <c r="G463" s="218">
        <v>0</v>
      </c>
      <c r="H463" s="218">
        <v>0</v>
      </c>
      <c r="I463" s="218">
        <v>1784343</v>
      </c>
      <c r="J463" s="218">
        <v>0</v>
      </c>
      <c r="K463" s="218">
        <v>1784343</v>
      </c>
      <c r="L463" s="218">
        <f t="shared" ref="L463:O463" si="130">SUM(L464:L465)</f>
        <v>138889</v>
      </c>
      <c r="M463" s="218">
        <f t="shared" si="130"/>
        <v>138889</v>
      </c>
      <c r="N463" s="218">
        <f t="shared" si="130"/>
        <v>138889</v>
      </c>
      <c r="O463" s="219">
        <f t="shared" si="130"/>
        <v>0</v>
      </c>
      <c r="P463" s="213"/>
      <c r="Q463" s="220">
        <f>SUM(Q464:Q465)</f>
        <v>0</v>
      </c>
      <c r="R463" s="215"/>
    </row>
    <row r="464" spans="1:18" s="215" customFormat="1">
      <c r="A464" s="221" t="s">
        <v>1210</v>
      </c>
      <c r="B464" s="222" t="s">
        <v>1139</v>
      </c>
      <c r="C464" s="222">
        <f t="shared" si="114"/>
        <v>133511</v>
      </c>
      <c r="D464" s="222"/>
      <c r="E464" s="222"/>
      <c r="F464" s="223">
        <v>0</v>
      </c>
      <c r="G464" s="223">
        <v>0</v>
      </c>
      <c r="H464" s="223">
        <v>0</v>
      </c>
      <c r="I464" s="223">
        <v>133511</v>
      </c>
      <c r="J464" s="223">
        <v>0</v>
      </c>
      <c r="K464" s="223">
        <v>133511</v>
      </c>
      <c r="L464" s="223">
        <v>0</v>
      </c>
      <c r="M464" s="223">
        <v>0</v>
      </c>
      <c r="N464" s="223">
        <v>0</v>
      </c>
      <c r="O464" s="224">
        <v>0</v>
      </c>
      <c r="P464" s="225"/>
      <c r="Q464" s="226"/>
      <c r="R464" s="207"/>
    </row>
    <row r="465" spans="1:18" s="215" customFormat="1">
      <c r="A465" s="216" t="s">
        <v>1211</v>
      </c>
      <c r="B465" s="217" t="s">
        <v>1140</v>
      </c>
      <c r="C465" s="217">
        <f t="shared" si="114"/>
        <v>1650832</v>
      </c>
      <c r="D465" s="217"/>
      <c r="E465" s="217"/>
      <c r="F465" s="218">
        <v>0</v>
      </c>
      <c r="G465" s="218">
        <v>0</v>
      </c>
      <c r="H465" s="218">
        <v>0</v>
      </c>
      <c r="I465" s="218">
        <v>1650832</v>
      </c>
      <c r="J465" s="218">
        <v>0</v>
      </c>
      <c r="K465" s="218">
        <v>1650832</v>
      </c>
      <c r="L465" s="218">
        <f t="shared" ref="L465:O465" si="131">L466+L475</f>
        <v>138889</v>
      </c>
      <c r="M465" s="218">
        <f t="shared" si="131"/>
        <v>138889</v>
      </c>
      <c r="N465" s="218">
        <f t="shared" si="131"/>
        <v>138889</v>
      </c>
      <c r="O465" s="219">
        <f t="shared" si="131"/>
        <v>0</v>
      </c>
      <c r="P465" s="213"/>
      <c r="Q465" s="220">
        <f>Q466+Q475</f>
        <v>0</v>
      </c>
    </row>
    <row r="466" spans="1:18" s="207" customFormat="1">
      <c r="A466" s="216" t="s">
        <v>1212</v>
      </c>
      <c r="B466" s="217" t="s">
        <v>1141</v>
      </c>
      <c r="C466" s="217">
        <f t="shared" si="114"/>
        <v>751116</v>
      </c>
      <c r="D466" s="217"/>
      <c r="E466" s="217"/>
      <c r="F466" s="218">
        <v>0</v>
      </c>
      <c r="G466" s="218">
        <v>0</v>
      </c>
      <c r="H466" s="218">
        <v>0</v>
      </c>
      <c r="I466" s="218">
        <v>751116</v>
      </c>
      <c r="J466" s="218">
        <v>0</v>
      </c>
      <c r="K466" s="218">
        <v>751116</v>
      </c>
      <c r="L466" s="218">
        <f t="shared" ref="L466:O466" si="132">SUM(L467:L470)</f>
        <v>0</v>
      </c>
      <c r="M466" s="218">
        <f t="shared" si="132"/>
        <v>0</v>
      </c>
      <c r="N466" s="218">
        <f t="shared" si="132"/>
        <v>0</v>
      </c>
      <c r="O466" s="219">
        <f t="shared" si="132"/>
        <v>0</v>
      </c>
      <c r="P466" s="213"/>
      <c r="Q466" s="220">
        <f>SUM(Q467:Q470)</f>
        <v>0</v>
      </c>
      <c r="R466" s="215"/>
    </row>
    <row r="467" spans="1:18" s="207" customFormat="1">
      <c r="A467" s="252" t="s">
        <v>1213</v>
      </c>
      <c r="B467" s="253" t="s">
        <v>1143</v>
      </c>
      <c r="C467" s="222">
        <f t="shared" si="114"/>
        <v>108720</v>
      </c>
      <c r="D467" s="222"/>
      <c r="E467" s="222"/>
      <c r="F467" s="223">
        <v>0</v>
      </c>
      <c r="G467" s="223">
        <v>0</v>
      </c>
      <c r="H467" s="223">
        <v>0</v>
      </c>
      <c r="I467" s="223">
        <v>108720</v>
      </c>
      <c r="J467" s="223">
        <v>0</v>
      </c>
      <c r="K467" s="223">
        <v>108720</v>
      </c>
      <c r="L467" s="223">
        <v>0</v>
      </c>
      <c r="M467" s="223">
        <v>0</v>
      </c>
      <c r="N467" s="223">
        <v>0</v>
      </c>
      <c r="O467" s="224">
        <v>0</v>
      </c>
      <c r="P467" s="225"/>
      <c r="Q467" s="226"/>
    </row>
    <row r="468" spans="1:18" s="207" customFormat="1">
      <c r="A468" s="252" t="s">
        <v>1214</v>
      </c>
      <c r="B468" s="253" t="s">
        <v>1145</v>
      </c>
      <c r="C468" s="222">
        <f t="shared" si="114"/>
        <v>2869</v>
      </c>
      <c r="D468" s="222"/>
      <c r="E468" s="222"/>
      <c r="F468" s="223">
        <v>0</v>
      </c>
      <c r="G468" s="223">
        <v>0</v>
      </c>
      <c r="H468" s="223">
        <v>0</v>
      </c>
      <c r="I468" s="223">
        <v>2869</v>
      </c>
      <c r="J468" s="223">
        <v>0</v>
      </c>
      <c r="K468" s="223">
        <v>2869</v>
      </c>
      <c r="L468" s="223">
        <v>0</v>
      </c>
      <c r="M468" s="223">
        <v>0</v>
      </c>
      <c r="N468" s="223">
        <v>0</v>
      </c>
      <c r="O468" s="224">
        <v>0</v>
      </c>
      <c r="P468" s="225"/>
      <c r="Q468" s="226"/>
    </row>
    <row r="469" spans="1:18" s="215" customFormat="1">
      <c r="A469" s="252" t="s">
        <v>1215</v>
      </c>
      <c r="B469" s="253" t="s">
        <v>1147</v>
      </c>
      <c r="C469" s="222">
        <f t="shared" si="114"/>
        <v>460895</v>
      </c>
      <c r="D469" s="222"/>
      <c r="E469" s="222"/>
      <c r="F469" s="223">
        <v>0</v>
      </c>
      <c r="G469" s="223">
        <v>0</v>
      </c>
      <c r="H469" s="223">
        <v>0</v>
      </c>
      <c r="I469" s="223">
        <v>460895</v>
      </c>
      <c r="J469" s="223">
        <v>0</v>
      </c>
      <c r="K469" s="223">
        <v>460895</v>
      </c>
      <c r="L469" s="223">
        <v>0</v>
      </c>
      <c r="M469" s="223">
        <v>0</v>
      </c>
      <c r="N469" s="223">
        <v>0</v>
      </c>
      <c r="O469" s="224">
        <v>0</v>
      </c>
      <c r="P469" s="225"/>
      <c r="Q469" s="226"/>
      <c r="R469" s="207"/>
    </row>
    <row r="470" spans="1:18" s="207" customFormat="1">
      <c r="A470" s="216" t="s">
        <v>1216</v>
      </c>
      <c r="B470" s="217" t="s">
        <v>1149</v>
      </c>
      <c r="C470" s="217">
        <f t="shared" si="114"/>
        <v>178632</v>
      </c>
      <c r="D470" s="217"/>
      <c r="E470" s="217"/>
      <c r="F470" s="218">
        <v>0</v>
      </c>
      <c r="G470" s="218">
        <v>0</v>
      </c>
      <c r="H470" s="218">
        <v>0</v>
      </c>
      <c r="I470" s="218">
        <v>178632</v>
      </c>
      <c r="J470" s="218">
        <v>0</v>
      </c>
      <c r="K470" s="218">
        <v>178632</v>
      </c>
      <c r="L470" s="218">
        <f t="shared" ref="L470:O470" si="133">SUM(L471:L474)</f>
        <v>0</v>
      </c>
      <c r="M470" s="218">
        <f t="shared" si="133"/>
        <v>0</v>
      </c>
      <c r="N470" s="218">
        <f t="shared" si="133"/>
        <v>0</v>
      </c>
      <c r="O470" s="219">
        <f t="shared" si="133"/>
        <v>0</v>
      </c>
      <c r="P470" s="213"/>
      <c r="Q470" s="220">
        <f>SUM(Q471:Q474)</f>
        <v>0</v>
      </c>
      <c r="R470" s="215"/>
    </row>
    <row r="471" spans="1:18" s="207" customFormat="1">
      <c r="A471" s="252" t="s">
        <v>1217</v>
      </c>
      <c r="B471" s="253" t="s">
        <v>130</v>
      </c>
      <c r="C471" s="222">
        <f t="shared" si="114"/>
        <v>25515</v>
      </c>
      <c r="D471" s="222"/>
      <c r="E471" s="222"/>
      <c r="F471" s="223">
        <v>0</v>
      </c>
      <c r="G471" s="223">
        <v>0</v>
      </c>
      <c r="H471" s="223">
        <v>0</v>
      </c>
      <c r="I471" s="223">
        <v>25515</v>
      </c>
      <c r="J471" s="223">
        <v>0</v>
      </c>
      <c r="K471" s="223">
        <v>25515</v>
      </c>
      <c r="L471" s="223">
        <v>0</v>
      </c>
      <c r="M471" s="223">
        <v>0</v>
      </c>
      <c r="N471" s="223">
        <v>0</v>
      </c>
      <c r="O471" s="224">
        <v>0</v>
      </c>
      <c r="P471" s="225"/>
      <c r="Q471" s="226"/>
    </row>
    <row r="472" spans="1:18" s="207" customFormat="1">
      <c r="A472" s="252" t="s">
        <v>1218</v>
      </c>
      <c r="B472" s="253" t="s">
        <v>116</v>
      </c>
      <c r="C472" s="222">
        <f t="shared" si="114"/>
        <v>31332</v>
      </c>
      <c r="D472" s="222"/>
      <c r="E472" s="222"/>
      <c r="F472" s="223">
        <v>0</v>
      </c>
      <c r="G472" s="223">
        <v>0</v>
      </c>
      <c r="H472" s="223">
        <v>0</v>
      </c>
      <c r="I472" s="223">
        <v>31332</v>
      </c>
      <c r="J472" s="223">
        <v>0</v>
      </c>
      <c r="K472" s="223">
        <v>31332</v>
      </c>
      <c r="L472" s="223">
        <v>0</v>
      </c>
      <c r="M472" s="223">
        <v>0</v>
      </c>
      <c r="N472" s="223">
        <v>0</v>
      </c>
      <c r="O472" s="224">
        <v>0</v>
      </c>
      <c r="P472" s="225"/>
      <c r="Q472" s="226"/>
    </row>
    <row r="473" spans="1:18" s="207" customFormat="1">
      <c r="A473" s="221" t="s">
        <v>1219</v>
      </c>
      <c r="B473" s="222" t="s">
        <v>1153</v>
      </c>
      <c r="C473" s="222">
        <f t="shared" si="114"/>
        <v>28613</v>
      </c>
      <c r="D473" s="222"/>
      <c r="E473" s="222"/>
      <c r="F473" s="223">
        <v>0</v>
      </c>
      <c r="G473" s="223">
        <v>0</v>
      </c>
      <c r="H473" s="223">
        <v>0</v>
      </c>
      <c r="I473" s="223">
        <v>28613</v>
      </c>
      <c r="J473" s="223">
        <v>0</v>
      </c>
      <c r="K473" s="223">
        <v>28613</v>
      </c>
      <c r="L473" s="223">
        <v>0</v>
      </c>
      <c r="M473" s="223">
        <v>0</v>
      </c>
      <c r="N473" s="223">
        <v>0</v>
      </c>
      <c r="O473" s="224">
        <v>0</v>
      </c>
      <c r="P473" s="225"/>
      <c r="Q473" s="226"/>
    </row>
    <row r="474" spans="1:18" s="215" customFormat="1">
      <c r="A474" s="221" t="s">
        <v>1220</v>
      </c>
      <c r="B474" s="222" t="s">
        <v>1155</v>
      </c>
      <c r="C474" s="222">
        <f>K474</f>
        <v>93172</v>
      </c>
      <c r="D474" s="222"/>
      <c r="E474" s="222"/>
      <c r="F474" s="223">
        <v>0</v>
      </c>
      <c r="G474" s="223">
        <v>0</v>
      </c>
      <c r="H474" s="223">
        <v>0</v>
      </c>
      <c r="I474" s="223">
        <v>93172</v>
      </c>
      <c r="J474" s="223">
        <v>0</v>
      </c>
      <c r="K474" s="223">
        <v>93172</v>
      </c>
      <c r="L474" s="223">
        <v>0</v>
      </c>
      <c r="M474" s="223">
        <v>0</v>
      </c>
      <c r="N474" s="223">
        <v>0</v>
      </c>
      <c r="O474" s="224">
        <v>0</v>
      </c>
      <c r="P474" s="225"/>
      <c r="Q474" s="226"/>
      <c r="R474" s="207"/>
    </row>
    <row r="475" spans="1:18" s="207" customFormat="1">
      <c r="A475" s="216" t="s">
        <v>1221</v>
      </c>
      <c r="B475" s="217" t="s">
        <v>1159</v>
      </c>
      <c r="C475" s="217">
        <f>K475</f>
        <v>899716</v>
      </c>
      <c r="D475" s="217"/>
      <c r="E475" s="217"/>
      <c r="F475" s="218">
        <v>0</v>
      </c>
      <c r="G475" s="218">
        <v>0</v>
      </c>
      <c r="H475" s="218">
        <v>0</v>
      </c>
      <c r="I475" s="218">
        <v>899716</v>
      </c>
      <c r="J475" s="218">
        <v>0</v>
      </c>
      <c r="K475" s="218">
        <v>899716</v>
      </c>
      <c r="L475" s="218">
        <f t="shared" ref="L475:O475" si="134">SUM(L476:L477)</f>
        <v>138889</v>
      </c>
      <c r="M475" s="218">
        <f t="shared" si="134"/>
        <v>138889</v>
      </c>
      <c r="N475" s="218">
        <f t="shared" si="134"/>
        <v>138889</v>
      </c>
      <c r="O475" s="219">
        <f t="shared" si="134"/>
        <v>0</v>
      </c>
      <c r="P475" s="213"/>
      <c r="Q475" s="220">
        <f>SUM(Q476:Q477)</f>
        <v>0</v>
      </c>
      <c r="R475" s="215"/>
    </row>
    <row r="476" spans="1:18" s="207" customFormat="1">
      <c r="A476" s="221" t="s">
        <v>1222</v>
      </c>
      <c r="B476" s="222" t="s">
        <v>1161</v>
      </c>
      <c r="C476" s="222">
        <f>K476</f>
        <v>514168</v>
      </c>
      <c r="D476" s="222"/>
      <c r="E476" s="222"/>
      <c r="F476" s="223">
        <v>0</v>
      </c>
      <c r="G476" s="223">
        <v>0</v>
      </c>
      <c r="H476" s="223">
        <v>0</v>
      </c>
      <c r="I476" s="223">
        <v>514168</v>
      </c>
      <c r="J476" s="223">
        <v>0</v>
      </c>
      <c r="K476" s="223">
        <v>514168</v>
      </c>
      <c r="L476" s="223">
        <v>138889</v>
      </c>
      <c r="M476" s="223">
        <v>138889</v>
      </c>
      <c r="N476" s="223">
        <v>138889</v>
      </c>
      <c r="O476" s="224">
        <v>0</v>
      </c>
      <c r="P476" s="225"/>
      <c r="Q476" s="226"/>
    </row>
    <row r="477" spans="1:18">
      <c r="A477" s="221" t="s">
        <v>1223</v>
      </c>
      <c r="B477" s="222" t="s">
        <v>118</v>
      </c>
      <c r="C477" s="222">
        <f>K477</f>
        <v>143483</v>
      </c>
      <c r="D477" s="222"/>
      <c r="E477" s="222"/>
      <c r="F477" s="223">
        <v>0</v>
      </c>
      <c r="G477" s="223">
        <v>0</v>
      </c>
      <c r="H477" s="223">
        <v>0</v>
      </c>
      <c r="I477" s="223">
        <v>143483</v>
      </c>
      <c r="J477" s="223">
        <v>0</v>
      </c>
      <c r="K477" s="223">
        <v>143483</v>
      </c>
      <c r="L477" s="223">
        <v>0</v>
      </c>
      <c r="M477" s="223">
        <v>0</v>
      </c>
      <c r="N477" s="223">
        <v>0</v>
      </c>
      <c r="O477" s="224">
        <v>0</v>
      </c>
      <c r="P477" s="225"/>
      <c r="Q477" s="226"/>
    </row>
    <row r="478" spans="1:18">
      <c r="A478" s="221" t="s">
        <v>1272</v>
      </c>
      <c r="B478" s="222" t="s">
        <v>1273</v>
      </c>
      <c r="C478" s="222">
        <f>K478</f>
        <v>242065</v>
      </c>
      <c r="D478" s="222"/>
      <c r="E478" s="222"/>
      <c r="F478" s="223">
        <v>0</v>
      </c>
      <c r="G478" s="223">
        <v>0</v>
      </c>
      <c r="H478" s="223">
        <v>0</v>
      </c>
      <c r="I478" s="223">
        <v>242065</v>
      </c>
      <c r="J478" s="223">
        <v>0</v>
      </c>
      <c r="K478" s="223">
        <v>242065</v>
      </c>
      <c r="L478" s="223">
        <v>0</v>
      </c>
      <c r="M478" s="223">
        <v>0</v>
      </c>
      <c r="N478" s="223">
        <v>0</v>
      </c>
      <c r="O478" s="224">
        <v>0</v>
      </c>
      <c r="P478" s="225"/>
      <c r="Q478" s="226"/>
    </row>
    <row r="483" spans="2:13">
      <c r="B483" s="235" t="s">
        <v>1224</v>
      </c>
      <c r="C483" s="240"/>
      <c r="D483" s="240"/>
      <c r="E483" s="240"/>
      <c r="J483" s="389" t="s">
        <v>1225</v>
      </c>
      <c r="K483" s="389"/>
      <c r="L483" s="389"/>
      <c r="M483" s="389"/>
    </row>
    <row r="484" spans="2:13">
      <c r="B484" s="236" t="s">
        <v>1226</v>
      </c>
      <c r="C484" s="236"/>
      <c r="D484" s="236"/>
      <c r="E484" s="236"/>
      <c r="J484" s="390" t="s">
        <v>1227</v>
      </c>
      <c r="K484" s="390"/>
      <c r="L484" s="390"/>
      <c r="M484" s="390"/>
    </row>
  </sheetData>
  <mergeCells count="2">
    <mergeCell ref="J483:M483"/>
    <mergeCell ref="J484:M484"/>
  </mergeCells>
  <pageMargins left="0.23622047244094491" right="0.15748031496062992" top="0.9" bottom="0.42" header="0.23622047244094491" footer="0.23622047244094491"/>
  <pageSetup scale="57" firstPageNumber="0" orientation="landscape" r:id="rId1"/>
  <headerFooter alignWithMargins="0">
    <oddHeader>&amp;L&amp;G&amp;C&amp;14
ALCALDIA MUNICIPAL DE LA CELIA
EJECUCION PRESUPUESTAL DE GASTOS CON CORTE A ENERO  2011</oddHeader>
    <oddFooter>&amp;RPagina No.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12</vt:i4>
      </vt:variant>
    </vt:vector>
  </HeadingPairs>
  <TitlesOfParts>
    <vt:vector size="19" baseType="lpstr">
      <vt:lpstr>CULTURAL</vt:lpstr>
      <vt:lpstr>ECONOMICO</vt:lpstr>
      <vt:lpstr>AMBIENTAL</vt:lpstr>
      <vt:lpstr>INSTITUCIONAL</vt:lpstr>
      <vt:lpstr>SALUD</vt:lpstr>
      <vt:lpstr>VARIOS</vt:lpstr>
      <vt:lpstr>gastos</vt:lpstr>
      <vt:lpstr>AMBIENTAL!Área_de_impresión</vt:lpstr>
      <vt:lpstr>CULTURAL!Área_de_impresión</vt:lpstr>
      <vt:lpstr>ECONOMICO!Área_de_impresión</vt:lpstr>
      <vt:lpstr>gastos!Área_de_impresión</vt:lpstr>
      <vt:lpstr>INSTITUCIONAL!Área_de_impresión</vt:lpstr>
      <vt:lpstr>SALUD!Área_de_impresión</vt:lpstr>
      <vt:lpstr>AMBIENTAL!Títulos_a_imprimir</vt:lpstr>
      <vt:lpstr>CULTURAL!Títulos_a_imprimir</vt:lpstr>
      <vt:lpstr>ECONOMICO!Títulos_a_imprimir</vt:lpstr>
      <vt:lpstr>gastos!Títulos_a_imprimir</vt:lpstr>
      <vt:lpstr>INSTITUCIONAL!Títulos_a_imprimir</vt:lpstr>
      <vt:lpstr>SALUD!Títulos_a_imprimir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SISTEMAS</cp:lastModifiedBy>
  <cp:lastPrinted>2011-06-11T14:35:19Z</cp:lastPrinted>
  <dcterms:created xsi:type="dcterms:W3CDTF">1996-11-27T10:00:04Z</dcterms:created>
  <dcterms:modified xsi:type="dcterms:W3CDTF">2011-11-09T14:26:10Z</dcterms:modified>
</cp:coreProperties>
</file>