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95" windowWidth="11760" windowHeight="5355" tabRatio="854" activeTab="6"/>
  </bookViews>
  <sheets>
    <sheet name="AMBIENTAL" sheetId="5" r:id="rId1"/>
    <sheet name="CONSTRUIDA URBANO REGIONAL" sheetId="4" r:id="rId2"/>
    <sheet name="ECONOMICO PRODUCTIVA" sheetId="9" r:id="rId3"/>
    <sheet name="SOCIO CULTURAL" sheetId="1" r:id="rId4"/>
    <sheet name="POLITICO INSTITUCIONAL" sheetId="2" r:id="rId5"/>
    <sheet name="Consolidado" sheetId="11" r:id="rId6"/>
    <sheet name="Pto" sheetId="12" r:id="rId7"/>
    <sheet name="Hoja1" sheetId="13" r:id="rId8"/>
    <sheet name="Hoja2" sheetId="8" r:id="rId9"/>
  </sheets>
  <definedNames>
    <definedName name="_xlnm.Print_Area" localSheetId="0">AMBIENTAL!$A$1:$L$15</definedName>
    <definedName name="_xlnm.Print_Area" localSheetId="5">Consolidado!$A$1:$K$27</definedName>
    <definedName name="_xlnm.Print_Area" localSheetId="1">'CONSTRUIDA URBANO REGIONAL'!$A$1:$L$36</definedName>
    <definedName name="_xlnm.Print_Area" localSheetId="2">'ECONOMICO PRODUCTIVA'!$A$1:$L$22</definedName>
    <definedName name="_xlnm.Print_Area" localSheetId="7">Hoja1!$A$1:$G$75</definedName>
    <definedName name="_xlnm.Print_Area" localSheetId="4">'POLITICO INSTITUCIONAL'!$A$1:$L$44</definedName>
    <definedName name="_xlnm.Print_Area" localSheetId="6">Pto!$B:$G</definedName>
    <definedName name="_xlnm.Print_Area" localSheetId="3">'SOCIO CULTURAL'!$A$1:$L$90</definedName>
    <definedName name="_xlnm.Print_Titles" localSheetId="0">AMBIENTAL!$2:$2</definedName>
    <definedName name="_xlnm.Print_Titles" localSheetId="5">Consolidado!$4:$4</definedName>
    <definedName name="_xlnm.Print_Titles" localSheetId="1">'CONSTRUIDA URBANO REGIONAL'!$2:$2</definedName>
    <definedName name="_xlnm.Print_Titles" localSheetId="2">'ECONOMICO PRODUCTIVA'!$2:$2</definedName>
    <definedName name="_xlnm.Print_Titles" localSheetId="4">'POLITICO INSTITUCIONAL'!$2:$2</definedName>
    <definedName name="_xlnm.Print_Titles" localSheetId="6">Pto!$6:$8</definedName>
    <definedName name="_xlnm.Print_Titles" localSheetId="3">'SOCIO CULTURAL'!$2:$2</definedName>
  </definedNames>
  <calcPr calcId="125725" fullCalcOnLoad="1"/>
</workbook>
</file>

<file path=xl/calcChain.xml><?xml version="1.0" encoding="utf-8"?>
<calcChain xmlns="http://schemas.openxmlformats.org/spreadsheetml/2006/main">
  <c r="D74" i="13"/>
  <c r="E74" s="1"/>
  <c r="D73"/>
  <c r="E73" s="1"/>
  <c r="F73" s="1"/>
  <c r="D72"/>
  <c r="C71"/>
  <c r="D70"/>
  <c r="E70" s="1"/>
  <c r="F70" s="1"/>
  <c r="D69"/>
  <c r="E69" s="1"/>
  <c r="D68"/>
  <c r="C68"/>
  <c r="D67"/>
  <c r="E67" s="1"/>
  <c r="D66"/>
  <c r="C66"/>
  <c r="D65"/>
  <c r="E65" s="1"/>
  <c r="F65" s="1"/>
  <c r="D64"/>
  <c r="E64" s="1"/>
  <c r="C63"/>
  <c r="D62"/>
  <c r="E62"/>
  <c r="F62" s="1"/>
  <c r="D61"/>
  <c r="E61" s="1"/>
  <c r="F61" s="1"/>
  <c r="E60"/>
  <c r="F60" s="1"/>
  <c r="D60"/>
  <c r="C59"/>
  <c r="D59" s="1"/>
  <c r="D58"/>
  <c r="E58" s="1"/>
  <c r="C57"/>
  <c r="D56"/>
  <c r="E56" s="1"/>
  <c r="D55"/>
  <c r="C55"/>
  <c r="D54"/>
  <c r="E54" s="1"/>
  <c r="F54" s="1"/>
  <c r="D53"/>
  <c r="E53" s="1"/>
  <c r="D52"/>
  <c r="C52"/>
  <c r="D51"/>
  <c r="E51" s="1"/>
  <c r="F51" s="1"/>
  <c r="D50"/>
  <c r="E50" s="1"/>
  <c r="D49"/>
  <c r="C49"/>
  <c r="D48"/>
  <c r="E48" s="1"/>
  <c r="D47"/>
  <c r="E47"/>
  <c r="C46"/>
  <c r="D45"/>
  <c r="E45" s="1"/>
  <c r="F45" s="1"/>
  <c r="D44"/>
  <c r="E44" s="1"/>
  <c r="C43"/>
  <c r="D42"/>
  <c r="E42" s="1"/>
  <c r="F42" s="1"/>
  <c r="D41"/>
  <c r="E41" s="1"/>
  <c r="C40"/>
  <c r="D39"/>
  <c r="E39" s="1"/>
  <c r="F39" s="1"/>
  <c r="D38"/>
  <c r="E38" s="1"/>
  <c r="D37"/>
  <c r="E37"/>
  <c r="C36"/>
  <c r="D35"/>
  <c r="E35" s="1"/>
  <c r="F35" s="1"/>
  <c r="E34"/>
  <c r="F34" s="1"/>
  <c r="D34"/>
  <c r="D33"/>
  <c r="E33" s="1"/>
  <c r="D32"/>
  <c r="D31"/>
  <c r="C31"/>
  <c r="D30"/>
  <c r="E30" s="1"/>
  <c r="D29"/>
  <c r="E29"/>
  <c r="C28"/>
  <c r="D27"/>
  <c r="E27" s="1"/>
  <c r="F27" s="1"/>
  <c r="E26"/>
  <c r="F26" s="1"/>
  <c r="D26"/>
  <c r="D25"/>
  <c r="E25" s="1"/>
  <c r="F25" s="1"/>
  <c r="D24"/>
  <c r="E24"/>
  <c r="F24" s="1"/>
  <c r="D23"/>
  <c r="E23" s="1"/>
  <c r="F23" s="1"/>
  <c r="E22"/>
  <c r="F22" s="1"/>
  <c r="D22"/>
  <c r="D21"/>
  <c r="D19" s="1"/>
  <c r="D20"/>
  <c r="E20"/>
  <c r="C19"/>
  <c r="D18"/>
  <c r="E18" s="1"/>
  <c r="D17"/>
  <c r="E17"/>
  <c r="E16"/>
  <c r="F16" s="1"/>
  <c r="D16"/>
  <c r="C15"/>
  <c r="C14" s="1"/>
  <c r="C9" s="1"/>
  <c r="E13"/>
  <c r="F13" s="1"/>
  <c r="D13"/>
  <c r="D12"/>
  <c r="D10" s="1"/>
  <c r="D11"/>
  <c r="E11"/>
  <c r="C10"/>
  <c r="B5" i="11"/>
  <c r="V25" i="4"/>
  <c r="T19"/>
  <c r="R12" i="5"/>
  <c r="S12"/>
  <c r="R3" i="2"/>
  <c r="S85" i="1"/>
  <c r="T78"/>
  <c r="S69"/>
  <c r="R69"/>
  <c r="S52"/>
  <c r="U52"/>
  <c r="S51"/>
  <c r="U51"/>
  <c r="R41"/>
  <c r="U41" s="1"/>
  <c r="Y41" s="1"/>
  <c r="X23" i="2"/>
  <c r="F17" i="13"/>
  <c r="F29"/>
  <c r="F11"/>
  <c r="F37"/>
  <c r="F47"/>
  <c r="F20"/>
  <c r="D63"/>
  <c r="D28"/>
  <c r="E32"/>
  <c r="D36"/>
  <c r="D46"/>
  <c r="D15"/>
  <c r="D43"/>
  <c r="D71"/>
  <c r="Y36" i="1"/>
  <c r="F32" i="13"/>
  <c r="Y86" i="1"/>
  <c r="Y83"/>
  <c r="Y84"/>
  <c r="Y82"/>
  <c r="D18" i="11"/>
  <c r="E18"/>
  <c r="J18" s="1"/>
  <c r="F18"/>
  <c r="G18"/>
  <c r="I18"/>
  <c r="D19"/>
  <c r="E19"/>
  <c r="G19"/>
  <c r="H19"/>
  <c r="I19"/>
  <c r="D20"/>
  <c r="E20"/>
  <c r="F20"/>
  <c r="G20"/>
  <c r="H20"/>
  <c r="I20"/>
  <c r="D21"/>
  <c r="E21"/>
  <c r="J21" s="1"/>
  <c r="F21"/>
  <c r="G21"/>
  <c r="H21"/>
  <c r="I21"/>
  <c r="D22"/>
  <c r="E22"/>
  <c r="F22"/>
  <c r="G22"/>
  <c r="H22"/>
  <c r="I22"/>
  <c r="E23"/>
  <c r="F23"/>
  <c r="G23"/>
  <c r="H23"/>
  <c r="I23"/>
  <c r="C23"/>
  <c r="C22"/>
  <c r="C21"/>
  <c r="C20"/>
  <c r="B23"/>
  <c r="B22"/>
  <c r="B21"/>
  <c r="B20"/>
  <c r="B19"/>
  <c r="B18"/>
  <c r="B17"/>
  <c r="B16"/>
  <c r="B15"/>
  <c r="B14"/>
  <c r="B11"/>
  <c r="B10"/>
  <c r="B9"/>
  <c r="B8"/>
  <c r="B7"/>
  <c r="D12"/>
  <c r="E12"/>
  <c r="G12"/>
  <c r="H12"/>
  <c r="I12"/>
  <c r="D13"/>
  <c r="E13"/>
  <c r="F13"/>
  <c r="G13"/>
  <c r="H13"/>
  <c r="I13"/>
  <c r="B13"/>
  <c r="B12"/>
  <c r="D7"/>
  <c r="E7"/>
  <c r="F7"/>
  <c r="G7"/>
  <c r="I7"/>
  <c r="D8"/>
  <c r="E8"/>
  <c r="F8"/>
  <c r="G8"/>
  <c r="D9"/>
  <c r="E9"/>
  <c r="J9" s="1"/>
  <c r="F9"/>
  <c r="G9"/>
  <c r="H9"/>
  <c r="I9"/>
  <c r="D10"/>
  <c r="E10"/>
  <c r="F10"/>
  <c r="G10"/>
  <c r="H10"/>
  <c r="I10"/>
  <c r="D11"/>
  <c r="E11"/>
  <c r="F11"/>
  <c r="G11"/>
  <c r="H11"/>
  <c r="I11"/>
  <c r="R36" i="4"/>
  <c r="S36"/>
  <c r="T36"/>
  <c r="U36"/>
  <c r="Q36"/>
  <c r="C11" i="11"/>
  <c r="C10"/>
  <c r="C9"/>
  <c r="C8"/>
  <c r="C7"/>
  <c r="D5"/>
  <c r="E5"/>
  <c r="J5" s="1"/>
  <c r="F5"/>
  <c r="G5"/>
  <c r="H5"/>
  <c r="I5"/>
  <c r="D6"/>
  <c r="E6"/>
  <c r="F6"/>
  <c r="G6"/>
  <c r="H6"/>
  <c r="I6"/>
  <c r="C6"/>
  <c r="C5"/>
  <c r="B6"/>
  <c r="X34" i="4"/>
  <c r="J22" i="11"/>
  <c r="J20"/>
  <c r="J11"/>
  <c r="X9" i="5"/>
  <c r="X33" i="4"/>
  <c r="W14"/>
  <c r="D74" i="12"/>
  <c r="D73"/>
  <c r="E73"/>
  <c r="E72"/>
  <c r="F72" s="1"/>
  <c r="D72"/>
  <c r="H72" s="1"/>
  <c r="L21" i="11" s="1"/>
  <c r="M21" s="1"/>
  <c r="C71" i="12"/>
  <c r="E70"/>
  <c r="F70" s="1"/>
  <c r="D70"/>
  <c r="D69"/>
  <c r="C68"/>
  <c r="D67"/>
  <c r="C66"/>
  <c r="D65"/>
  <c r="E65" s="1"/>
  <c r="F65" s="1"/>
  <c r="D64"/>
  <c r="E64" s="1"/>
  <c r="E63" s="1"/>
  <c r="C63"/>
  <c r="F62"/>
  <c r="D62"/>
  <c r="E62" s="1"/>
  <c r="D61"/>
  <c r="E61" s="1"/>
  <c r="F61" s="1"/>
  <c r="D60"/>
  <c r="E60"/>
  <c r="F60" s="1"/>
  <c r="C59"/>
  <c r="D59" s="1"/>
  <c r="E59" s="1"/>
  <c r="D58"/>
  <c r="C57"/>
  <c r="D56"/>
  <c r="E56" s="1"/>
  <c r="F56" s="1"/>
  <c r="C55"/>
  <c r="D54"/>
  <c r="E54" s="1"/>
  <c r="F54" s="1"/>
  <c r="D53"/>
  <c r="E53" s="1"/>
  <c r="C52"/>
  <c r="E51"/>
  <c r="F51" s="1"/>
  <c r="D51"/>
  <c r="E50"/>
  <c r="D50"/>
  <c r="D49"/>
  <c r="C49"/>
  <c r="D48"/>
  <c r="E48" s="1"/>
  <c r="F48" s="1"/>
  <c r="D47"/>
  <c r="E47" s="1"/>
  <c r="D46"/>
  <c r="C46"/>
  <c r="D45"/>
  <c r="D44"/>
  <c r="E44"/>
  <c r="C43"/>
  <c r="D42"/>
  <c r="E42" s="1"/>
  <c r="D41"/>
  <c r="C40"/>
  <c r="E39"/>
  <c r="F39" s="1"/>
  <c r="D39"/>
  <c r="D38"/>
  <c r="E38" s="1"/>
  <c r="F38" s="1"/>
  <c r="D37"/>
  <c r="E37"/>
  <c r="C36"/>
  <c r="D35"/>
  <c r="E35" s="1"/>
  <c r="F35" s="1"/>
  <c r="D34"/>
  <c r="E34"/>
  <c r="F34" s="1"/>
  <c r="D33"/>
  <c r="F32"/>
  <c r="D32"/>
  <c r="E32" s="1"/>
  <c r="C31"/>
  <c r="D30"/>
  <c r="E30" s="1"/>
  <c r="F30" s="1"/>
  <c r="D29"/>
  <c r="E29" s="1"/>
  <c r="D28"/>
  <c r="C28"/>
  <c r="D27"/>
  <c r="E27" s="1"/>
  <c r="F27" s="1"/>
  <c r="D26"/>
  <c r="E26"/>
  <c r="F26" s="1"/>
  <c r="F25"/>
  <c r="D25"/>
  <c r="E25" s="1"/>
  <c r="F24"/>
  <c r="D24"/>
  <c r="E24" s="1"/>
  <c r="D23"/>
  <c r="D22"/>
  <c r="E22" s="1"/>
  <c r="F22"/>
  <c r="E21"/>
  <c r="F21" s="1"/>
  <c r="D21"/>
  <c r="D20"/>
  <c r="D19" s="1"/>
  <c r="C19"/>
  <c r="E18"/>
  <c r="F18" s="1"/>
  <c r="D18"/>
  <c r="D17"/>
  <c r="E17"/>
  <c r="F17" s="1"/>
  <c r="D16"/>
  <c r="C15"/>
  <c r="C14" s="1"/>
  <c r="C9"/>
  <c r="D13"/>
  <c r="E13"/>
  <c r="F13" s="1"/>
  <c r="D12"/>
  <c r="E12" s="1"/>
  <c r="F12" s="1"/>
  <c r="D11"/>
  <c r="C10"/>
  <c r="D14" i="11"/>
  <c r="J14" s="1"/>
  <c r="C14"/>
  <c r="X13" i="2"/>
  <c r="X9"/>
  <c r="W85" i="1"/>
  <c r="Y85"/>
  <c r="W79"/>
  <c r="Y79"/>
  <c r="R78"/>
  <c r="W78"/>
  <c r="H17" i="11" s="1"/>
  <c r="C18"/>
  <c r="D17"/>
  <c r="E17"/>
  <c r="J17" s="1"/>
  <c r="F17"/>
  <c r="G17"/>
  <c r="I17"/>
  <c r="C17"/>
  <c r="E16"/>
  <c r="H16"/>
  <c r="I16"/>
  <c r="G15"/>
  <c r="H15"/>
  <c r="I15"/>
  <c r="E14"/>
  <c r="G14"/>
  <c r="H14"/>
  <c r="I14"/>
  <c r="R22" i="9"/>
  <c r="Q21"/>
  <c r="C13" i="11"/>
  <c r="X13" i="9"/>
  <c r="L25"/>
  <c r="L27" s="1"/>
  <c r="L28" s="1"/>
  <c r="L30" s="1"/>
  <c r="W22"/>
  <c r="V22"/>
  <c r="U22"/>
  <c r="S22"/>
  <c r="X21"/>
  <c r="X20"/>
  <c r="X18"/>
  <c r="X17"/>
  <c r="X16"/>
  <c r="X15"/>
  <c r="X14"/>
  <c r="Q14"/>
  <c r="Q13"/>
  <c r="X12"/>
  <c r="X11"/>
  <c r="X10"/>
  <c r="X9"/>
  <c r="X8"/>
  <c r="X7"/>
  <c r="X6"/>
  <c r="T5"/>
  <c r="X5" s="1"/>
  <c r="X4"/>
  <c r="X3"/>
  <c r="I8" i="11"/>
  <c r="W36" i="4"/>
  <c r="F12" i="11"/>
  <c r="Y78" i="1"/>
  <c r="H18" i="11"/>
  <c r="E55" i="12"/>
  <c r="F55"/>
  <c r="F44"/>
  <c r="F47"/>
  <c r="F29"/>
  <c r="E28"/>
  <c r="F73"/>
  <c r="F42"/>
  <c r="D36"/>
  <c r="E23"/>
  <c r="F23" s="1"/>
  <c r="V15" i="4"/>
  <c r="H8" i="11"/>
  <c r="V73" i="1"/>
  <c r="S73"/>
  <c r="R73"/>
  <c r="S72"/>
  <c r="R72"/>
  <c r="S70"/>
  <c r="R70"/>
  <c r="V69"/>
  <c r="U69"/>
  <c r="Y69" s="1"/>
  <c r="S68"/>
  <c r="R68"/>
  <c r="V67"/>
  <c r="S67"/>
  <c r="Y67" s="1"/>
  <c r="R67"/>
  <c r="V66"/>
  <c r="S66"/>
  <c r="R66"/>
  <c r="R65"/>
  <c r="R61"/>
  <c r="S60"/>
  <c r="R60"/>
  <c r="R59"/>
  <c r="S58"/>
  <c r="Y58" s="1"/>
  <c r="R58"/>
  <c r="R57"/>
  <c r="S56"/>
  <c r="R56"/>
  <c r="S55"/>
  <c r="R55"/>
  <c r="U55" s="1"/>
  <c r="Y55" s="1"/>
  <c r="S54"/>
  <c r="R54"/>
  <c r="S53"/>
  <c r="R53"/>
  <c r="R52"/>
  <c r="R51"/>
  <c r="U48"/>
  <c r="S48"/>
  <c r="R48"/>
  <c r="U47"/>
  <c r="S47"/>
  <c r="R47"/>
  <c r="T42"/>
  <c r="E15" i="11"/>
  <c r="R42" i="1"/>
  <c r="I52"/>
  <c r="I51"/>
  <c r="M51" s="1"/>
  <c r="M47"/>
  <c r="N47" s="1"/>
  <c r="O47"/>
  <c r="P47" s="1"/>
  <c r="D15" i="11"/>
  <c r="J15" s="1"/>
  <c r="D16"/>
  <c r="C16"/>
  <c r="F16"/>
  <c r="U27" i="1"/>
  <c r="F14" i="11" s="1"/>
  <c r="Q3" i="2"/>
  <c r="T3" s="1"/>
  <c r="F19" i="11" s="1"/>
  <c r="J19" s="1"/>
  <c r="C19"/>
  <c r="T44" i="2"/>
  <c r="W15" i="5"/>
  <c r="V15"/>
  <c r="U15"/>
  <c r="T15"/>
  <c r="S15"/>
  <c r="R15"/>
  <c r="Q15"/>
  <c r="X14"/>
  <c r="X13"/>
  <c r="X12"/>
  <c r="X11"/>
  <c r="X10"/>
  <c r="X8"/>
  <c r="X7"/>
  <c r="X6"/>
  <c r="X5"/>
  <c r="X4"/>
  <c r="X15" s="1"/>
  <c r="X3"/>
  <c r="M28" i="1"/>
  <c r="M27"/>
  <c r="R27" i="2"/>
  <c r="S44"/>
  <c r="T90" i="1"/>
  <c r="W90"/>
  <c r="Y27"/>
  <c r="V6" i="4"/>
  <c r="Q44" i="2"/>
  <c r="X90" i="1"/>
  <c r="Q90"/>
  <c r="X43" i="2"/>
  <c r="X37"/>
  <c r="X38"/>
  <c r="X39"/>
  <c r="X40"/>
  <c r="X41"/>
  <c r="X42"/>
  <c r="X36"/>
  <c r="X26"/>
  <c r="X29"/>
  <c r="X30"/>
  <c r="X32"/>
  <c r="X33"/>
  <c r="X34"/>
  <c r="X35"/>
  <c r="X25"/>
  <c r="X21"/>
  <c r="X22"/>
  <c r="X24"/>
  <c r="X20"/>
  <c r="X16"/>
  <c r="X17"/>
  <c r="X18"/>
  <c r="X19"/>
  <c r="X15"/>
  <c r="X12"/>
  <c r="X14"/>
  <c r="X11"/>
  <c r="X5"/>
  <c r="X6"/>
  <c r="X7"/>
  <c r="X8"/>
  <c r="X10"/>
  <c r="X4"/>
  <c r="X3"/>
  <c r="Y89" i="1"/>
  <c r="Y88"/>
  <c r="Y75"/>
  <c r="Y76"/>
  <c r="Y77"/>
  <c r="Y80"/>
  <c r="Y81"/>
  <c r="Y74"/>
  <c r="Y68"/>
  <c r="Y70"/>
  <c r="Y72"/>
  <c r="Y73"/>
  <c r="Y65"/>
  <c r="Y56"/>
  <c r="Y57"/>
  <c r="Y59"/>
  <c r="Y60"/>
  <c r="Y61"/>
  <c r="Y43"/>
  <c r="Y44"/>
  <c r="Y45"/>
  <c r="Y46"/>
  <c r="Y47"/>
  <c r="Y51"/>
  <c r="Y52"/>
  <c r="Y53"/>
  <c r="Y54"/>
  <c r="Y40"/>
  <c r="Y38"/>
  <c r="Y37"/>
  <c r="Y35"/>
  <c r="Y24"/>
  <c r="Y25"/>
  <c r="Y26"/>
  <c r="Y28"/>
  <c r="Y29"/>
  <c r="Y30"/>
  <c r="Y31"/>
  <c r="Y32"/>
  <c r="Y33"/>
  <c r="Y34"/>
  <c r="Y23"/>
  <c r="Y4"/>
  <c r="Y5"/>
  <c r="Y6"/>
  <c r="Y7"/>
  <c r="Y8"/>
  <c r="Y9"/>
  <c r="Y10"/>
  <c r="Y11"/>
  <c r="Y12"/>
  <c r="Y13"/>
  <c r="Y14"/>
  <c r="Y15"/>
  <c r="Y17"/>
  <c r="Y18"/>
  <c r="Y19"/>
  <c r="Y20"/>
  <c r="Y21"/>
  <c r="Y22"/>
  <c r="Y3"/>
  <c r="X29" i="4"/>
  <c r="X30"/>
  <c r="X31"/>
  <c r="X32"/>
  <c r="X35"/>
  <c r="X28"/>
  <c r="X26"/>
  <c r="X27"/>
  <c r="X25"/>
  <c r="X20"/>
  <c r="X21"/>
  <c r="X22"/>
  <c r="X23"/>
  <c r="X24"/>
  <c r="X19"/>
  <c r="X14"/>
  <c r="X15"/>
  <c r="X16"/>
  <c r="X17"/>
  <c r="X18"/>
  <c r="X13"/>
  <c r="X7"/>
  <c r="X8"/>
  <c r="X9"/>
  <c r="X10"/>
  <c r="X11"/>
  <c r="X12"/>
  <c r="X5"/>
  <c r="X3"/>
  <c r="M26" i="1"/>
  <c r="M86"/>
  <c r="N86" s="1"/>
  <c r="O86" s="1"/>
  <c r="P86" s="1"/>
  <c r="J22"/>
  <c r="J20"/>
  <c r="J9"/>
  <c r="I183" i="8"/>
  <c r="J183"/>
  <c r="I20" i="4"/>
  <c r="J5"/>
  <c r="I5"/>
  <c r="V36"/>
  <c r="H7" i="11"/>
  <c r="X6" i="4"/>
  <c r="U44" i="2"/>
  <c r="V44"/>
  <c r="W44"/>
  <c r="J6" i="11" l="1"/>
  <c r="J10"/>
  <c r="J13"/>
  <c r="F59" i="12"/>
  <c r="G59"/>
  <c r="L14" i="11" s="1"/>
  <c r="M14" s="1"/>
  <c r="D23"/>
  <c r="J23" s="1"/>
  <c r="R44" i="2"/>
  <c r="X27"/>
  <c r="X44" s="1"/>
  <c r="C15" i="11"/>
  <c r="U42" i="1"/>
  <c r="R90"/>
  <c r="Q22" i="9"/>
  <c r="C12" i="11"/>
  <c r="C24" s="1"/>
  <c r="E33" i="12"/>
  <c r="D31"/>
  <c r="E41"/>
  <c r="D40"/>
  <c r="E58"/>
  <c r="D57"/>
  <c r="E15" i="13"/>
  <c r="F18"/>
  <c r="F38"/>
  <c r="E36"/>
  <c r="E43"/>
  <c r="F44"/>
  <c r="F43" s="1"/>
  <c r="F50"/>
  <c r="F49" s="1"/>
  <c r="E49"/>
  <c r="G49" s="1"/>
  <c r="E52"/>
  <c r="F53"/>
  <c r="F52" s="1"/>
  <c r="F56"/>
  <c r="F55" s="1"/>
  <c r="E55"/>
  <c r="F58"/>
  <c r="F57" s="1"/>
  <c r="E57"/>
  <c r="F64"/>
  <c r="F63" s="1"/>
  <c r="E63"/>
  <c r="G63" s="1"/>
  <c r="E66"/>
  <c r="F67"/>
  <c r="F66" s="1"/>
  <c r="F74"/>
  <c r="H74" s="1"/>
  <c r="X22" i="9"/>
  <c r="E20" i="12"/>
  <c r="E46"/>
  <c r="D52"/>
  <c r="D55"/>
  <c r="G55" s="1"/>
  <c r="L6" i="11" s="1"/>
  <c r="M6" s="1"/>
  <c r="D63" i="12"/>
  <c r="F64"/>
  <c r="F63" s="1"/>
  <c r="H24" i="11"/>
  <c r="F24"/>
  <c r="D24"/>
  <c r="J8"/>
  <c r="E24"/>
  <c r="J12"/>
  <c r="G43" i="13"/>
  <c r="G55"/>
  <c r="S90" i="1"/>
  <c r="Y48"/>
  <c r="G16" i="11"/>
  <c r="J16" s="1"/>
  <c r="V90" i="1"/>
  <c r="Y66"/>
  <c r="E11" i="12"/>
  <c r="D10"/>
  <c r="E16"/>
  <c r="D15"/>
  <c r="F37"/>
  <c r="F36" s="1"/>
  <c r="E36"/>
  <c r="G36" s="1"/>
  <c r="L17" i="11" s="1"/>
  <c r="M17" s="1"/>
  <c r="E45" i="12"/>
  <c r="F45" s="1"/>
  <c r="F43" s="1"/>
  <c r="D43"/>
  <c r="F50"/>
  <c r="F49" s="1"/>
  <c r="E49"/>
  <c r="G49" s="1"/>
  <c r="L8" i="11" s="1"/>
  <c r="M8" s="1"/>
  <c r="F53" i="12"/>
  <c r="F52" s="1"/>
  <c r="E52"/>
  <c r="E67"/>
  <c r="D66"/>
  <c r="E69"/>
  <c r="D68"/>
  <c r="F30" i="13"/>
  <c r="E28"/>
  <c r="F33"/>
  <c r="F31" s="1"/>
  <c r="E31"/>
  <c r="G31" s="1"/>
  <c r="F41"/>
  <c r="F40" s="1"/>
  <c r="E40"/>
  <c r="E46"/>
  <c r="F48"/>
  <c r="F46" s="1"/>
  <c r="E59"/>
  <c r="F59" s="1"/>
  <c r="G59"/>
  <c r="E68"/>
  <c r="F69"/>
  <c r="F68" s="1"/>
  <c r="X36" i="4"/>
  <c r="T22" i="9"/>
  <c r="F28" i="12"/>
  <c r="G28" s="1"/>
  <c r="L7" i="11" s="1"/>
  <c r="M7" s="1"/>
  <c r="F46" i="12"/>
  <c r="I24" i="11"/>
  <c r="G36" i="13"/>
  <c r="F36"/>
  <c r="F28"/>
  <c r="F15"/>
  <c r="G57"/>
  <c r="E12"/>
  <c r="E21"/>
  <c r="E72"/>
  <c r="E74" i="12"/>
  <c r="F74" s="1"/>
  <c r="F71" s="1"/>
  <c r="J7" i="11"/>
  <c r="J24" s="1"/>
  <c r="D71" i="12"/>
  <c r="D40" i="13"/>
  <c r="G40" s="1"/>
  <c r="D57"/>
  <c r="G66" i="12" l="1"/>
  <c r="L22" i="11" s="1"/>
  <c r="M22" s="1"/>
  <c r="F21" i="13"/>
  <c r="F19" s="1"/>
  <c r="E19"/>
  <c r="G19" s="1"/>
  <c r="F72"/>
  <c r="F71" s="1"/>
  <c r="E71"/>
  <c r="G71" s="1"/>
  <c r="F12"/>
  <c r="F10" s="1"/>
  <c r="E10"/>
  <c r="F69" i="12"/>
  <c r="F68" s="1"/>
  <c r="E68"/>
  <c r="G68" s="1"/>
  <c r="L23" i="11" s="1"/>
  <c r="M23" s="1"/>
  <c r="F67" i="12"/>
  <c r="F66" s="1"/>
  <c r="E66"/>
  <c r="E15"/>
  <c r="F16"/>
  <c r="F15" s="1"/>
  <c r="F14" s="1"/>
  <c r="F11"/>
  <c r="F10" s="1"/>
  <c r="E10"/>
  <c r="F20"/>
  <c r="F19" s="1"/>
  <c r="E19"/>
  <c r="G19" s="1"/>
  <c r="L15" i="11" s="1"/>
  <c r="M15" s="1"/>
  <c r="F58" i="12"/>
  <c r="F57" s="1"/>
  <c r="E57"/>
  <c r="G57" s="1"/>
  <c r="L19" i="11" s="1"/>
  <c r="M19" s="1"/>
  <c r="F41" i="12"/>
  <c r="F40" s="1"/>
  <c r="E40"/>
  <c r="G40" s="1"/>
  <c r="L10" i="11" s="1"/>
  <c r="M10" s="1"/>
  <c r="F33" i="12"/>
  <c r="F31" s="1"/>
  <c r="E31"/>
  <c r="G31" s="1"/>
  <c r="L18" i="11" s="1"/>
  <c r="M18" s="1"/>
  <c r="Y42" i="1"/>
  <c r="Y90" s="1"/>
  <c r="U90"/>
  <c r="E71" i="12"/>
  <c r="F14" i="13"/>
  <c r="G15"/>
  <c r="H74" i="12"/>
  <c r="L20" i="11" s="1"/>
  <c r="M20" s="1"/>
  <c r="G68" i="13"/>
  <c r="G46"/>
  <c r="H72"/>
  <c r="G24" i="11"/>
  <c r="G63" i="12"/>
  <c r="L11" i="11" s="1"/>
  <c r="M11" s="1"/>
  <c r="G46" i="12"/>
  <c r="L12" i="11" s="1"/>
  <c r="M12" s="1"/>
  <c r="G66" i="13"/>
  <c r="G52"/>
  <c r="D14" i="12"/>
  <c r="D9" s="1"/>
  <c r="G71"/>
  <c r="G28" i="13"/>
  <c r="G43" i="12"/>
  <c r="L9" i="11" s="1"/>
  <c r="M9" s="1"/>
  <c r="G52" i="12"/>
  <c r="L5" i="11" s="1"/>
  <c r="E43" i="12"/>
  <c r="G10"/>
  <c r="D14" i="13"/>
  <c r="D9" s="1"/>
  <c r="M5" i="11" l="1"/>
  <c r="G10" i="13"/>
  <c r="E9" i="12"/>
  <c r="G15"/>
  <c r="E14" i="13"/>
  <c r="E9" s="1"/>
  <c r="G75"/>
  <c r="F9" i="12"/>
  <c r="E14"/>
  <c r="F9" i="13"/>
  <c r="L16" i="11" l="1"/>
  <c r="G75" i="12"/>
  <c r="M16" i="11" l="1"/>
  <c r="M24" s="1"/>
  <c r="L24"/>
  <c r="D25" s="1"/>
  <c r="D26" s="1"/>
  <c r="D27" s="1"/>
</calcChain>
</file>

<file path=xl/sharedStrings.xml><?xml version="1.0" encoding="utf-8"?>
<sst xmlns="http://schemas.openxmlformats.org/spreadsheetml/2006/main" count="1526" uniqueCount="1102">
  <si>
    <t>Mejorar el potencial de la poblaciòn estudiantil superando los indices de rendimiento reflejados en sus proyectos de vida</t>
  </si>
  <si>
    <t>Jòvenes con acceso a la educaciòn superior</t>
  </si>
  <si>
    <t>100% creada y funcionando</t>
  </si>
  <si>
    <t>Implementación del PIU</t>
  </si>
  <si>
    <t>Lograr que el 32% de las familias acompañadas por la Red UNIDOS superen su situación de pobreza extrema garantizando que al menos el 50% de los beneficiarios de los diferentes programas existentes pertenezcan a la Estrategia UNIDOS</t>
  </si>
  <si>
    <t>100% poblaciòn identifcada con documento de identidad y actualizada en SISBEN. Y 50% de hombres beneficiarios con libreta militar</t>
  </si>
  <si>
    <t>98% Niños registrados: Jovenes identificadso: Adultos identificados. 10%  de Beneficiarios con libreta militar</t>
  </si>
  <si>
    <t>100% y 10%</t>
  </si>
  <si>
    <t>Tienda artesanal de los adulos mayores</t>
  </si>
  <si>
    <t>50 adultos mayores beneficiados</t>
  </si>
  <si>
    <t>274 adultos mayores</t>
  </si>
  <si>
    <t>Apoyo para la conservacion y la potencializacion de los cultivos existentes y Apoyo para la conservacion y la potencializacion de los cultivos nuevos</t>
  </si>
  <si>
    <t>600 familias involucradas en proyectos productivos</t>
  </si>
  <si>
    <t>Hogar tradicional (Familiar tiempo completo), De cero a siempre (Ludotecas NAVES ITINERANTES), PAIPI, desayunos infantiles con amor, hogar agrupado</t>
  </si>
  <si>
    <t>100% población vinculada</t>
  </si>
  <si>
    <t>150 NNA vinculados a RED UNIDOS (100%)</t>
  </si>
  <si>
    <t>Lograr que de los 63 niños que no asisten a centros educativos, sean atendidos el 70%</t>
  </si>
  <si>
    <t>De 1041 NNA, adolescentes y jóvenes, 63 no estan estudiando (6,05%)</t>
  </si>
  <si>
    <t>Lograr que el 80% de los adultos estén alfabetizados.</t>
  </si>
  <si>
    <t>Programa "A CRECER"</t>
  </si>
  <si>
    <t>Lograr el 80% de los adultos alfabetizados</t>
  </si>
  <si>
    <t>231 adultos iletrados</t>
  </si>
  <si>
    <t>Jóvenes con acceso a la educación superior</t>
  </si>
  <si>
    <t>217 jóvenes con aspiraciones a educación superior</t>
  </si>
  <si>
    <t>0 NNA menores de 15 trabajando</t>
  </si>
  <si>
    <t>De 852 menores de 15 años están trabajando 0,80%</t>
  </si>
  <si>
    <t>Secretaría de Salud Y Cogestores Unidos.</t>
  </si>
  <si>
    <t>100% de beneficiarios de unidos con acceso a al SGSSS</t>
  </si>
  <si>
    <t>313 de 4330 personas faltan por carnetizar</t>
  </si>
  <si>
    <t>Plan de intervenciones colectivas PIC</t>
  </si>
  <si>
    <t>Lograr que el 100% de los beneficiarios unidos accedan a los programas de prevencion y promocion de la salud</t>
  </si>
  <si>
    <t>95 % de beneficiarios con acceso a servicios de promocion y prevencion de la salud</t>
  </si>
  <si>
    <t>Lograr que el 100% de los beneficiarios unidos accedan a los programas de prevencion y promocion de habitos saludables</t>
  </si>
  <si>
    <t>95 % de beneficiarios con acceso a servicios de promocion y prevencion de habitos saludables</t>
  </si>
  <si>
    <t>50 viviendas mejoradas</t>
  </si>
  <si>
    <t>1050 viviendas faltantes de mejoramiento</t>
  </si>
  <si>
    <t>Construcción de viviendas en el sector urbano y rural</t>
  </si>
  <si>
    <t>50 viviendas construidas</t>
  </si>
  <si>
    <t>Plan familiar</t>
  </si>
  <si>
    <t>Lograr que el 75% de las familias cumpla los logros priorizados en el plan familiar.</t>
  </si>
  <si>
    <t>Deporte y Cultura para las famlias UNIDOS</t>
  </si>
  <si>
    <t>Lograr que el 2,9% - 126 de la población faltante participe en los espacios de aprovechamiento del tiempo libre</t>
  </si>
  <si>
    <t>252 de 4330 no participan de espacios de recreación y cultura - 5,8%</t>
  </si>
  <si>
    <t>Escuela de padres con familias Red Unidos</t>
  </si>
  <si>
    <t>228 de 4330 no conoce, no aplica pautas de crianza - 5,2%</t>
  </si>
  <si>
    <t>Capacitación en cultura del ahorro y mecanismos financieros</t>
  </si>
  <si>
    <t>Lograr que el 5% de las familias UNIDOS aquieran la cultura de ahorro y accedan a los servicios de las entidades financieras</t>
  </si>
  <si>
    <t>El 1% está vinculadas al sistema financiero</t>
  </si>
  <si>
    <t>El 9% de la poblacion UNIDOS conoce la ruta institucional para el acceso a la justicia</t>
  </si>
  <si>
    <t>Atención a la poblaciòn en situacion de discapacidad</t>
  </si>
  <si>
    <t>Apoyo y orientación a familias que tienen a su cargo personas en situación de discapacidad</t>
  </si>
  <si>
    <t>Atender el 100% de la pblación en situación de discapacidad</t>
  </si>
  <si>
    <t>Centro de atención a la mujer</t>
  </si>
  <si>
    <t>PLAN INTEGRAL UNICO - PIU</t>
  </si>
  <si>
    <t xml:space="preserve">Ingresos y trabajo para las familias UNIDOS </t>
  </si>
  <si>
    <t>Formando Capital Humano</t>
  </si>
  <si>
    <t>Todos saludables</t>
  </si>
  <si>
    <t xml:space="preserve">Todos Nutridos y Alimentados de manera saludable </t>
  </si>
  <si>
    <t>Vivienda digna para todos</t>
  </si>
  <si>
    <t xml:space="preserve">UNIDOS en familia </t>
  </si>
  <si>
    <t>Todos con oportunidades y ahorrando</t>
  </si>
  <si>
    <t>Acceso a los servicios de la justicia para todos</t>
  </si>
  <si>
    <t>GESTIÓN SOCIAL</t>
  </si>
  <si>
    <t>SOCIO CULTURAL</t>
  </si>
  <si>
    <t>Cumplimiento del límite de gasto de funcionamiento</t>
  </si>
  <si>
    <t>Solvencia para pagar el servicio a la deuda</t>
  </si>
  <si>
    <t>Dependencia del Sistema General de Participaciones y de regalías</t>
  </si>
  <si>
    <t>Número de capacitaciones realizadas sobre planeación y finanzas públicas</t>
  </si>
  <si>
    <t>Sistema de seguimiento y evaluación del plan de desarrollo implementado</t>
  </si>
  <si>
    <t xml:space="preserve">Equipo SGC conformado </t>
  </si>
  <si>
    <t xml:space="preserve">Misión de la entidad concertada </t>
  </si>
  <si>
    <t xml:space="preserve">Política y objetivos de calidad definidos </t>
  </si>
  <si>
    <t xml:space="preserve">Procesos levantados según la Norma Técnica de Calidad en la Gestión Pública NTCGP 1000:2009 </t>
  </si>
  <si>
    <t xml:space="preserve">Convenio firmado con la entidad certificadora </t>
  </si>
  <si>
    <t>Porcentaje de avance de implementación/mantenimiento  del MECI</t>
  </si>
  <si>
    <t>Porcentaje de implementación del SGC</t>
  </si>
  <si>
    <t>Aumentar el número de programas de actividad física realizados.</t>
  </si>
  <si>
    <t>Tecnologia, imnovación y cienca - TIC</t>
  </si>
  <si>
    <t>Reducir la pobreza de la población sucreña</t>
  </si>
  <si>
    <t>Mejoraramiento de la capacidad para generar ingresos por parte de la población sucreña</t>
  </si>
  <si>
    <t>Instalaciones adecuadas para el funcionamiento de los organismos al servicio de seguridad ciudadana</t>
  </si>
  <si>
    <t>Atención  a DESPLAZADOS y víctimas del conflicto armado interno</t>
  </si>
  <si>
    <t>Garantizar el goce efectivo de derechos de la población víctima del desplazamiento forzado por la violencia y Formular el plan de acción para establecer medidas de atención, asistencia y reparación integral a las victimas del conflicto armado interno</t>
  </si>
  <si>
    <t>Fortalecimiento del sector agropecuario</t>
  </si>
  <si>
    <t>ACCESO A LA JUSTICIA</t>
  </si>
  <si>
    <t>Por el respeto a la vida</t>
  </si>
  <si>
    <t>Garantizar la seguridad ciudadana y la convivencia pacífica en pro de los derechos humanos</t>
  </si>
  <si>
    <t>PROMOCION DE LA CONVIVENCIA Y PROTECCION DE LA COMUNIDAD SUCREÑA</t>
  </si>
  <si>
    <t>Secretaria de Gobierno, Alcalde Municipal, Policia Nacional, CTI, Juzgado, ICBF, Instituciones educativas, Hospital, Iglesias</t>
  </si>
  <si>
    <t>Secretaria de Gobierno, Alcalde Municipal, Policia Nacional, CTI, Juzgado</t>
  </si>
  <si>
    <t>Facilitar los medios para acceder a los servicios de una pronta justicia</t>
  </si>
  <si>
    <t>Justicia operativa</t>
  </si>
  <si>
    <t>60% Inventario bienes inmuebles del municipio legalizados</t>
  </si>
  <si>
    <t>16 procesos juridicos en contra del municipio</t>
  </si>
  <si>
    <t>Seguimiento al 100% de los procesos juridicos</t>
  </si>
  <si>
    <t>Protección del patrimonio</t>
  </si>
  <si>
    <t>Atención con calidad humana</t>
  </si>
  <si>
    <t>4 capacitaciones al personal administrativo</t>
  </si>
  <si>
    <t xml:space="preserve">EDUCACION </t>
  </si>
  <si>
    <t>Coordinadora de educaciòn y salud, alcalde municipal, directivos docentes, docentes, padres de familia, Secretaria de Educaciòn Departamental, Ministerio de Educaciòn</t>
  </si>
  <si>
    <t xml:space="preserve">Dotar de Kits escolares al 100% de los estudiantes </t>
  </si>
  <si>
    <t>1400 estudiantes matriculados</t>
  </si>
  <si>
    <t>Fortalecer en un 12% la minuta alimentaria</t>
  </si>
  <si>
    <t>Incrementar la Tasa  neta de cobertura escolar para educación básica secundaria hasta un 85%</t>
  </si>
  <si>
    <t>Incrementar en 4%  la tasa  neta de cobertura escolar para educación media</t>
  </si>
  <si>
    <t xml:space="preserve">Reducir la tasa de analfabetismo  </t>
  </si>
  <si>
    <t>231 adultos iletrados según base de datos UNIDOS</t>
  </si>
  <si>
    <t>Incrementar al 50% el nùmero de estudiantes, graduados en el colegios del Municipio con acceso a la educaciòn superior</t>
  </si>
  <si>
    <t>10% de estudiantes graduados,  en programas de educaiòn superior</t>
  </si>
  <si>
    <t>Mejorar en un 15% las infraestructura educativa existente</t>
  </si>
  <si>
    <t>Incentivando las mejores mentes estudiantiles</t>
  </si>
  <si>
    <t>Incrementar hasta un 10% el número de niños, niñas y adolescentes entre 5 y 17 años que asisten a bibliotecas</t>
  </si>
  <si>
    <t>1730 visitas anuales</t>
  </si>
  <si>
    <t>Calidad en la formación impartida por el sistema educativo</t>
  </si>
  <si>
    <t>Fortalecer el proceso de apropiación y promoción de la cultura en el municipio</t>
  </si>
  <si>
    <t>Cultura, valores e identidad</t>
  </si>
  <si>
    <t>Reconocimiento del MECI  como elemento de la gestion</t>
  </si>
  <si>
    <t>Proyeccion de la entidad</t>
  </si>
  <si>
    <t>Creacion de la politica y objetivos de calidad</t>
  </si>
  <si>
    <t>Restructuracion y actualizacion  de los procesos</t>
  </si>
  <si>
    <t>Reconicimiento de una nueva cultura organizacional</t>
  </si>
  <si>
    <t>Proceso de  certificacion</t>
  </si>
  <si>
    <t xml:space="preserve">4 campañas de sensibilización de cambio de cultura organizacional </t>
  </si>
  <si>
    <t>Existe 1 manual que debe actualizarse</t>
  </si>
  <si>
    <t>CONTROL INTERNO Y CALIDAD</t>
  </si>
  <si>
    <t>Modelo Estandar de Control Interno</t>
  </si>
  <si>
    <t>Sistema de Gestión de Calidad</t>
  </si>
  <si>
    <t>Mas niños en las Bibliotecas Ludotecas</t>
  </si>
  <si>
    <t>Expresando valores culturales</t>
  </si>
  <si>
    <t>Recuperando identidad</t>
  </si>
  <si>
    <t>Comunicar es conocer</t>
  </si>
  <si>
    <t>Implementar medios de difusión con temas culturales</t>
  </si>
  <si>
    <t>Sucre imágenes</t>
  </si>
  <si>
    <t>Hablando con las JAC</t>
  </si>
  <si>
    <t>Cartilla, Saberes y cuentos</t>
  </si>
  <si>
    <t>Revista cultural</t>
  </si>
  <si>
    <t>Incrementar un 10% el número de niños, niñas y adolescentes entre 0 y 17 años inscritos o matriculados en programas artísticos, culturales o lúdicos</t>
  </si>
  <si>
    <t xml:space="preserve">Escondites Culturales </t>
  </si>
  <si>
    <t>Implementacion de al menos dos programas culturales para la primera infancia</t>
  </si>
  <si>
    <t>Cultivando el arte al amanecer</t>
  </si>
  <si>
    <t>Investigar es crear</t>
  </si>
  <si>
    <t>Mi abuelo y yo</t>
  </si>
  <si>
    <t>Recopilación tradicional oral</t>
  </si>
  <si>
    <t>Cantando a Sucre</t>
  </si>
  <si>
    <t>Conociendo Sucre</t>
  </si>
  <si>
    <t>9 canchas de futbol y 7 canchas polifuncionales</t>
  </si>
  <si>
    <t>Incrementar en un 20% el número de niños, niñas y adolescentes entre 5 y 17 años inscritos o matriculados en programas deportivos o recreación</t>
  </si>
  <si>
    <t>Aumentar el número de escenarios deportivos y recreativos construidos o recuperados</t>
  </si>
  <si>
    <t>20 campeonatos organizados y patrocinados</t>
  </si>
  <si>
    <t>Aeróbicos al parque</t>
  </si>
  <si>
    <t>Caminatas</t>
  </si>
  <si>
    <t>Coclovias, Caminatas</t>
  </si>
  <si>
    <t>Al menos 3 actividades físicas complementarias</t>
  </si>
  <si>
    <t>Existen 1050 y se requieren 172 viviendas nuevas</t>
  </si>
  <si>
    <t>Dotaciòn de tarjetas, pitos y balones a los clubes deprotivos organizados</t>
  </si>
  <si>
    <t>Diseño e implementación de programas de actividad física para disminuir los niveles de sedentarismo</t>
  </si>
  <si>
    <t>Realizar actividades que fomenten la inclusión de población en situación de discapacidad y adulto mayor</t>
  </si>
  <si>
    <t>Formación para el deporte</t>
  </si>
  <si>
    <t>Acitividad física saludable</t>
  </si>
  <si>
    <t>Mejoramiento, mantenimiento y adecuación de la infraestructura deportiva</t>
  </si>
  <si>
    <t>Cultura: nuestra forma de expresión</t>
  </si>
  <si>
    <t>80% de la poblaciónsucreña con identidad cultural</t>
  </si>
  <si>
    <t>Implementacion al menos dos programas culturales</t>
  </si>
  <si>
    <t>Formación y preparación de deportistas para el posicionamiento y liderazgo deportivo en el municipio</t>
  </si>
  <si>
    <t>DEPORTE Y RECREACION</t>
  </si>
  <si>
    <t>1 programa POR AÑO de actividad física dirigidos al adulto mayor realizados</t>
  </si>
  <si>
    <t>1 programa POR AÑO de actividad física dirigidos a personas en situación de discapacidad realizados</t>
  </si>
  <si>
    <t>Organización y patrocinio para eventos deportivos</t>
  </si>
  <si>
    <t>Secretario de Gobierno, Coordinador de Deporte, Juntas de Acción Comunal, Gremios de Despotistas, Jundeportes, Indeportes, Coldeportes,Programas sociales, Hospital Alcalde</t>
  </si>
  <si>
    <t>Secretaria de Gobierno, Coordinador de Cultura, Juntas de Acción Comunal, Instituciones Educativas, Alcalde, Iglesias, Programas sociales, Ministerio de Cultura</t>
  </si>
  <si>
    <t>Incrementar en un 20%el numero de personas con acceso a las diferentes actividadades de salud mental</t>
  </si>
  <si>
    <t>Incrementar al 99% la  tasa  neta de cobertura escolar para educación básica primaria</t>
  </si>
  <si>
    <t xml:space="preserve">Mejorar el desempeño fiscal  </t>
  </si>
  <si>
    <t>Mejoramiento  del desempeño fiscal garantizando el mejor equipo de trabajo, en el marco de la aplicación de la carrera administrativa</t>
  </si>
  <si>
    <t>Reestructuracion administrativa</t>
  </si>
  <si>
    <t>77,5 correspondiente al año 2010</t>
  </si>
  <si>
    <t>Incremento de recursos propios, mejoramiento del sistema de recaudo, gestión de recursos de cooperación nacionales e internacionales</t>
  </si>
  <si>
    <t xml:space="preserve">Esfuerzo fiscal propio </t>
  </si>
  <si>
    <t>Actualizaciòn catastral urbana y rural</t>
  </si>
  <si>
    <t>Mejoraramiento de la focalización del gasto social</t>
  </si>
  <si>
    <t>Mejorar el índice de desempeño integral municipal mediante el fortalecimiento de la gestion publica orientada a resultados</t>
  </si>
  <si>
    <t>Mejoramiento del desempeño integral municipal</t>
  </si>
  <si>
    <t>Mejoramiento del desempeño integral del municipio</t>
  </si>
  <si>
    <t>61,9 eficacia</t>
  </si>
  <si>
    <t>24,0 eficiencia administrativa</t>
  </si>
  <si>
    <t>Aduto mayor</t>
  </si>
  <si>
    <t>Reestructuración asociacion Sueños de Esperanza</t>
  </si>
  <si>
    <t>Acompañamiento y atención a los adultos mayores</t>
  </si>
  <si>
    <t>100% actualizada y activa</t>
  </si>
  <si>
    <t>33,16% (306 en subsidio economico y 127 en paquete alimentario por Bienestar Familiar)</t>
  </si>
  <si>
    <t>Ampliar cobertura al 50% de la población adulta</t>
  </si>
  <si>
    <t>Aumentar la cobertura de atención a los adultos mayores</t>
  </si>
  <si>
    <t>Mejorar la calidad de vida y su entorno familiar</t>
  </si>
  <si>
    <t>Atenciòn educativa  a poblaciòn con problemas de aprendizaje (cognitivos)</t>
  </si>
  <si>
    <t>Incrementar en un 20% el numero de personas con acceso a  las diferentes actividades de salud  sexual y reproductiva previniendo el abandono de NNA</t>
  </si>
  <si>
    <t xml:space="preserve">Reducción de la desnutrición infantil al 1.9% - Todos  bien nutridos </t>
  </si>
  <si>
    <t>Màs niños en la escuela menos niños en la calle - Todos con educación</t>
  </si>
  <si>
    <t>Ludoteca niños aprendiendo, viviendo, experimentando y socializando (NAVES) itinerante - Todos Jugando</t>
  </si>
  <si>
    <t>Escuela de padres</t>
  </si>
  <si>
    <t>Conformación y funcionalidad</t>
  </si>
  <si>
    <t>Continuidad al proyecto erradicación del trabajo infantil - Ninguno en actividad  perjudicial</t>
  </si>
  <si>
    <t>Disminuciòn de la violencia intrafamiliar - Ninguno  victima de violencia personal</t>
  </si>
  <si>
    <t xml:space="preserve">Plan integral de seguridad y convivencia ciudadana PISCS-  Ninguno impulsado a  violar la ley </t>
  </si>
  <si>
    <t>Familias en acción</t>
  </si>
  <si>
    <t>Evitar la deserión escolar y la desnutrición infantil</t>
  </si>
  <si>
    <t>100% NNA y jóvenes en la escuela y bien nutridos</t>
  </si>
  <si>
    <t>FORTALECIMIENTO INSTITUCIONAL</t>
  </si>
  <si>
    <t>Plan Decenal de Salud, Plan Decenal de Cultura, Plan Educativo Comunitario</t>
  </si>
  <si>
    <t>Al menos tres planes decenales constiuidos</t>
  </si>
  <si>
    <t>GESTIÓN CON RESULTADOS</t>
  </si>
  <si>
    <t>VISION A LARGO PLAZO</t>
  </si>
  <si>
    <t>Formulación de plane decenales</t>
  </si>
  <si>
    <t>Alcalde municipal, Consejo Territorial de Planeación, Consejo Municipal, Instituciones educativas, IPS, JAC</t>
  </si>
  <si>
    <t>Control Interno, Sectetaria de Gobierno, Alcalde Municipal</t>
  </si>
  <si>
    <t>Secretario de Área Financiera y Contable, Concejo Municipal, Alcalde Municipal</t>
  </si>
  <si>
    <t>VALOR PROYECTO</t>
  </si>
  <si>
    <t>Regalías</t>
  </si>
  <si>
    <t>Crédito</t>
  </si>
  <si>
    <t>Total</t>
  </si>
  <si>
    <t>Dependencia Responsable</t>
  </si>
  <si>
    <r>
      <t>FUENTES DE FINANCIACION</t>
    </r>
    <r>
      <rPr>
        <sz val="12"/>
        <color indexed="9"/>
        <rFont val="Calibri"/>
        <family val="2"/>
      </rPr>
      <t xml:space="preserve"> (millones de pesos) </t>
    </r>
    <r>
      <rPr>
        <b/>
        <sz val="12"/>
        <color indexed="9"/>
        <rFont val="Calibri"/>
        <family val="2"/>
      </rPr>
      <t>2012 - 2015</t>
    </r>
  </si>
  <si>
    <t>Construcción, mejoramiento, ampliación y mantenimiento de sistemas de abastecimiento de agua potable en el sector urbano y rural</t>
  </si>
  <si>
    <t>Involucrar a las organizaciones ciudadanas en el gobierno municipal</t>
  </si>
  <si>
    <t>Disminuir al 10% la violencia intrafamiliar</t>
  </si>
  <si>
    <t>Sucre convive en Familia: Prevención y promoción, pedagogía comunicacional</t>
  </si>
  <si>
    <t>Secretaria de Gobierno, Secretaria Administrativa y Financiera, Control Interno, Alcalde Mpal, Notaria, Oficina de Registro e Instrumentos públicos, Agustin Codazzi, Juzgados</t>
  </si>
  <si>
    <t>Coordinacion de Desarrollo Comunitario, Secretaria de Gobierno, Juntas de Acción Comunal, Gremios productivos, Empresarios, Comerciantes, Instituciones Educativas</t>
  </si>
  <si>
    <t>DESARROLLO TECNOLÓGICO</t>
  </si>
  <si>
    <t>Gobierno en línea</t>
  </si>
  <si>
    <t>Sucre en linea</t>
  </si>
  <si>
    <t>Continuidad mediante jornadas institucionales, para el proceso de indetificaciòn de NNA, jòvenes y adultos, libreta militar para hombres entre 18 y 50 años y actualizacion base de datos sisben III</t>
  </si>
  <si>
    <t>Laboratorio para catación de café</t>
  </si>
  <si>
    <t>1 laboratorio implementado</t>
  </si>
  <si>
    <t>MUNICIPIO</t>
  </si>
  <si>
    <t>NACION</t>
  </si>
  <si>
    <t>OTRAS FUENTES</t>
  </si>
  <si>
    <t>Existen 2 software: Financiero y Predial</t>
  </si>
  <si>
    <t>Dotación y actualización Sistemas de Información</t>
  </si>
  <si>
    <t>Software banco de proyectos, inventarios, actualización financiero y predial y gestion documental</t>
  </si>
  <si>
    <t>Actual financiero ypredial</t>
  </si>
  <si>
    <t>BP, Inventario y actual financiero ypredial</t>
  </si>
  <si>
    <t>SISTEMAS DE INFORMACION</t>
  </si>
  <si>
    <t>1191 contratos vigencia 2008-2011</t>
  </si>
  <si>
    <t>Disminuir un 10% los contratos a ejecutar - mayor impacto social</t>
  </si>
  <si>
    <t>13,92% recursos de gestion</t>
  </si>
  <si>
    <t xml:space="preserve">5632 predios </t>
  </si>
  <si>
    <t>100% predios actualizados</t>
  </si>
  <si>
    <t>Número de capacitaciones realizadas sobre destinación de recursos del SGP conforme a la Ley (Leyes 715 de 2001, 1176 de 2007 y sus decretos reglamentarios)</t>
  </si>
  <si>
    <t>Actualizacion estatuto de rentas y estatuto de presupuesto</t>
  </si>
  <si>
    <t>Eatatutos desactualizados</t>
  </si>
  <si>
    <t>Construcción de la Políticade Cultura Ciudadana</t>
  </si>
  <si>
    <t>Escuela de formación de lideres</t>
  </si>
  <si>
    <t>40 JAC, ASOGASUCRE, AMUS, ASOMUS, ASPROSUCRE, FRUTISUCRE, GRUPO CAFETERO EVANGELICOS PARAISO</t>
  </si>
  <si>
    <t>Alcaldia frente a la comunidad</t>
  </si>
  <si>
    <t>1000 personas capacitadas en el municipio</t>
  </si>
  <si>
    <t>Apoyo para garantizar al acceso a la justicia y bienestar</t>
  </si>
  <si>
    <t>Operatividad de la Notaria Unica</t>
  </si>
  <si>
    <t>100% cobertura (196 personas)</t>
  </si>
  <si>
    <t>Incrementar un 100% la población municipal</t>
  </si>
  <si>
    <t>Subsidio nutrición a 383 NNA de 0 - 7 años (73%)</t>
  </si>
  <si>
    <t>Subsidio en educacion para 1226 jóvenes de 7-18 años (65%)</t>
  </si>
  <si>
    <t>Incrementar un 85% la población municipal</t>
  </si>
  <si>
    <t>Dotación y funcionamiento básico de la casa de paso</t>
  </si>
  <si>
    <t>80% dotada y funcionando básicamente</t>
  </si>
  <si>
    <t>60 jóvenes inscritos en clubes</t>
  </si>
  <si>
    <t>Garantizar el derecho de las mujeres a una vida libre de violencia</t>
  </si>
  <si>
    <t>Fortalecer la articulación con entidades pertinentes para el desarrollo de politicas dirigidas hacia la mujer y equidad de género</t>
  </si>
  <si>
    <t>Creación oficina de la mujer - Mujer desplazada por la violencia, mujeres victimas por la violencia, Prevencion y atencion de la violencia contra las mujeres, mujeres cabeza del hogar</t>
  </si>
  <si>
    <t>Articular la política general del gobierno y las líneas de acción para la prevención y la atención al desplazamiento forzado interno en el Municipio de Sucre desarrollando actividades en pro de la reestructuración social de los mismos.</t>
  </si>
  <si>
    <t xml:space="preserve">Actualizaciòn 100% </t>
  </si>
  <si>
    <t>34 familias benefiiadas con proyecto de vivienda (32%- 106 en total)</t>
  </si>
  <si>
    <t>Promover que el 50% de los adultos mayores de 60 años tengan una fuente de ingreso o sustento económico.</t>
  </si>
  <si>
    <t>Generar capacidades laborales en el 60% de las familias UNIDOS y promover su vinculación laboral efectiva.</t>
  </si>
  <si>
    <t>97% población con pobreza extrema asegurada</t>
  </si>
  <si>
    <t>lncrementar la cobertura de vacunacion al 60% en triple viral y 90% de esquema de vacunaciòn completa sobre la base del SISBEN</t>
  </si>
  <si>
    <t>Coformacion de una escuela con 70 lideres comunitarios con enfoque social, incluyente y con politicas de cultura ciudadana</t>
  </si>
  <si>
    <t>Una escuela inoperante</t>
  </si>
  <si>
    <t>70 lideres multiplicadores de la cultura sucreña</t>
  </si>
  <si>
    <t>Asambleas de participacion y evaluacion de la gestion municipal</t>
  </si>
  <si>
    <t>Rendicion de cuentas</t>
  </si>
  <si>
    <t xml:space="preserve"> </t>
  </si>
  <si>
    <t>Sector Agropecuario</t>
  </si>
  <si>
    <t>DEPTO</t>
  </si>
  <si>
    <t>Secretaría de Planeación Municipal, Empresas o Administradores de Servicios Públicos, Minambiente</t>
  </si>
  <si>
    <t>Secretaría de Planeación Municipal, Empresas de transporte, INVIAS, Gobernación del Cauca</t>
  </si>
  <si>
    <t>Secretaría de Planeación Municipal, INCODER, Banco Agrario, Cajas de compensación, Ministerio de Protección Social</t>
  </si>
  <si>
    <t>Secretaría de Planeación Municipal, Empresas de Energía, ministerio de Minas y Energía</t>
  </si>
  <si>
    <t>Secretaría de Planeación Municipal, Alcalde Municipal, Hospital</t>
  </si>
  <si>
    <t>Oficina de gestión social, Coordinación de salud, educación, cultura y deporte, ICBF, Hospital, Acción Social</t>
  </si>
  <si>
    <t>Coordinadora de educaciòn y salud, alcalde municipal, EPS, IPS, Secretaria de Salud Departamental, Ministerio de Protección Social</t>
  </si>
  <si>
    <t>Alcalde municipal, Mincomunicaciones</t>
  </si>
  <si>
    <t>Programa de actividad física dirigidos al adulto mayor</t>
  </si>
  <si>
    <t>Actualizaciòn, ajuste y adopción del Plan Decenal de Cultura</t>
  </si>
  <si>
    <t>DISMINUCIÓN DE LA TASA DE DESERCION ESCOLAR</t>
  </si>
  <si>
    <t>Secretaria de Gobierno</t>
  </si>
  <si>
    <t>Secretaria de Planeación Municipal</t>
  </si>
  <si>
    <t>Secretaría de Planeación Municipal</t>
  </si>
  <si>
    <t>Alcalde Municipal</t>
  </si>
  <si>
    <t>Oficina Gestión Social</t>
  </si>
  <si>
    <t>Secretaría de Gobierno</t>
  </si>
  <si>
    <t>SE INCLUYE EN LOS PROYECTOS DEL SECTOR DE  PLANEACION</t>
  </si>
  <si>
    <t xml:space="preserve">SUJETO A TODOS LOS PROYECTOS  </t>
  </si>
  <si>
    <t>SUJETO AL PEC</t>
  </si>
  <si>
    <t>Se incluye en presupuesto del sector productivo</t>
  </si>
  <si>
    <t>Recursos se incluyen en el PEC</t>
  </si>
  <si>
    <t>Se incluyen en LOS PROYECTOS DEL PIC</t>
  </si>
  <si>
    <t>Ciclopaseo</t>
  </si>
  <si>
    <t>Programa de actividad física dirigidos a personas en situación de discapacidad</t>
  </si>
  <si>
    <t>Disminuir en 5% la Tasa de repitencia en educación básica primaria</t>
  </si>
  <si>
    <t>Disminuir en 5% la Tasa de repitencia en educación básica media</t>
  </si>
  <si>
    <t>Incrementar en 17 puntos el promedio en las pruebas icfes</t>
  </si>
  <si>
    <t>Cumplimiento óptimo de la incorporación y ejecución de los recursos del SGP</t>
  </si>
  <si>
    <t>Recuperando identidad - Una ventana hacia el turismo</t>
  </si>
  <si>
    <t>Juegos campesinos, Campeonatos de infantil, preinfantil por géneros de microfútbol y fútbol,  Juegos inter colegiados, Juegos Interbarrios</t>
  </si>
  <si>
    <t>Construcción, mejoramiento, ampliación y mantenimiento de sistemas de recolección de aguas residuales y pluviales</t>
  </si>
  <si>
    <t xml:space="preserve">Pavimentación, manejo de aguas lluvias en el sector urbano y mantenimiento de vías </t>
  </si>
  <si>
    <t>Casa de paso</t>
  </si>
  <si>
    <t xml:space="preserve">Fortalecimiento de las JAC y asociaciones organizados </t>
  </si>
  <si>
    <t>100% Fortalecimiento de las JAC  y asociaciones organizados (Cacaoteros, plátano, lecheros, piscicultores, comerciantes, transportadores, )</t>
  </si>
  <si>
    <t>Formulación y ejecucion del plan</t>
  </si>
  <si>
    <t>Se presupusta por  sector vivienda</t>
  </si>
  <si>
    <t>200 familias Atendidas</t>
  </si>
  <si>
    <t>Proyectos de infraestructura para la comercialización y procesamiento apoyados con DRE</t>
  </si>
  <si>
    <t>Mayor acceso de pequeños productores a servicios financieros rurales y fondos rotatorios</t>
  </si>
  <si>
    <t>100 familias con crédito</t>
  </si>
  <si>
    <t>EDUCACION</t>
  </si>
  <si>
    <t>ECONOMICO PRODUCTIVO</t>
  </si>
  <si>
    <t>INFRAESTRUCTURA URBANO REGIONAL</t>
  </si>
  <si>
    <t>AMBIENTAL</t>
  </si>
  <si>
    <t>8 jornadas de capacitación al recurso humano de la entidad territorial sobre  la implementación del MECI</t>
  </si>
  <si>
    <t>Avazado en un 60% en los procesos formativos en Musica tradicional, Banda, coros, Artes escenicas, Pintura Danza, artes plasticas y disciplinas propias de la escuela</t>
  </si>
  <si>
    <t>Mas sitios apropiados para realizar actividades de integracion cultural y recuperacion de la identidad</t>
  </si>
  <si>
    <t xml:space="preserve">al menos un escenario adecuado para el desarrollo de la identidad cultural </t>
  </si>
  <si>
    <t>Mejoramiento y construcciòn de escenarios deportivos</t>
  </si>
  <si>
    <t>Mejoradas las condiciones de infraestructura para la practica del deporte en las diferentes disciplinas</t>
  </si>
  <si>
    <t>Conectividad en 80%</t>
  </si>
  <si>
    <t>20 personas formadas para hacer cine colombiano y 4000 personas en convivencias y paz</t>
  </si>
  <si>
    <t>Creacion del equipo</t>
  </si>
  <si>
    <t>Proyeccion de ingresos</t>
  </si>
  <si>
    <t>Proyeccion de la gestion</t>
  </si>
  <si>
    <t>Avanzar en un 30% en proyectos de desarrollo productivo, vivienda, educación, salud y programas sociales desarrollados en el municipio</t>
  </si>
  <si>
    <t>DEPARTAMENTO DEL CAUCA</t>
  </si>
  <si>
    <t>MUNICIPIO DE SUCRE</t>
  </si>
  <si>
    <t>PROPUESTA PLAN DE INVERSIONES</t>
  </si>
  <si>
    <t>2012 - 2015</t>
  </si>
  <si>
    <t>CODIGO</t>
  </si>
  <si>
    <t>CONCEPTO</t>
  </si>
  <si>
    <t>PRESUPUESTO</t>
  </si>
  <si>
    <t>ESTIMADO</t>
  </si>
  <si>
    <t>PRESUPUESTO GASTOS DE FUNCIONAMIENTO E INVERSION</t>
  </si>
  <si>
    <t xml:space="preserve">FUNCIONAMIENTO </t>
  </si>
  <si>
    <t>CONCEJO</t>
  </si>
  <si>
    <t>PERSONERIA</t>
  </si>
  <si>
    <t>ADMINISTRACION CENTRAL</t>
  </si>
  <si>
    <t>PRESUPUESTO GASTOS DE INVERSIÓN</t>
  </si>
  <si>
    <t>SGP ALIMENTACION ESCOLAR</t>
  </si>
  <si>
    <t>SGP CALIDAD EDUCACION</t>
  </si>
  <si>
    <t>SGP LIBRE DESTINACION</t>
  </si>
  <si>
    <t>PLAN TERRITORIAL DE SALUD</t>
  </si>
  <si>
    <t>SGP SALUD SUBSIDIADA</t>
  </si>
  <si>
    <t>RECURSOS FOSYGA</t>
  </si>
  <si>
    <t>ETESA</t>
  </si>
  <si>
    <t>RECURSOS PROPIOS Y RIFAS</t>
  </si>
  <si>
    <t>RENDIMIENTOS FINANCIEROS SGP</t>
  </si>
  <si>
    <t>RENTAS CEDIDAS DEL DEPTO</t>
  </si>
  <si>
    <t>SECTOR AGUA POTABLE Y SANEAMIENTO BÁSICO</t>
  </si>
  <si>
    <t>SGP AGUA POTABLE Y SANEMIANTO BÁSICO</t>
  </si>
  <si>
    <t>SECTOR DEPORTE</t>
  </si>
  <si>
    <t>SGP - DEPORTE</t>
  </si>
  <si>
    <t>ESTAMPILLA - FOMENTO AL DEPORTE</t>
  </si>
  <si>
    <t>LIBRE DESTINACION</t>
  </si>
  <si>
    <t>RENTAS CEDIDAS DEL CIGARRILLO</t>
  </si>
  <si>
    <t>SECTOR CULTURA</t>
  </si>
  <si>
    <t>SGP CULTURA</t>
  </si>
  <si>
    <t>ESTAMPILLA PROCULTURA</t>
  </si>
  <si>
    <t>SGP LIBRE INVERSIÓN</t>
  </si>
  <si>
    <t>SECTOR ELECTRIFICACIÓN</t>
  </si>
  <si>
    <t>SECTOR VIVIENDA</t>
  </si>
  <si>
    <t>SGP LIBRE INVRSIÓN</t>
  </si>
  <si>
    <t>SECTOR DESARROLLO AGROPECUARIO</t>
  </si>
  <si>
    <t>SECTOR TRANSPORTE</t>
  </si>
  <si>
    <t>SECTOR MEDIO AMBIENTE</t>
  </si>
  <si>
    <t>SGP LIBRE DESTINACIÓN</t>
  </si>
  <si>
    <t>SECTOR PREVENCION Y ATENCION DE DESASTRES</t>
  </si>
  <si>
    <t>SECTOR PROMOCIÓN DE DESARROLLO</t>
  </si>
  <si>
    <t>SECTOR ATENCIÓN A GRUPOS VULNERABLES</t>
  </si>
  <si>
    <t>ESTAMPILLA ADULTO MAYOR</t>
  </si>
  <si>
    <t>SECTOR EQUIPAMIENTO</t>
  </si>
  <si>
    <t>RENTA CEDIDA DEGUELLO DE GANADO</t>
  </si>
  <si>
    <t>SECTOR DESARROLLO COMUNITARIO</t>
  </si>
  <si>
    <t>SECTOR FORTALECIMIENTO INSTITUCIONAL</t>
  </si>
  <si>
    <t>SECTOR JUSTICIA</t>
  </si>
  <si>
    <t>SGP LIBRE INVERSIÓN JUSTICIA Y COMISARIA DE FAMILIA</t>
  </si>
  <si>
    <t>FONDO TERRITORIAL DE SEGURIDAD</t>
  </si>
  <si>
    <t>SALDOS DE TESORERIA 2009 FONDO DE SEGURIDAD</t>
  </si>
  <si>
    <t>PPTO MUNICIPIO 4 AÑOS</t>
  </si>
  <si>
    <t>Oficina de desarrollo agropecuario, Empresas de servicios públicos, CLOPAD, CREPAD, CRC, INCONDER, MINAMBIENTE, OFICINA DE GESTION DEL RIESGO</t>
  </si>
  <si>
    <t>Elaboracion del documento definitivo, y ejecucion en un 100%</t>
  </si>
  <si>
    <t>desfase</t>
  </si>
  <si>
    <t>Apertura de nuevas vías y compra de maquinaria y equipos</t>
  </si>
  <si>
    <t>100% territorio municipal</t>
  </si>
  <si>
    <t>Galeria Municipal</t>
  </si>
  <si>
    <t>Gestión ambiental urbana y sectorial</t>
  </si>
  <si>
    <t>Mejorar la calidad ambiental en los centros poblados y hacerlas más amables</t>
  </si>
  <si>
    <t>Construcción y urbanismo sostenible</t>
  </si>
  <si>
    <t>Espacio publico para al menos un centro poblado</t>
  </si>
  <si>
    <t>Parque plaza en Cabecera Municipal</t>
  </si>
  <si>
    <t>POLITICO INSTITUCIONAL</t>
  </si>
  <si>
    <t>Secretario de Planeación Municipal</t>
  </si>
  <si>
    <t>Coordinador Oficina Gestión Social</t>
  </si>
  <si>
    <t>Coordinadora Salud</t>
  </si>
  <si>
    <t>Coordinadora Educación</t>
  </si>
  <si>
    <t>Coordinador Oficina Cultura</t>
  </si>
  <si>
    <t>Coordinador Deporte</t>
  </si>
  <si>
    <t>Secretario de Gobierno Municipal</t>
  </si>
  <si>
    <t>Coordinador Desarrollo Comunitario</t>
  </si>
  <si>
    <t xml:space="preserve">Construccion parques Centros Urbanos </t>
  </si>
  <si>
    <t>Construcción de al menos un Parque en Paraiso y Crucero Bello</t>
  </si>
  <si>
    <t>Cabecera Municipal</t>
  </si>
  <si>
    <t>DIMENSION</t>
  </si>
  <si>
    <t>Gestión del riesgo</t>
  </si>
  <si>
    <t>SECTOR/PROGRAMA /SUBPROGRAMA</t>
  </si>
  <si>
    <t>Incluido salud nacion</t>
  </si>
  <si>
    <t>% Gestión proyectada</t>
  </si>
  <si>
    <t>Coordinacion de Educación Municipal</t>
  </si>
  <si>
    <t>Despacho del Alcalde</t>
  </si>
  <si>
    <t>Secretaria de Gobierno Municipal</t>
  </si>
  <si>
    <t>Coordinación de Desarrollo Comunitario</t>
  </si>
  <si>
    <t>Area Financiera y Contable</t>
  </si>
  <si>
    <t>Oficina de Control Interno</t>
  </si>
  <si>
    <t>Coordinación de Deporte Municipal</t>
  </si>
  <si>
    <t>Coordinacion de Cultura Municipal</t>
  </si>
  <si>
    <t>Coordicación de Salud  Municipal</t>
  </si>
  <si>
    <t>Programa de atención a la adolescencia y juventud</t>
  </si>
  <si>
    <t>Adolescencia y juventud</t>
  </si>
  <si>
    <t>Desarrollar el principio de corresponsabilidad en la protección integral de los derechos de los adolescentes y jóvenes que están en riesgo de incurrir en una conducta punible o han incurrido en esta</t>
  </si>
  <si>
    <t xml:space="preserve">Gestionar mayor acceso de los adolescentes y jóenes a los programas de Presencia de enfermedades evitables y discapacitantes , Embarazos  en adolescentes Enfermedades , Consumo de sustancias Pscicoactivas  en jovenes </t>
  </si>
  <si>
    <t>Conformacion y operatividad Consejo Municipal de Juventud</t>
  </si>
  <si>
    <t>100% conformacion y operatividad</t>
  </si>
  <si>
    <t>AREA FINANCIERA E INSTITUCIONAL CON RESULTADOS</t>
  </si>
  <si>
    <t xml:space="preserve">Mejoramiento de capacidades,  implementacion de tablero de control </t>
  </si>
  <si>
    <t>Consolidadación de un modelo de gestión pública participativa</t>
  </si>
  <si>
    <t>600 hectareas productivas fortalecidas</t>
  </si>
  <si>
    <t>Recuperar la organización comunitaria como herramienta para la toma de decisiones políticas y sociales</t>
  </si>
  <si>
    <t xml:space="preserve">Acceso a conectividad en la administracion municipal </t>
  </si>
  <si>
    <t>Implementar la Estrategia de Gobierno en línea en la alcaldia municipal</t>
  </si>
  <si>
    <t xml:space="preserve">Fomentar el desarrollo tecnológico, de imnovación e investigación </t>
  </si>
  <si>
    <t>Recuperación y el mantenimiento del capital natural  como soporte del crecimiento económico e impulso del desarrollo municipal</t>
  </si>
  <si>
    <t>Gestión eficiente de los recursos del SGP, rendición oportuna y veraz de informes contables, presupuestales y financieros del Mpio</t>
  </si>
  <si>
    <t>Mejorar los servicios de acueducto, alcantarillado y aseo en la cabecera municipal y principales centros poblados</t>
  </si>
  <si>
    <t>Mejorar la infraestructura de los espacios públicos de gran impacto pertenecientes al equipamiento del municipio</t>
  </si>
  <si>
    <t>Mejorar el empleo incrementando las plantaciones productivas en los tres pisos térmicos que posee nuestro municipio en las líneas de cacao, café, caña panelera, plátano, lácteos y frutales</t>
  </si>
  <si>
    <t xml:space="preserve">Fortalecimiento de la infraestructura productiva y su cadena de comercialización, apoyo y desarrollo alternativas industriales de transformación de las materias primas </t>
  </si>
  <si>
    <t>Apoyar el campo como la principal fuente de crecimiento económico y mejoramiento de la capacidad productiva</t>
  </si>
  <si>
    <t>Apoyo a la población vulnerable (mujer, primera infancia, niñez, adolescencia, adulto mayor y población en situación de discapacidad) mediante la implementación de una educación con resultados, calidad en los servicios de salud  y fortalecimiento de la identidad cultural</t>
  </si>
  <si>
    <t>Mejorar la calidad educativa de los sucreños a través del seguimiento y mejoramiento continuo de los programas educativos con enfoque comunitario y con miras hacia la educación superior</t>
  </si>
  <si>
    <t>Política integral de desarrollo y protección social: Gestión y fortalecimiento de programas sociales dirigidos a superar la pobreza extrema en infancia, niñez, adolescencia, jóvenes, mujeres, adultos mayores y personas en situación de discapacidad</t>
  </si>
  <si>
    <t>Buen gobierno participativo, con resultados, con calidad de servicio hacia la comunidad  y recuperando la organización comunitaria como herramienta para la toma de decisiones políticas y sociales</t>
  </si>
  <si>
    <t>Dotar de herramientas institucionales para el mejoramiento del desempeño integral, el mejoramiento de los procesos y la gestion de resultados con visión a largo plazo</t>
  </si>
  <si>
    <t>VALOR ESPERADO AL FINALIZAR</t>
  </si>
  <si>
    <t xml:space="preserve">Mejorar un 5% los Índices de desempeño integral municipal </t>
  </si>
  <si>
    <t>Implementación de al menos cinco (5) proyectos  tendientes al mejoramiento del desempeño fiscal</t>
  </si>
  <si>
    <t>Mejoramiento de procesos</t>
  </si>
  <si>
    <t>Seguimiento de los indicadores del PDM</t>
  </si>
  <si>
    <t>Identificacion y legalización de al menos el 60% de los activos y del municipio y defensa activa en los procesos juridicos</t>
  </si>
  <si>
    <t>Dotación o actualización de al menos cinco (5) programas de sistemas de información</t>
  </si>
  <si>
    <t>Evaluación semestral de los indicadores</t>
  </si>
  <si>
    <t>Evaluación 100% indicadores del PDM</t>
  </si>
  <si>
    <t>Delimitación del 100%  de áreas de especial importancia ecológica, como insumo para los procesos de planificación sectoriales y territoriales</t>
  </si>
  <si>
    <t>Elaboracion PIDERT en conjunto con los municipios para crear región</t>
  </si>
  <si>
    <t>Implementacion programa piloto para el Control de la deforestación y degradación de bosques</t>
  </si>
  <si>
    <t>Implementación de al menos Dos (2) campañas anuales para el ahorro y uso eficiente del agua</t>
  </si>
  <si>
    <t>Plan de Uso Eficiente y Ahorro del Agua (PUEAA)</t>
  </si>
  <si>
    <t>Identificación, priorización y socialización de medidas de adaptación para el cambio climático</t>
  </si>
  <si>
    <t>Elaboración y socialización Plan de Gestión del Riesgo</t>
  </si>
  <si>
    <t>Cumplimiento 70% Plan de Gestión Integral de Residuos Sólidos</t>
  </si>
  <si>
    <t>Protección de la 564 niños</t>
  </si>
  <si>
    <t>Fomento de espacios de convivencia que generen unidad y formacion de publicos en armonia cine al parque</t>
  </si>
  <si>
    <t>PLAN PLURIANUAL DE INVERSIONES</t>
  </si>
  <si>
    <t>Turismo</t>
  </si>
  <si>
    <t>Intervención de asentamientos en riesgo  (Cascadas)</t>
  </si>
  <si>
    <t>'</t>
  </si>
  <si>
    <t>Alternativa economica generada en el municipio</t>
  </si>
  <si>
    <t>Prevención y atención a viviendas afectadas o en situación de riesgo (Cabecera Cascadas y otros en situación de riesgo)</t>
  </si>
  <si>
    <t>Creacion de programa anual de fortalecimiento al turismo</t>
  </si>
  <si>
    <t>100% programa implementado</t>
  </si>
  <si>
    <t>Sucre: Municipio Verde Destino Turistico</t>
  </si>
  <si>
    <t>Alcalde Municipal, Secretaria de Planeacion Municipal. Desarrollo Agropecuario de orden municipal, deptal y nacional, Banco Agrario, Ministerio de Agricultura</t>
  </si>
  <si>
    <t>Apoyo a la población vulnerable (mujer, primera infancia, niñez, adolescencia, adulto mayor y población en situación de discapacidad) mediante la implementación de una educación con resultados, calidad en los servicios de salud  y fortalecimiento de la id</t>
  </si>
  <si>
    <t>SGP AGUA POTABLE Y SANEMIENTO BÁSICO</t>
  </si>
  <si>
    <t>Recuperacion y fortalecimiento de la escuela de formacion artistica - sedes educativas</t>
  </si>
  <si>
    <t>Capacitar y formar a jóvenes deportistas en habilidades y técnicas para el mejor desempeño deportivo</t>
  </si>
  <si>
    <t>4 Procesos de formación mediante capacitaciones legislación deportiva y en habilidades y técnicas para el mejor desempeño deportivo en Apoyo a clubes deportivos y mediante la contratación permanente de instructores deportivos especializados</t>
  </si>
  <si>
    <t>Elaboracion y ejecucion del plan ambiental para la protección de microcuencas y recuperacion de areas amenazadas por el cambio climático amenaza antropica (explotación minera) y de interes ambiental para el municipio</t>
  </si>
  <si>
    <t>Plan de gestión del riesgo (con enfoque comunitario)</t>
  </si>
  <si>
    <t>Adquisición de tierras protectoras de microcuencas y conservacion de terrenos adquiridos</t>
  </si>
  <si>
    <t>20% Plan decenal de cultura formulado</t>
  </si>
  <si>
    <t>Apoyo para la conservacion y la potencializacion de los cultivos existentes y Apoyo para la conservacion y la potencializacion de los cultivos nuevos - Politica seguridad alimentaria nacional PSAN (Planes territoriales ENSAM)</t>
  </si>
  <si>
    <t>Agua para la prosperidad sucreña</t>
  </si>
  <si>
    <t>Mejorar la cobertura y calidad del servicio de electrificación a la población Sucreña</t>
  </si>
  <si>
    <t>Energía para el desarrollo de las Población Sucreña</t>
  </si>
  <si>
    <t>Ampliación de cobertura en el servicio de energía a la población Sucreña</t>
  </si>
  <si>
    <t>Establecer una campañas de sensibilización y motivación del servidor público</t>
  </si>
  <si>
    <t>Reubicación de Instalación y adecuación para el servicio de la seguridad ciudadana en concordancia con el ajuste del EOT</t>
  </si>
  <si>
    <t>Práctica del deporte</t>
  </si>
  <si>
    <t>Asociacion constituida y desactualizada</t>
  </si>
  <si>
    <t>Comisaría de Familia/ Secretaría de Gobierno/ Personería/ Fiscalía/ Juzgado Municipal/ Inspección de Policía/ Policía Municipal.</t>
  </si>
  <si>
    <t>Promover que el 100% de las familias en pobreza extrema conozcan las rutas de atención de los servicios de justicia y accedan a estos de manera oportuna y eficaz.</t>
  </si>
  <si>
    <t>Secretaría de Desarrollo Económico/ Delegado Municipal/ Sector Financiero.</t>
  </si>
  <si>
    <t>Promover la vinculación del 50% de las familias al sistema financiero y generar cultura de ahorro.</t>
  </si>
  <si>
    <t>Lograr que el 80% de las familias aplique pautas de crianza si aplica y genere espacios de diálogo y convivencia familiar.</t>
  </si>
  <si>
    <t>Secretaría de Cultura/ Secretaría de Recreación y Deporte/ Oficina de Participación Comunitaria/ Oficina de infancia, adolescencia y juventud.</t>
  </si>
  <si>
    <t>Lograr que el 50% de las personas UNIDOS participe en los espacios de aprovechamiento del tiempo libre abiertos dentro del municipio.</t>
  </si>
  <si>
    <t>Cogestor Social/ Delegado Municipal/ Comisaría de Familia/ Equipos de atención psicosocial.</t>
  </si>
  <si>
    <t>Reducir los niveles de violencia intrafamiliar y la ocurrencia de hechos relacionados con abuso sexual en las familias UNIDOS.</t>
  </si>
  <si>
    <t>RED UNIDOS</t>
  </si>
  <si>
    <t>Cogestor Social/ Delegado Municipal.</t>
  </si>
  <si>
    <t>Lograr que el 100% de las familias cumpla los logros priorizados en el plan familiar.</t>
  </si>
  <si>
    <t>Oficina de Vivienda Municipal/ Secretaría de Planeación/ Sector Privado/ Secretaría de Asuntos Jurídicos/ Prestadores de servicios públicos domiciliarios.</t>
  </si>
  <si>
    <t>Beneficiar al 80% de las familias en pobreza extrema a través de subsidios de vivienda nueva, mejoramientos, construcción en sitio propio y asesoramiento en titulación de predios, de acuerdo a sus necesidades.</t>
  </si>
  <si>
    <t>Secretaría de Salud/ Secretaría de Desarrollo Agrario/ Secretaría de Desarrollo Económico/ ICA/ CAR/ Centros de investigación Minambiente.</t>
  </si>
  <si>
    <t>Promover que el 80% de las familias en pobreza extrema practiquen hábitos saludables de alimentación y accedan de manera oportuna a los alimentos.</t>
  </si>
  <si>
    <t>Lograr que el 100% de las personas en pobreza extrema accedan a los programas de prevención y promoción de la salud.</t>
  </si>
  <si>
    <t>Vincular al 100% de las personas en pobreza extrema al Sistema de Seguridad Social en Salud.</t>
  </si>
  <si>
    <t>Comisaría de Familia/ Secretaría de Educación.</t>
  </si>
  <si>
    <t>Ningún niño o niña menor de 15 años vinculado a actividades laborales.</t>
  </si>
  <si>
    <t>Secretaría de Educación.</t>
  </si>
  <si>
    <t>Lograr que el 80% de las personas que lo desean continúen su preparación profesional.</t>
  </si>
  <si>
    <t>Secretaría de Educación/ Delegado Municipal.</t>
  </si>
  <si>
    <t>Lograr que 100% de los niños, niñas, adolescentes y jóvenes accedan al ciclo básico de educación, incluida la población en discapacidad y que los adultos estén alfabetizados.</t>
  </si>
  <si>
    <t>Secretaría de Educación/ Delegado Municipal/ ICBF.</t>
  </si>
  <si>
    <t>Garantizar que el 100% de los niños y niñas menores de 5 años acceden a algún programa de atención integral en cuidado, nutrición y educación inicial.</t>
  </si>
  <si>
    <t>Delegado Municipal/ Secretaría de Educación Municipal/ Secretaría de Desarrollo Económico/ Secretaría de Desarrollo Agrario/ Sector Privado.</t>
  </si>
  <si>
    <t>Delegado Municipal/ Secretaría de Salud y Bienestar Social o responsable del programa Adulto Mayor/ Ministerio de la Protección Social.</t>
  </si>
  <si>
    <t>Delegado Municipal/ Registraduría Municipal/ Ministerio de Defensa/ Agencia Nacional para la Superación de la Pobreza Extrema/ Oficina Municipal del Sisbén.</t>
  </si>
  <si>
    <t>Lograr que el 100% de las familias en pobreza extrema tengan sus documentos de identidad, los hombres tengan libreta militar y la familia esté registrada en la base de datos del Sisbén.</t>
  </si>
  <si>
    <t>Todos Identificados</t>
  </si>
  <si>
    <t>LINEA BASE</t>
  </si>
  <si>
    <t>PROYECTOS ESTRATEGICOS</t>
  </si>
  <si>
    <t>RESPONSABLES</t>
  </si>
  <si>
    <t>METAS DE PRODUCTO</t>
  </si>
  <si>
    <t>SUBPROGRAMA</t>
  </si>
  <si>
    <t>META DE RESULTADO</t>
  </si>
  <si>
    <t>PROGRAMA</t>
  </si>
  <si>
    <t>OBJETIVO SECTORIAL</t>
  </si>
  <si>
    <t>SECTOR</t>
  </si>
  <si>
    <t>OBJETIVO ESTRATEGICO</t>
  </si>
  <si>
    <t>DIMENSIÓN</t>
  </si>
  <si>
    <t>CONSTRUIDA URBANO REGIONAL</t>
  </si>
  <si>
    <t>AGUA POTABLE Y SANEAMIENTO BASICO</t>
  </si>
  <si>
    <t>Saneamiento básico (Implementación de programas de suministro e instalación de baterías sanitarias con sistema de tratamiento de aguas residuales domésticas)</t>
  </si>
  <si>
    <t>Adquisición de áreas para la conservación de microcuencas abastecederas de sistemas de abastecimiento de agua potable</t>
  </si>
  <si>
    <t>Optimizar las condiciones de la infraestructura para la población urbana y rural</t>
  </si>
  <si>
    <t>Programas de reforestación en áreas pertenecientes a microcuencas e implementación de programas de conservación del medio ambiente</t>
  </si>
  <si>
    <t>VÍAS</t>
  </si>
  <si>
    <t>VIVIENDA</t>
  </si>
  <si>
    <t>ELECTRIFICACIÓN</t>
  </si>
  <si>
    <t>EQUIPAMIENTO MUNICIPAL</t>
  </si>
  <si>
    <t>Mejoramiento y mantenimiento de vías y caminos rurales</t>
  </si>
  <si>
    <t>Elaboración de proyectos para la construcción, mejoramiento y mantenimiento de la infraestructura vial</t>
  </si>
  <si>
    <t>Vivienda y habitabilidad</t>
  </si>
  <si>
    <t>Fortalecimiento de la oferta y demanda de vivienda</t>
  </si>
  <si>
    <t>Gestión de suelo para VIS</t>
  </si>
  <si>
    <t>Ampliación de redes eléctricas</t>
  </si>
  <si>
    <t>Alumbrado público</t>
  </si>
  <si>
    <t>Matadero Municipal</t>
  </si>
  <si>
    <t>COSO Municipal</t>
  </si>
  <si>
    <t>Morgue</t>
  </si>
  <si>
    <t>Parque Plaza</t>
  </si>
  <si>
    <t>Infraestructura para el servicio a la comunidad</t>
  </si>
  <si>
    <t>ECONOMICO PRODUCTIVA</t>
  </si>
  <si>
    <t>AGRICULTURA Y DESARROLLO RURAL</t>
  </si>
  <si>
    <t>Uso eficiente del recurso hídrico</t>
  </si>
  <si>
    <t>Mayor acceso a asistencia técnica integral</t>
  </si>
  <si>
    <t>Proyectos productivos asociativos</t>
  </si>
  <si>
    <t>Protocolos sanitarios para facilitar el acceso de productos  agropecuarios a los mercados</t>
  </si>
  <si>
    <t>Familias con prácticas de autoconsumo</t>
  </si>
  <si>
    <t>Adecuar la institucionalidad para el desarrollo rural</t>
  </si>
  <si>
    <t>Institucionalidad para el desarrollo rural</t>
  </si>
  <si>
    <t>Biodiversidad y sus servicios ecosistémicos</t>
  </si>
  <si>
    <t>Gestión Integral del Recurso Hídrico</t>
  </si>
  <si>
    <t>CULTURA</t>
  </si>
  <si>
    <t>Mejoramiento de la calidad de agua para el consumo</t>
  </si>
  <si>
    <t>Fortalecimiento de la prestacion de los servicios publicos</t>
  </si>
  <si>
    <t xml:space="preserve">Fortalecimiento del plan de gestión integral de residuos sólidos </t>
  </si>
  <si>
    <t>Cambio climático, adaptación y oportunidad para el desarrollo</t>
  </si>
  <si>
    <t>POLÍTICO INSTITUCIONAL</t>
  </si>
  <si>
    <t>Formulación  e implementación de  la estrategia de corresponsabilidad social en la lucha contra incendios forestales</t>
  </si>
  <si>
    <t>Gestión del riesgo de desastre</t>
  </si>
  <si>
    <t>Manejo de desastres de baja y mediana intensidad (inundaciones y deslizamientos, entre otros)</t>
  </si>
  <si>
    <t>Gestión de activos</t>
  </si>
  <si>
    <t>Gestión jurídica pública</t>
  </si>
  <si>
    <t>Servicio al ciudadano</t>
  </si>
  <si>
    <t>Participación ciudadana y capital social</t>
  </si>
  <si>
    <t>Fortalecimiento de la Institucionalidad para la Democracia.</t>
  </si>
  <si>
    <t>SALUD</t>
  </si>
  <si>
    <t>Reactivar el servicio en los puestos de salud rurales y activar presencia de grupo extramural</t>
  </si>
  <si>
    <t>Transporte escolar</t>
  </si>
  <si>
    <t>Alimentación escolar</t>
  </si>
  <si>
    <t>Gratuidad educativa</t>
  </si>
  <si>
    <t>Convenio con el SENA</t>
  </si>
  <si>
    <t>36,4% niños 15-16 años</t>
  </si>
  <si>
    <t>74,7% niños 11-14 años</t>
  </si>
  <si>
    <t>98,3% Niños 6-10 años</t>
  </si>
  <si>
    <t>43 BAJO</t>
  </si>
  <si>
    <t>DEPORTE</t>
  </si>
  <si>
    <t xml:space="preserve">	Formación de escuela deportiva_x000D_
</t>
  </si>
  <si>
    <t>Población total DNP</t>
  </si>
  <si>
    <t>Población cabecera</t>
  </si>
  <si>
    <t xml:space="preserve">Población resto </t>
  </si>
  <si>
    <t>% hombres</t>
  </si>
  <si>
    <t>% mujeres</t>
  </si>
  <si>
    <t>Densidad de población (hab/km2)</t>
  </si>
  <si>
    <t>Población con NBI (2005)</t>
  </si>
  <si>
    <t>NBI Vivienda (2005)</t>
  </si>
  <si>
    <t>NBI Hacinamiento (2005)</t>
  </si>
  <si>
    <t>NBI Inasistencia escolar (2005)</t>
  </si>
  <si>
    <t>NBI Dependencia económica (2005)</t>
  </si>
  <si>
    <t>NBI Cabecera Municipal (2005)</t>
  </si>
  <si>
    <t>NBI Resto (2005)</t>
  </si>
  <si>
    <t>Población SISBEN (Febrero 2011)</t>
  </si>
  <si>
    <t>Familias en pobreza extrema vinculadas a UNIDOS 2011</t>
  </si>
  <si>
    <t>NBI Servicios públicos (2005)</t>
  </si>
  <si>
    <t>POBREZA</t>
  </si>
  <si>
    <t>DESPLAZADOS</t>
  </si>
  <si>
    <t>Población recibida acumulada (Dic 31 de 2010)</t>
  </si>
  <si>
    <t>Población expulsada acumulada (Dic 31 de 2010)</t>
  </si>
  <si>
    <t>135 Has</t>
  </si>
  <si>
    <t>Fortalecimiento Plan Local de Emergencias y Contingencias</t>
  </si>
  <si>
    <t>Capacitación 100% JAC y gremios del sector productivo</t>
  </si>
  <si>
    <t>Identificación áreas de importancia  ecológica en el municipio</t>
  </si>
  <si>
    <t>30 Has adquiridas</t>
  </si>
  <si>
    <t>Conformación grupos ecológicos permanentes en los diferentes corregimientos del municipio</t>
  </si>
  <si>
    <t>9 grupos coformados</t>
  </si>
  <si>
    <t>Definición e implementacion de alternativas eficientes para la disminución de consumo de bosque natural</t>
  </si>
  <si>
    <t>50 familias cambian su fuente de energía</t>
  </si>
  <si>
    <t>Ahorro en un 15% del consumo de agua</t>
  </si>
  <si>
    <t>Formulación y ejecución 10% plan</t>
  </si>
  <si>
    <t>Formulación programa de equipamiento para la atención de la emergencia</t>
  </si>
  <si>
    <t>Apoyo para la conservacion y la potencializacion de los cultivos existentes</t>
  </si>
  <si>
    <t>Aprovechamiento del terreno y fortalecimiento de productores nuevos</t>
  </si>
  <si>
    <t>Caracterización de Bancos de Germoplasma</t>
  </si>
  <si>
    <t>1200 familias atendidas</t>
  </si>
  <si>
    <t>100 familias con usos controlado del agua</t>
  </si>
  <si>
    <t>Al menos dos especies diferentes</t>
  </si>
  <si>
    <t>Al menos tres gremios operando</t>
  </si>
  <si>
    <t>Mejoramiento de las relaciones comerciales con centros comerciales de cadena en otras localidades</t>
  </si>
  <si>
    <t>Al menos dos cadenas comerciales con registro INVIMA</t>
  </si>
  <si>
    <t>Dos productos sucreños posicionados en el mercado externo</t>
  </si>
  <si>
    <t>Al menos 200 nuevos propietarios</t>
  </si>
  <si>
    <t>Mayor acceso a la tierra por parte de la población rural pobre (Unidos) Política Integral de Tierra - Sucre un municipio de propietarios</t>
  </si>
  <si>
    <t>Proceso de restitución culminados a  las víctimas</t>
  </si>
  <si>
    <t>Restitución al 20% de las víctimas</t>
  </si>
  <si>
    <t>200 familias capacitadas</t>
  </si>
  <si>
    <t>Equipo interdisciplinario de apoyo al productor</t>
  </si>
  <si>
    <t>Integral</t>
  </si>
  <si>
    <t>Institucional</t>
  </si>
  <si>
    <t>Hogares ICBF</t>
  </si>
  <si>
    <t>Integrales</t>
  </si>
  <si>
    <t>No Integral</t>
  </si>
  <si>
    <t>100% de los niños de 0-5 años incluidos en el programa</t>
  </si>
  <si>
    <t>Tipo de Atención</t>
  </si>
  <si>
    <t>Medio de Atención</t>
  </si>
  <si>
    <t xml:space="preserve">Modalidad </t>
  </si>
  <si>
    <t xml:space="preserve">Población </t>
  </si>
  <si>
    <t>% Población</t>
  </si>
  <si>
    <t xml:space="preserve">(Entorno) </t>
  </si>
  <si>
    <t xml:space="preserve">PAIPI Institucional </t>
  </si>
  <si>
    <t xml:space="preserve">Comunitario </t>
  </si>
  <si>
    <t xml:space="preserve">PAIPI Comunitario </t>
  </si>
  <si>
    <t xml:space="preserve">Familiar </t>
  </si>
  <si>
    <t xml:space="preserve">PAIPI Familiar </t>
  </si>
  <si>
    <t>Proyectos Especiales MEN (Ludotecas Naves)*</t>
  </si>
  <si>
    <t xml:space="preserve">Total atención integral </t>
  </si>
  <si>
    <t xml:space="preserve">HCB FAMI </t>
  </si>
  <si>
    <t xml:space="preserve">Hogares ICBF no Integrales </t>
  </si>
  <si>
    <t xml:space="preserve">Total atención no integral </t>
  </si>
  <si>
    <t xml:space="preserve">Total población atendida </t>
  </si>
  <si>
    <t xml:space="preserve">Población por atender </t>
  </si>
  <si>
    <t xml:space="preserve">Población vulnerable 0 - 4 años </t>
  </si>
  <si>
    <t xml:space="preserve">Población de 5 años Vulnerable </t>
  </si>
  <si>
    <t xml:space="preserve">Atención No Integral Transición </t>
  </si>
  <si>
    <t xml:space="preserve">Por atender en Transición </t>
  </si>
  <si>
    <t xml:space="preserve">Total población vulnerable 0 a 5 años </t>
  </si>
  <si>
    <t xml:space="preserve">Indicador </t>
  </si>
  <si>
    <t>Meta 2015</t>
  </si>
  <si>
    <t xml:space="preserve">Línea de Base (2011) </t>
  </si>
  <si>
    <t>Número de niños que reciben atención integral</t>
  </si>
  <si>
    <t>Número de infraestructuras especializadas, construidas para la educación inicial</t>
  </si>
  <si>
    <t>Número de Planes de Atención integral a la primera infancia de entidades territoriales certificadas,implementados y evaluados</t>
  </si>
  <si>
    <t>Reducir el porcentaje de niños menores de 5 años con desnutrición global (peso para la edad)</t>
  </si>
  <si>
    <t>Reducir el porcentaje de niños menores de 5 años con desnutrición crónica (retraso en talla)</t>
  </si>
  <si>
    <t>Prevalencia de anemia en niños y niñas menores de 5 años y mujeres de 13 a 49 años en las áreas urbano y rural.</t>
  </si>
  <si>
    <t>Duración de la lactancia materna exclusiva</t>
  </si>
  <si>
    <t>Porcentaje de casos de transmisión materno -infantil del VIH</t>
  </si>
  <si>
    <t>Comisión intersectorial de Primera infancia creada mediante Decreto y operando</t>
  </si>
  <si>
    <t>Sistema de Aseguramiento de la Calidad de AIPI desarrollado y operando</t>
  </si>
  <si>
    <t>Sistema de seguimiento y evaluación diseñado e implementado</t>
  </si>
  <si>
    <t>Analfabetismo y Años Aprobados de Educación: El stock de capital humano de la población</t>
  </si>
  <si>
    <t>Cobertura: Mayores oportunidades educativas en todos los niveles de formación</t>
  </si>
  <si>
    <t>Indicadores sistema de evaluación educación preescolar básica y media</t>
  </si>
  <si>
    <t>Desempeño (Calidad Educativa - SABER 11)</t>
  </si>
  <si>
    <t>Porcentaje de estudiantes con bajo (Competencia Interpretativa - C1) / 2 34.85% 17%desempeño en Lenguaje</t>
  </si>
  <si>
    <t>Porcentaje de estudiantes con alto desempeño en lenguaje Competencia Propositiva - C3) / 1</t>
  </si>
  <si>
    <t xml:space="preserve">Porcentaje de estudiantes con alto desempeño en matemáticas (Competencia Solución de problemas - C3) / 3 </t>
  </si>
  <si>
    <t>Porcentaje de estudiantes con bajo desempeño en matemáticas (Competencia Comunicación - C1) / 4 18.26% 9%</t>
  </si>
  <si>
    <t>Porcentaje de estudiantes de educativos oficiales ubicados en el nivel deestablecimientosd esempeño insuficiente Pruebas SABER</t>
  </si>
  <si>
    <t xml:space="preserve">Ciencias 5° </t>
  </si>
  <si>
    <t xml:space="preserve">Matemáticas 5° </t>
  </si>
  <si>
    <t xml:space="preserve">Lenguaje 5° </t>
  </si>
  <si>
    <t>LINEA BASE 2011</t>
  </si>
  <si>
    <t>Lenguaje 9°</t>
  </si>
  <si>
    <t xml:space="preserve">Ciencias 9° </t>
  </si>
  <si>
    <t>Matemáticas 9°</t>
  </si>
  <si>
    <t xml:space="preserve">Lenguaje 9° </t>
  </si>
  <si>
    <t>Porcentaje de estudiantes de establecimientos educativos oficiales de las zonas rurales ubicados en el nivel de desempeño insuficiente Pruebas SABER</t>
  </si>
  <si>
    <t xml:space="preserve">Matemáticas 9° </t>
  </si>
  <si>
    <t>Notas aclaratorias:</t>
  </si>
  <si>
    <t>1/ En Lenguaje: Competencia Interpretativa C1: Nivel de competencia de menor complejidad</t>
  </si>
  <si>
    <t>2/ En Lenguaje: Competencia Propositiva C3: Nivel de competencia de mayor complejidad</t>
  </si>
  <si>
    <t>3/ En Matemáticas: Competencia Comunicación C1: Nivel de competencia de menor complejidad</t>
  </si>
  <si>
    <t>4/ En Matemáticas: Competencia Solución de Problemas C3: Nivel de competencia de mayor complejidad</t>
  </si>
  <si>
    <t>Años Promedio Aprobados de Educación Población de 15 a 24 9.15 9.8</t>
  </si>
  <si>
    <t>Tasa de Cobertura Bruta</t>
  </si>
  <si>
    <t>Nuevos cupos en educación superior</t>
  </si>
  <si>
    <t>Nuevos Cupos en Educación Técnica y Tecnológica</t>
  </si>
  <si>
    <t>Generar las oportunidades de acceso y permanencia para cerrar las brechas regionales en todos los ciclos de formación.</t>
  </si>
  <si>
    <t>Tasa de Analfabetismo Población de 15 a 24 Años</t>
  </si>
  <si>
    <t xml:space="preserve">Tasa de analfabetismo (mayores de 15 años) </t>
  </si>
  <si>
    <t xml:space="preserve">Transición </t>
  </si>
  <si>
    <t xml:space="preserve">Media </t>
  </si>
  <si>
    <t>INDICADOR</t>
  </si>
  <si>
    <t xml:space="preserve">Brecha en Cobertura Neta de Media a Transición (Urbano - Rural) </t>
  </si>
  <si>
    <t xml:space="preserve">Tasa de Deserción Intra-anual en preescolar, Básica y media </t>
  </si>
  <si>
    <t xml:space="preserve">Tasa de Cobertura Bruta en Educación Superior </t>
  </si>
  <si>
    <t>2008-2011</t>
  </si>
  <si>
    <t>2012-2015</t>
  </si>
  <si>
    <t xml:space="preserve">Tasa de Deserción por Cohorte en Educación Superior </t>
  </si>
  <si>
    <t xml:space="preserve">Participación de la técnica y tecnológica en el total de la matricula de educación superior </t>
  </si>
  <si>
    <t>Porcentaje de municipios con oferta de educación superior</t>
  </si>
  <si>
    <t xml:space="preserve">Estudiantes de educación superior con apoyo financiero del estado </t>
  </si>
  <si>
    <t>Porcentaje de estudiantes de educación superior financiados con créditos ICETEX</t>
  </si>
  <si>
    <t>Acceso y calidad en salud: universal y sostenible</t>
  </si>
  <si>
    <t>Promover el bienestar y una vida saludable, basada en la promoción de la salud
y la prevención de la enfermedad</t>
  </si>
  <si>
    <t>Brindar atención oportuna y de calidad a los usuarios del SGSSS</t>
  </si>
  <si>
    <t>Razón de Mortalidad materna</t>
  </si>
  <si>
    <t>Cobertura de tratamiento antirretroviral</t>
  </si>
  <si>
    <t>Indicador</t>
  </si>
  <si>
    <t xml:space="preserve"> Línea Base </t>
  </si>
  <si>
    <t xml:space="preserve">Tasa de Mortalidad infantil ajustada </t>
  </si>
  <si>
    <t xml:space="preserve">Tasa de Mortalidad en la niñez ajustada </t>
  </si>
  <si>
    <t>Cobertura de vacunación en niños y niñas de 1 año</t>
  </si>
  <si>
    <t>Triple Viral:</t>
  </si>
  <si>
    <t>Prevalencia de infección por VIH</t>
  </si>
  <si>
    <t xml:space="preserve">Tasa ajustada por edad de mortalidad por cáncer de cuello uterino </t>
  </si>
  <si>
    <t>Oportunidad en la detección de Cáncer de Cuello Uterino (% de casos de cáncer de cuello uterino detectados in situ)</t>
  </si>
  <si>
    <t>Prevalencia de Enfermedad Renal crónica estadio 5</t>
  </si>
  <si>
    <t>Proporción de pacientes que se mantienen sin enfermedad renal o en estadio temprano (estadio 1 y 2) a pesar de tener enfermedades precursoras</t>
  </si>
  <si>
    <t>Porcentaje de captación en los servicios de salud de los pacientes existentes con HTA en la poblacion BDUA</t>
  </si>
  <si>
    <t>Porcentaje de la población que percibe como bueno su estado de salud</t>
  </si>
  <si>
    <t>Porcentaje de pacientes hipertensos controlados</t>
  </si>
  <si>
    <t>Metas de resultado en el estado de salud de la población – Seguimiento quinquenal o mayor</t>
  </si>
  <si>
    <t>Línea Base</t>
  </si>
  <si>
    <t>Cobertura de citología cervicouterina en mujeres de 25 a 69 años.</t>
  </si>
  <si>
    <t>Metas de gestión en el sector salud</t>
  </si>
  <si>
    <t>Afiliados al Régimen Contributivo</t>
  </si>
  <si>
    <t xml:space="preserve"> Meta 2015</t>
  </si>
  <si>
    <t>Cobertura del Régimen Subsidiado</t>
  </si>
  <si>
    <t>Porcentaje de niños y niñas menores de cinco años con el esquema completo de vacunación</t>
  </si>
  <si>
    <t>Inscripción de las personas con discapacidad en el Registro Nacional de Discapacidad actualizado, ampliado, y funcionado.</t>
  </si>
  <si>
    <t>Porcentaje de satisfación global del usuario</t>
  </si>
  <si>
    <t>Prevalencia de consumo de tabaco en escolares de 13 a 15 años</t>
  </si>
  <si>
    <t>Edad promedio de inicio del consumo de tabaco</t>
  </si>
  <si>
    <t>Prevalencia de consumo de alcohol en el último año (en población de 12 a 65 años)</t>
  </si>
  <si>
    <t>Edad promedio de inicio de consumo de alcohol en escolares de 12 a 17 años</t>
  </si>
  <si>
    <t>Frecuencia de uso de servicios de salud por problemas y trastornos en salud mental</t>
  </si>
  <si>
    <t>Frecuencia de uso de servicios de salud por consumo de sustancias</t>
  </si>
  <si>
    <t>Porcentaje de población general que no consume frutas</t>
  </si>
  <si>
    <t>Porcentaje de población general que no consume verduras</t>
  </si>
  <si>
    <t>Porcentaje de adultos de 18 – 64 años que cumplen un patrón regular de actividad física en tiempo libre</t>
  </si>
  <si>
    <t>Prevalencia de exceso de peso (Sobrepeso y Obesidad) en población entre 18 y 64 años</t>
  </si>
  <si>
    <t>Guías de Atención Integral y protocolos para las enfermedades de interés en salud pública</t>
  </si>
  <si>
    <t>Fomento de la recreación, la educación física, la actividad física y el deporte escolar y social comunitario para desarrollar entornos de convivencia y paz</t>
  </si>
  <si>
    <t>Porcentaje de personas en situación de vulnerabilidad beneficiadas con programas de actividad física y recreativa</t>
  </si>
  <si>
    <t>Porcentaje de veredas. implementando competencias deportivas en diferentes disciplinas</t>
  </si>
  <si>
    <t>PROMOCION SOCIAL</t>
  </si>
  <si>
    <t>Nombre programa</t>
  </si>
  <si>
    <t>Universo por edad</t>
  </si>
  <si>
    <t>Adulto mayor fondo de solidaridad pensional Subcuenta de solidaridad PPSAM</t>
  </si>
  <si>
    <t>Programa Nacional de Alimentación para el Adulto Mayor Juan Luis Londoño Desplazados</t>
  </si>
  <si>
    <t xml:space="preserve">Vivienda de interés social </t>
  </si>
  <si>
    <t xml:space="preserve">Familias en acción </t>
  </si>
  <si>
    <t xml:space="preserve">Familias guardabosques </t>
  </si>
  <si>
    <t>Jóvenes rurales</t>
  </si>
  <si>
    <t>Jóvenes en acción</t>
  </si>
  <si>
    <t>Formación para población Desplazada</t>
  </si>
  <si>
    <t xml:space="preserve">Subsidio Económico para el adulto mayor </t>
  </si>
  <si>
    <t>Subsidio Integral para la conformación de empresas básicas agropecuarias atención desplazados</t>
  </si>
  <si>
    <t xml:space="preserve">Titulación de Baldíos a nivel nacional </t>
  </si>
  <si>
    <t xml:space="preserve">Generación de Ingresos Vulnerables </t>
  </si>
  <si>
    <t xml:space="preserve">Red de Seguridad Alimentaria ReSA </t>
  </si>
  <si>
    <t>Formación complementaria</t>
  </si>
  <si>
    <t>Formación Titulada</t>
  </si>
  <si>
    <t xml:space="preserve">Oportunidades rurales Servicios técnicos </t>
  </si>
  <si>
    <t xml:space="preserve">Alianzas Productivas </t>
  </si>
  <si>
    <t xml:space="preserve">Subsidio de Vivienda Rural </t>
  </si>
  <si>
    <t>Servicio Público de Empleo</t>
  </si>
  <si>
    <t xml:space="preserve">Matrícula del Sector Oficial </t>
  </si>
  <si>
    <t xml:space="preserve">Subsidio a la Matrícula </t>
  </si>
  <si>
    <t>Incentivo</t>
  </si>
  <si>
    <t xml:space="preserve">Mujer Cabeza de Familia Microempresaria </t>
  </si>
  <si>
    <t>Hábitat y vivienda</t>
  </si>
  <si>
    <t xml:space="preserve">Proyectos Productivos ADAM </t>
  </si>
  <si>
    <t>Proyectos Productivos MIDAS</t>
  </si>
  <si>
    <t xml:space="preserve">Programas de Paz y Desarrollo </t>
  </si>
  <si>
    <t xml:space="preserve">Generación de Ingresos para Población Desplazada </t>
  </si>
  <si>
    <t xml:space="preserve">Laboratorios de Paz </t>
  </si>
  <si>
    <t xml:space="preserve">Conciliación en Derecho </t>
  </si>
  <si>
    <t xml:space="preserve">Registro para la localización de personas con discapacidad </t>
  </si>
  <si>
    <t xml:space="preserve">Registro de población Desplazada </t>
  </si>
  <si>
    <t xml:space="preserve">Matricula Privada </t>
  </si>
  <si>
    <t xml:space="preserve">Iniciativas de inclusión social con enfoque psicosocial ISEP </t>
  </si>
  <si>
    <t>Desarraigado</t>
  </si>
  <si>
    <t xml:space="preserve">Materno Infantil </t>
  </si>
  <si>
    <t xml:space="preserve">Hogar Comunitario FAMI </t>
  </si>
  <si>
    <t xml:space="preserve">Medio Tiempo </t>
  </si>
  <si>
    <t>Múltiples tiempo completo</t>
  </si>
  <si>
    <t xml:space="preserve">Múltiple medio tiempo </t>
  </si>
  <si>
    <t xml:space="preserve">Grupales tiempo completo </t>
  </si>
  <si>
    <t xml:space="preserve">Grupal Medio tiempo </t>
  </si>
  <si>
    <t>Hogares Comunitarios de Bienestar Empresariales</t>
  </si>
  <si>
    <t xml:space="preserve">Hogares Comunitarios de Bienestar Empresariales </t>
  </si>
  <si>
    <t xml:space="preserve">Hogares Infantiles </t>
  </si>
  <si>
    <t xml:space="preserve">Lactantes y Preescolares </t>
  </si>
  <si>
    <t xml:space="preserve">Jardines Comunitarios </t>
  </si>
  <si>
    <t>Desayunos Infantiles Tipo I</t>
  </si>
  <si>
    <t>Clubes Juveniles y Prejuveniles</t>
  </si>
  <si>
    <t xml:space="preserve">Almuerzos </t>
  </si>
  <si>
    <t>Desayunos</t>
  </si>
  <si>
    <t xml:space="preserve">Programa Nacional de Alimentación para el Adulto Mayor Juan Luis Londoño </t>
  </si>
  <si>
    <t xml:space="preserve">Raciones alimentarias de emergencia </t>
  </si>
  <si>
    <t>Hogares sustitutos para niñez en situación de peligro o abandono</t>
  </si>
  <si>
    <t>Subsidios condicionados en Nutrición</t>
  </si>
  <si>
    <t>Atención en unidades móviles</t>
  </si>
  <si>
    <t>Fortalecimiento al componente pedagógico y la atención integral a la primera infancia</t>
  </si>
  <si>
    <t xml:space="preserve">Vivienda con Bienestar </t>
  </si>
  <si>
    <t xml:space="preserve">Leche para todos </t>
  </si>
  <si>
    <t>Tradicionales Empresariales tiempo completo</t>
  </si>
  <si>
    <t>Familiar Medio tiempo</t>
  </si>
  <si>
    <t>Familiar tiempo Completo</t>
  </si>
  <si>
    <t>Familiar Jornada Alterna</t>
  </si>
  <si>
    <t>TOTAL ATENDIDOS</t>
  </si>
  <si>
    <t>Aumentar la cobertura bruta en educación  básica (preescolar, básica primaria, básica secundaria)</t>
  </si>
  <si>
    <t xml:space="preserve">Fortalecimiento del desarrollo de las competencias  </t>
  </si>
  <si>
    <t>Universalización del aseguramiento.</t>
  </si>
  <si>
    <t>Gestionar y supervisar el acceso a la prestación de servicios de salud con calidad a la población de su municipio.</t>
  </si>
  <si>
    <t>Impulsar la lectura y la escritura y facilitar la circulación y acceso a la información y el conocimiento.</t>
  </si>
  <si>
    <t>Contribuir al desarrollo integral de los niños de 0 a 6 años promoviendo el ejercicio de los derechos culturales, a través de los lenguajes expresivos y estéticos</t>
  </si>
  <si>
    <t>Fomentar los procesos de formación artística y de creación cultural</t>
  </si>
  <si>
    <t>Fortalecer la apropiación social del Patrimonio Cultural</t>
  </si>
  <si>
    <t>Fortalecer  el Sistema Municipal de Cultura</t>
  </si>
  <si>
    <t>Aumentar el porcentaje de personas que practican alguna actividad deportiva</t>
  </si>
  <si>
    <t>Incrementar la participación de jóvenes en actividades deportivas</t>
  </si>
  <si>
    <t>Reducir el déficit cualitativo de vivienda durante el cuatrienio</t>
  </si>
  <si>
    <t>Aumentar las acciones para la reubicación de asentamientos localizados en zonas de alto riesgo</t>
  </si>
  <si>
    <t xml:space="preserve">Mejorar la accesibilidad del  transporte </t>
  </si>
  <si>
    <t>Mejorar la seguridad vial</t>
  </si>
  <si>
    <t>Ampliar y/o mantener la infraestructura de física de las dependencias administrativas del municipio y bienes de uso público de propiedad del municipio</t>
  </si>
  <si>
    <t>Mejorar la calidad educativa</t>
  </si>
  <si>
    <t>Plan educativo comunitario</t>
  </si>
  <si>
    <t xml:space="preserve">Diseñado </t>
  </si>
  <si>
    <t>Calidad del agua para consumo humano</t>
  </si>
  <si>
    <t xml:space="preserve">Incrementar la competitividad de la producción agropecuaria </t>
  </si>
  <si>
    <t>ECONOMICO</t>
  </si>
  <si>
    <t xml:space="preserve">Reducir el desempleo </t>
  </si>
  <si>
    <t>Promover el emprendimiento empresarial</t>
  </si>
  <si>
    <t>Proteger a los ciudadanos en su vida, integridad, libertad y patrimonio económico, por medio de la reducción y sanción del delito, el temor a la violencia y la promoción de la convivencia.</t>
  </si>
  <si>
    <t>SEGURIDAD CIUDADANA</t>
  </si>
  <si>
    <t>Brindar mayor acceso a la justicia</t>
  </si>
  <si>
    <t>JUSTICIA</t>
  </si>
  <si>
    <t>DESARROLLO COMUNITARIO</t>
  </si>
  <si>
    <t xml:space="preserve">Promover la rendición de cuentas </t>
  </si>
  <si>
    <t>Fortalecer una gestión pública orientada a resultados</t>
  </si>
  <si>
    <t>Consolidar el Sistema de Servicio al Ciudadano</t>
  </si>
  <si>
    <t>Fortalecer los sistemas de información</t>
  </si>
  <si>
    <t>Mejorar el control y la calidad de la entidad  territorial</t>
  </si>
  <si>
    <t>Promover y construir de manera colectiva visiones de desarrollo territorial de largo plazo</t>
  </si>
  <si>
    <t>Prevenir el reclutamiento y  utilización de niños, niñas y adolescentes por parte de los grupos armados organizados al margen de la ley  y de otros grupos delictivos organizados</t>
  </si>
  <si>
    <t>Lograr la igualdad de género y autonomía de la mujer</t>
  </si>
  <si>
    <t>MUJER Y EQUIDAD DE GÉNERO</t>
  </si>
  <si>
    <t>Implementar acciones para la recuperación y protección de áreas degradadas</t>
  </si>
  <si>
    <t xml:space="preserve">Aumentar el área de bosques reforestados  en cuencas abastecedoras de agua </t>
  </si>
  <si>
    <t>Garantizar la sostenibilidad del recurso, a través de la asignación y uso eficiente, articulados al ordenamiento y uso del territorio y a la conservación de los ecosistemas que regulan la oferta hídrica, considerando el agua como factor de desarrollo económico y de bienestar social.</t>
  </si>
  <si>
    <t>Contribuir a la seguridad, el bienestar, la calidad de vida de las personas y al desarrollo sostenible a través del control y la reducción del riesgo de desastres</t>
  </si>
  <si>
    <t>Contribuir a la sostenibilidad del desarrollo a través de la reducción del impacto del cambio climático en la población y su entorno</t>
  </si>
  <si>
    <t>ATENCION A LA POBLACION VULNERABLE</t>
  </si>
  <si>
    <t>Incrementar los ingresos percápita en un 20%</t>
  </si>
  <si>
    <t>Has</t>
  </si>
  <si>
    <t>Ton</t>
  </si>
  <si>
    <t>mes</t>
  </si>
  <si>
    <t>personas</t>
  </si>
  <si>
    <t>$/mes</t>
  </si>
  <si>
    <t>$</t>
  </si>
  <si>
    <t>Ton/Ha</t>
  </si>
  <si>
    <t>$83.500/mes</t>
  </si>
  <si>
    <t>incremento de Ingreso per capita</t>
  </si>
  <si>
    <t>Educación con resultados</t>
  </si>
  <si>
    <t>Mejoramiento y/o construccion de infraestructura productiva de café, plátano, cacao, frutales y lácteos</t>
  </si>
  <si>
    <t>Implementación y cumplimiento de los mínimos de calidad de agua: PSMV, PUEAA y concesión de aguas</t>
  </si>
  <si>
    <t>3 trapiches paneleros, 10 silos de secado de café, 1 planta procesadora de lácteos</t>
  </si>
  <si>
    <t>1 silo de secado</t>
  </si>
  <si>
    <t>Articulación con los municipios vecinos identificados en los lineamientos de áreas de desarrollo rural</t>
  </si>
  <si>
    <t>Programa Integral de Desarrollo Rural con Enfoque Teritorial –PIDERT</t>
  </si>
  <si>
    <t>87% COBERTURA AGUA</t>
  </si>
  <si>
    <t>20,7% COBERTURA AGUA POTABLE</t>
  </si>
  <si>
    <t>100% COBERTURA</t>
  </si>
  <si>
    <t>Gestión Integral de residuos sólidos</t>
  </si>
  <si>
    <t>Utilización de los residuos como fuente de generación de ingresos</t>
  </si>
  <si>
    <t>0 TON/AÑO</t>
  </si>
  <si>
    <t>Actualización e Implementación del PGIRS</t>
  </si>
  <si>
    <t>Garantizar la prestacion eficiente y oportuna de los servicios publicos domiciliarios en acuerdo con las organizaciones sociales establecidas</t>
  </si>
  <si>
    <t>Empresa de servicios publicos AAA legalizada y certificada</t>
  </si>
  <si>
    <t>Ejecución de los planes en un 20%</t>
  </si>
  <si>
    <t>200 Has</t>
  </si>
  <si>
    <t>ASEGURAMIENTO</t>
  </si>
  <si>
    <t>DESARROLLO Y CALIDAD DE LOS SERVICIOS</t>
  </si>
  <si>
    <t>SALUD PUBLICA</t>
  </si>
  <si>
    <t>EMERGENCIAS Y DESASTRES</t>
  </si>
  <si>
    <t>PREVENCION Y VIGILANCIA DE LOS RIESGOS PROFESIONALES</t>
  </si>
  <si>
    <t>Vinculación permanente a las situaciones de riesgo</t>
  </si>
  <si>
    <t>Vigilar y gestionar el cumplimiento de las exigencias contempladas como riesgos profesionales en las entidades públicas con asiento en el municipio</t>
  </si>
  <si>
    <t>Cobertura universal</t>
  </si>
  <si>
    <t>Bases de datos</t>
  </si>
  <si>
    <t>Todos asegurados</t>
  </si>
  <si>
    <t>100% población con pobreza extrema asegurada</t>
  </si>
  <si>
    <t xml:space="preserve">Regimen subsidiado = 6717 personas (94.4%) </t>
  </si>
  <si>
    <t>Garantizar el cargue efectivo a la Base de Datos Unica de Afiliados</t>
  </si>
  <si>
    <t>50% homologado</t>
  </si>
  <si>
    <t>Actualizacion permanente del 70% de las bases de datos</t>
  </si>
  <si>
    <t>Alcanzar las metas de los Objetivos de Desarrollo del Milenio:                                               • Reducción de la desnutrición infantil.
• Reducir la mortalidad infantil  y en la niñez.
• Reducir la tasa de mortalidad materna.
• Lograr el acceso universal a la salud sexual y reproductiva.
• Reducir el VIH/SIDA, la malaria y otras enfermedades.</t>
  </si>
  <si>
    <t>Reducir la mortalidad infantil  y en la niñez.</t>
  </si>
  <si>
    <t>Reducir la tasa de mortalidad materna</t>
  </si>
  <si>
    <t>Señalizacion</t>
  </si>
  <si>
    <t>Educacion en normas viales</t>
  </si>
  <si>
    <t>53.4 Km</t>
  </si>
  <si>
    <t>11 km</t>
  </si>
  <si>
    <t>11,5 Km</t>
  </si>
  <si>
    <t>2 Km</t>
  </si>
  <si>
    <t>3 proyectos formulados</t>
  </si>
  <si>
    <t>Cabecera municipal señalizada</t>
  </si>
  <si>
    <t>4 capacitacones a transportadores municipales</t>
  </si>
  <si>
    <t>Incrementar y mejorar la red vial urbana y rural</t>
  </si>
  <si>
    <t xml:space="preserve">Incrementar la  oferta de vivienda nueva  en el municipio durante el cuatrienio </t>
  </si>
  <si>
    <t>Ampliación y mejoramiento de viviendas en el sector urbano y rural</t>
  </si>
  <si>
    <t>Construcción de viviendas en el sector urbano</t>
  </si>
  <si>
    <t>Construcción de viviendas en el sector rural</t>
  </si>
  <si>
    <t>Avanzar en la revision y ajuste del EOT</t>
  </si>
  <si>
    <t>Revision Esquena de Ordenamiento Territorial</t>
  </si>
  <si>
    <t>80 viviendas</t>
  </si>
  <si>
    <t>Adquisición de al menos un lote</t>
  </si>
  <si>
    <t>Mejorar al menos 100 viviendas</t>
  </si>
  <si>
    <t>50 viviendas</t>
  </si>
  <si>
    <t>Esquema ajustado para el siguiente periodo</t>
  </si>
  <si>
    <t>60,8%</t>
  </si>
  <si>
    <t>85% COBERTURA</t>
  </si>
  <si>
    <t>Identificacion de las posibles fuentes para la generacion y sus posibles proyectos</t>
  </si>
  <si>
    <t>Cobertura en el 60% de los centros poblados</t>
  </si>
  <si>
    <t>Centro Administrativo Municipal</t>
  </si>
  <si>
    <t>Matadero en funcionamiento</t>
  </si>
  <si>
    <t>Adecuación y terminación</t>
  </si>
  <si>
    <t>COSO adecuado en un 80% con capacidad y comodidad para los usuarios</t>
  </si>
  <si>
    <t>Morgue en funcionamiento</t>
  </si>
  <si>
    <t>Un sitio adecuado y agradable para visitar</t>
  </si>
  <si>
    <t>Un sitio adecuado para la recuperacion y atencion del adulto mayor</t>
  </si>
  <si>
    <t>Apoyo mediante agencia hospitaliaria en la prestación de servicios de saiud</t>
  </si>
  <si>
    <t>1 sector rural con servicio extramural</t>
  </si>
  <si>
    <t>Servicio extramural en los 8 bloques faltantes</t>
  </si>
  <si>
    <t>1 agente hospitalario permanente en la ciudad de Popayán para apoyo a usuarios</t>
  </si>
  <si>
    <t>Mantener el servicio de agencia hospitalaria</t>
  </si>
  <si>
    <t>Plan formulado</t>
  </si>
  <si>
    <t xml:space="preserve">Formulacion Plan Decenal de Salud </t>
  </si>
  <si>
    <t>Formular el Plan Decenal de Salud con enfoque diferencial que articule  todas las políticas públicas.</t>
  </si>
  <si>
    <t>Personas UNIDOS atendidas</t>
  </si>
  <si>
    <t>Desnutricion cronica</t>
  </si>
  <si>
    <t>Desnutricion global</t>
  </si>
  <si>
    <t>Desnutricion aguda</t>
  </si>
  <si>
    <t>Recuperación Nutricional (2010) - ICBF</t>
  </si>
  <si>
    <t>De 178 niños valorados el 3.9% con desnutrición aguda</t>
  </si>
  <si>
    <t xml:space="preserve">Fortalecimiento al programa de recuperación nutricional </t>
  </si>
  <si>
    <t>Mantener la meta del 0% en muertes maternas</t>
  </si>
  <si>
    <t>DNP</t>
  </si>
  <si>
    <t xml:space="preserve">De 524 niños y niñas hay 1 muerte/año </t>
  </si>
  <si>
    <t>30 TON de producto vendible</t>
  </si>
  <si>
    <t>AMBIENTE SOSTENIBLE</t>
  </si>
  <si>
    <t>Adquisicion de un vehiculo de transporte escolar</t>
  </si>
  <si>
    <t>Mejoramiento de las condiciones de accesibilidad y transitabilidad</t>
  </si>
  <si>
    <t>Infraestructura para el crecimiento y la generación de empleo</t>
  </si>
  <si>
    <t>Competitividad</t>
  </si>
  <si>
    <t>El campo con oportunidades</t>
  </si>
  <si>
    <t>Capacidad productiva</t>
  </si>
  <si>
    <t>Ampliación y diversificación de los mercados</t>
  </si>
  <si>
    <t xml:space="preserve">Aumentar un 30% de la productividad </t>
  </si>
  <si>
    <t>Incremento de la productividad</t>
  </si>
  <si>
    <t>Sinergia empresarial productiva</t>
  </si>
  <si>
    <t>Reconocimiento productivo</t>
  </si>
  <si>
    <t>Población vulnerable con oportunidades</t>
  </si>
  <si>
    <t>Presencia insitucional en el campo</t>
  </si>
  <si>
    <t>Apoyo a productores organizados</t>
  </si>
  <si>
    <t xml:space="preserve">Promoción de los encadenamientos y agregación de valor en la producción agropecuaria </t>
  </si>
  <si>
    <t>Generar confianza en la producción agropecuaria</t>
  </si>
  <si>
    <t>Fortalecimiento de al menos 14 microempresas productoras</t>
  </si>
  <si>
    <t>Ampliación de cobertura y mejoramiento de la calidad de los servicios de acueducto, alcantarillado sanitario, alcantarillado pluvial y saneamiento básico en los sectores urbano y rural</t>
  </si>
  <si>
    <t>Servicios públicos optimizados administrativa y operativamente</t>
  </si>
  <si>
    <t>Aprovechamiento del agua con garantias ambientales</t>
  </si>
  <si>
    <t>Prestación de los servicios públicos organizada</t>
  </si>
  <si>
    <t>Fortalecer microcuencas abastecedoras</t>
  </si>
  <si>
    <t>Conservación y ampliación de áreas pertenecientes a las microcuencas abastecedoras de agua potable</t>
  </si>
  <si>
    <t>Incrementar y mejorar un 20% las vias de interconexión veredal del municipio</t>
  </si>
  <si>
    <t>Mejorar las codiciones de cobertura y habitabilidad en terenos seguros</t>
  </si>
  <si>
    <t>Generación de energias limpias</t>
  </si>
  <si>
    <t xml:space="preserve">Aumentar la cobertura en servicio de energía </t>
  </si>
  <si>
    <t>Mejorar las condiciones de la infraestructura física al servicio de la comunidad</t>
  </si>
  <si>
    <t>Gestión Ambiental Integrada y Compartida</t>
  </si>
  <si>
    <t>Implementación plan local de emergencias y contingencias PLEC´S</t>
  </si>
  <si>
    <t xml:space="preserve">Capacitación y dotación al 50% de organismos de atención </t>
  </si>
  <si>
    <t>Programa de reubicación de viviendas en situación de riesgo</t>
  </si>
  <si>
    <t>MEDIO AMBIENTE</t>
  </si>
  <si>
    <t>Disminuir los efectos del deterioro ambiental causadas por la ampliación de las áreas productivas y la contaminación de las fuentes hídricas</t>
  </si>
  <si>
    <t>Consolidación de la Política Nacional sobre Mecanismos, Canales e Instancias de Participación Ciudadana.</t>
  </si>
  <si>
    <t>Consolidación de un Sistema de Información y Gestión del Conocimiento para la Participación ciudadana, el desarrollo del Capital Social y la Cultura</t>
  </si>
  <si>
    <t>Fomento al Sistema Nacional de Planeación e impulso a la Presupuestación Participativa</t>
  </si>
  <si>
    <t>Primera Infancia (ludoteca)</t>
  </si>
  <si>
    <t>Educación Superior (Tecnología Administración de empresas agropecuarias)</t>
  </si>
  <si>
    <t>Reporte de beneficiarios Juntos del Registro Único de Afiliados</t>
  </si>
  <si>
    <t>PAIPI</t>
  </si>
  <si>
    <t>100% (524)</t>
  </si>
  <si>
    <t>Primera infancia y niñez (De cero a siempre - PAIPI)</t>
  </si>
  <si>
    <t>Hogares de bienestar familiar</t>
  </si>
  <si>
    <t>29 hogares - 306 niños</t>
  </si>
  <si>
    <t>Mantener el 76% de los NNA menores a 5 años</t>
  </si>
  <si>
    <t>564 niños beneficiados</t>
  </si>
  <si>
    <t>Desayunos infantiles con amor</t>
  </si>
  <si>
    <t>100% cobertura de acuerdo a continuidad con programa nacional</t>
  </si>
  <si>
    <t>Clubes juveniles</t>
  </si>
  <si>
    <t>Aumentar un 400%  de acuerdo a continuidad con programa nacional</t>
  </si>
  <si>
    <t>Actualizaciòn del PIU</t>
  </si>
  <si>
    <t>PIU formulado</t>
  </si>
  <si>
    <t>Rehabilitaciòn a personas con discapacidad motora</t>
  </si>
  <si>
    <t>Banco de ayudas</t>
  </si>
  <si>
    <t>DERECHOS HUMANOS</t>
  </si>
  <si>
    <t>Minimizar el factor de riesgo a causa de los indices de maltrato infantil, reclutamiento de menores por grupos al margen de la ley y violencia intrafamiliar</t>
  </si>
  <si>
    <t>15% según base UNIDOS</t>
  </si>
  <si>
    <t>Disminuir al 10%</t>
  </si>
  <si>
    <t>12% según base UNIDOS</t>
  </si>
  <si>
    <t>Disminuir al 8%</t>
  </si>
  <si>
    <t>Garantizar la seguridad y convivencia en el municipio de acuerdo a las polìticas de seguridad</t>
  </si>
  <si>
    <t>Respeto a la vida digna e integral</t>
  </si>
  <si>
    <t>11% alcoholismo segùn UNIDOS</t>
  </si>
  <si>
    <t>Dsiminuir al 4%</t>
  </si>
  <si>
    <t>Prevenciòn del suicidio e intentos de suicidio en NNA, adolescentes y adultos</t>
  </si>
  <si>
    <t>8,5 homicidios por año s/datos Inspecciòn de Policia</t>
  </si>
  <si>
    <t>Disminuir a 0</t>
  </si>
  <si>
    <t>1,5 / año en promedio según ICBF</t>
  </si>
  <si>
    <t>Apoyo para garantizar al acceso a la justicia</t>
  </si>
  <si>
    <t>Operatividad del juzgado promiscuo municipal</t>
  </si>
  <si>
    <t>Operatividad de la Fiscalia Local</t>
  </si>
  <si>
    <t>Salud sexual y reproductiva</t>
  </si>
  <si>
    <t>Salud Mental</t>
  </si>
  <si>
    <t>Apoyo sectorial a prevencion de emergencias y desastres</t>
  </si>
  <si>
    <t>100% de vinculación a cualquier situacion de emergencia</t>
  </si>
  <si>
    <t>100% de apoyo a emergencias</t>
  </si>
  <si>
    <t>Articulación con entidades pertinentes para prevencion de riesgos profesionales</t>
  </si>
  <si>
    <t>50% de usuarios capacitados en prevencion de riesgos profesionales</t>
  </si>
  <si>
    <t>10% de usuarios capacitados en prevencion de riesgos profesionales</t>
  </si>
  <si>
    <t>Mantener la cobertura de 200 niños atendidos con transporte escolar</t>
  </si>
  <si>
    <t>100% de niños con necesidad de transporte atendidos</t>
  </si>
  <si>
    <t xml:space="preserve">Mantener el 100% de cobertura en alimentacion escolar </t>
  </si>
  <si>
    <t>100% de niños atendidos con alimentacion escolar</t>
  </si>
  <si>
    <t xml:space="preserve">Mantener el 100% de cobertura en gratuidad educativa </t>
  </si>
  <si>
    <t>100% de los niños en gratuidad educativa</t>
  </si>
  <si>
    <t>Atencion y mejoramiento a la infraestructua educativa existente</t>
  </si>
  <si>
    <t>28 escuelas necesitan mejoramiento de infraestructura</t>
  </si>
  <si>
    <t>1 buseton prestando servicio de transporte escolar</t>
  </si>
  <si>
    <t>minuta alimentaria en un  80% de valor nutricional</t>
  </si>
  <si>
    <t>Dismunuir en 1% la Tasa de deserción escolar inter-anual de transición a grado once</t>
  </si>
  <si>
    <t>Realizar 4 convenios con el SENA para estudios superiores</t>
  </si>
  <si>
    <t xml:space="preserve">1 convenio celebrado para tecnologia </t>
  </si>
  <si>
    <t xml:space="preserve">Dotación de implementos deportivos </t>
  </si>
  <si>
    <t>Plan Decenal de Salud</t>
  </si>
  <si>
    <t>Mayor calidad y acceso a la prestaciòn de servicios de salud</t>
  </si>
  <si>
    <t>Elaboraciòn y ejecución del Plan de Intervenciones Colectivas PIC</t>
  </si>
  <si>
    <t>Fortalecimiento al programa de Salud Infantil</t>
  </si>
  <si>
    <t>Triple viral = 45% y con esquema de vacunaciòn completo = 86%</t>
  </si>
  <si>
    <t>48% y 87% respectivamente</t>
  </si>
  <si>
    <t>52% y 88% respectivamente</t>
  </si>
  <si>
    <t>56% y 89% respectivamente</t>
  </si>
  <si>
    <t>60% y 90% respectivamente</t>
  </si>
  <si>
    <t>ARTICULACION SECTORIAL PARA LA PREVENCION Y ATENCION DE DESASTRES</t>
  </si>
  <si>
    <t>100% apoyo permanente en las diferentes eventualidades</t>
  </si>
  <si>
    <t>FORTALECIMIENTO DE LOS MECANISMOS DE PREVENCION Y VIGLANCIA DE LOS RIESGOS PROFESIONALES</t>
  </si>
  <si>
    <t>Caoacitaciòn en prevencion de riesgos profesionales</t>
  </si>
  <si>
    <t>EDUCACION DE CALIDAD CON RESULTADOS -Formación de Capital Humano</t>
  </si>
</sst>
</file>

<file path=xl/styles.xml><?xml version="1.0" encoding="utf-8"?>
<styleSheet xmlns="http://schemas.openxmlformats.org/spreadsheetml/2006/main">
  <numFmts count="10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72" formatCode="0.0%"/>
    <numFmt numFmtId="173" formatCode="&quot;$&quot;\ #,##0"/>
    <numFmt numFmtId="174" formatCode="[$$-240A]\ #,##0"/>
    <numFmt numFmtId="175" formatCode="&quot;$&quot;\ #,##0.00"/>
    <numFmt numFmtId="176" formatCode="_([$$-240A]\ * #,##0_);_([$$-240A]\ * \(#,##0\);_([$$-240A]\ * &quot;-&quot;??_);_(@_)"/>
    <numFmt numFmtId="177" formatCode="#,##0;[Red]#,##0"/>
    <numFmt numFmtId="178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3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4"/>
      <name val="Calibri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6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9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9" fillId="0" borderId="1" xfId="0" applyFont="1" applyBorder="1" applyAlignment="1"/>
    <xf numFmtId="0" fontId="12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2" fillId="5" borderId="5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3" fontId="2" fillId="0" borderId="0" xfId="1" applyFont="1"/>
    <xf numFmtId="9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0" fontId="11" fillId="8" borderId="0" xfId="0" applyFont="1" applyFill="1"/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vertical="center" wrapText="1"/>
    </xf>
    <xf numFmtId="0" fontId="16" fillId="0" borderId="0" xfId="0" applyFont="1"/>
    <xf numFmtId="0" fontId="3" fillId="0" borderId="0" xfId="0" applyFont="1"/>
    <xf numFmtId="0" fontId="3" fillId="5" borderId="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justify" vertical="top" wrapText="1"/>
    </xf>
    <xf numFmtId="0" fontId="2" fillId="10" borderId="1" xfId="0" applyFont="1" applyFill="1" applyBorder="1" applyAlignment="1">
      <alignment horizontal="justify" vertical="top" wrapText="1"/>
    </xf>
    <xf numFmtId="0" fontId="2" fillId="10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2" fillId="11" borderId="1" xfId="3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justify" vertical="center" wrapText="1"/>
    </xf>
    <xf numFmtId="0" fontId="3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justify" vertical="top" wrapText="1"/>
    </xf>
    <xf numFmtId="0" fontId="14" fillId="13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 wrapText="1"/>
    </xf>
    <xf numFmtId="9" fontId="2" fillId="9" borderId="1" xfId="0" applyNumberFormat="1" applyFont="1" applyFill="1" applyBorder="1" applyAlignment="1">
      <alignment horizontal="justify" vertical="top" wrapText="1"/>
    </xf>
    <xf numFmtId="9" fontId="2" fillId="12" borderId="1" xfId="0" applyNumberFormat="1" applyFont="1" applyFill="1" applyBorder="1" applyAlignment="1">
      <alignment horizontal="justify" vertical="top" wrapText="1"/>
    </xf>
    <xf numFmtId="0" fontId="2" fillId="15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9" fontId="2" fillId="5" borderId="1" xfId="0" applyNumberFormat="1" applyFont="1" applyFill="1" applyBorder="1" applyAlignment="1">
      <alignment horizontal="justify" vertical="center" wrapText="1"/>
    </xf>
    <xf numFmtId="0" fontId="2" fillId="16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 wrapText="1"/>
    </xf>
    <xf numFmtId="9" fontId="2" fillId="16" borderId="1" xfId="0" applyNumberFormat="1" applyFont="1" applyFill="1" applyBorder="1" applyAlignment="1">
      <alignment vertical="center" wrapText="1"/>
    </xf>
    <xf numFmtId="9" fontId="2" fillId="16" borderId="1" xfId="0" applyNumberFormat="1" applyFont="1" applyFill="1" applyBorder="1" applyAlignment="1">
      <alignment horizontal="center" vertical="center" wrapText="1"/>
    </xf>
    <xf numFmtId="9" fontId="2" fillId="16" borderId="1" xfId="0" applyNumberFormat="1" applyFont="1" applyFill="1" applyBorder="1" applyAlignment="1">
      <alignment horizontal="justify" vertical="center" wrapText="1"/>
    </xf>
    <xf numFmtId="0" fontId="2" fillId="16" borderId="1" xfId="0" applyFont="1" applyFill="1" applyBorder="1" applyAlignment="1">
      <alignment horizontal="justify" vertical="center" wrapText="1"/>
    </xf>
    <xf numFmtId="0" fontId="3" fillId="12" borderId="1" xfId="0" applyFont="1" applyFill="1" applyBorder="1" applyAlignment="1">
      <alignment horizontal="justify" vertical="center" wrapText="1"/>
    </xf>
    <xf numFmtId="0" fontId="14" fillId="12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3" fillId="13" borderId="1" xfId="0" applyFont="1" applyFill="1" applyBorder="1" applyAlignment="1">
      <alignment horizontal="justify" vertical="center" wrapText="1"/>
    </xf>
    <xf numFmtId="0" fontId="17" fillId="6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textRotation="90"/>
    </xf>
    <xf numFmtId="9" fontId="2" fillId="13" borderId="1" xfId="0" applyNumberFormat="1" applyFont="1" applyFill="1" applyBorder="1" applyAlignment="1">
      <alignment horizontal="justify" vertical="center" wrapText="1"/>
    </xf>
    <xf numFmtId="0" fontId="2" fillId="13" borderId="1" xfId="0" applyFont="1" applyFill="1" applyBorder="1" applyAlignment="1">
      <alignment horizontal="center" vertical="center" wrapText="1"/>
    </xf>
    <xf numFmtId="9" fontId="2" fillId="13" borderId="1" xfId="0" applyNumberFormat="1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>
      <alignment horizontal="justify" vertical="center" wrapText="1"/>
    </xf>
    <xf numFmtId="0" fontId="2" fillId="15" borderId="1" xfId="0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justify" vertical="center" wrapText="1"/>
    </xf>
    <xf numFmtId="9" fontId="2" fillId="11" borderId="1" xfId="3" applyFont="1" applyFill="1" applyBorder="1" applyAlignment="1">
      <alignment horizontal="justify" vertical="center" wrapText="1"/>
    </xf>
    <xf numFmtId="10" fontId="2" fillId="11" borderId="1" xfId="0" applyNumberFormat="1" applyFont="1" applyFill="1" applyBorder="1" applyAlignment="1">
      <alignment horizontal="justify" vertical="center" wrapText="1"/>
    </xf>
    <xf numFmtId="10" fontId="2" fillId="11" borderId="1" xfId="0" applyNumberFormat="1" applyFont="1" applyFill="1" applyBorder="1" applyAlignment="1">
      <alignment horizontal="center" vertical="center" wrapText="1"/>
    </xf>
    <xf numFmtId="1" fontId="2" fillId="13" borderId="1" xfId="0" applyNumberFormat="1" applyFont="1" applyFill="1" applyBorder="1" applyAlignment="1">
      <alignment horizontal="center" vertical="center" wrapText="1"/>
    </xf>
    <xf numFmtId="172" fontId="2" fillId="13" borderId="1" xfId="0" applyNumberFormat="1" applyFont="1" applyFill="1" applyBorder="1" applyAlignment="1">
      <alignment horizontal="center" vertical="center" wrapText="1"/>
    </xf>
    <xf numFmtId="10" fontId="2" fillId="13" borderId="1" xfId="0" applyNumberFormat="1" applyFont="1" applyFill="1" applyBorder="1" applyAlignment="1">
      <alignment horizontal="center" vertical="center" wrapText="1"/>
    </xf>
    <xf numFmtId="172" fontId="2" fillId="5" borderId="1" xfId="0" applyNumberFormat="1" applyFont="1" applyFill="1" applyBorder="1" applyAlignment="1">
      <alignment horizontal="center" vertical="center" wrapText="1"/>
    </xf>
    <xf numFmtId="173" fontId="4" fillId="2" borderId="0" xfId="0" applyNumberFormat="1" applyFont="1" applyFill="1" applyAlignment="1">
      <alignment horizontal="center"/>
    </xf>
    <xf numFmtId="173" fontId="2" fillId="0" borderId="0" xfId="0" applyNumberFormat="1" applyFont="1"/>
    <xf numFmtId="173" fontId="2" fillId="3" borderId="0" xfId="0" applyNumberFormat="1" applyFont="1" applyFill="1"/>
    <xf numFmtId="0" fontId="2" fillId="17" borderId="1" xfId="0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justify" vertical="center" wrapText="1"/>
    </xf>
    <xf numFmtId="9" fontId="2" fillId="17" borderId="1" xfId="0" applyNumberFormat="1" applyFont="1" applyFill="1" applyBorder="1" applyAlignment="1">
      <alignment horizontal="center" vertical="center" wrapText="1"/>
    </xf>
    <xf numFmtId="172" fontId="2" fillId="11" borderId="1" xfId="3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2" fillId="9" borderId="1" xfId="0" applyNumberFormat="1" applyFont="1" applyFill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/>
    </xf>
    <xf numFmtId="9" fontId="2" fillId="9" borderId="1" xfId="0" applyNumberFormat="1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 vertical="center"/>
    </xf>
    <xf numFmtId="173" fontId="4" fillId="18" borderId="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 horizontal="right"/>
    </xf>
    <xf numFmtId="173" fontId="2" fillId="5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7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73" fontId="3" fillId="0" borderId="0" xfId="0" applyNumberFormat="1" applyFont="1" applyAlignment="1">
      <alignment horizontal="right"/>
    </xf>
    <xf numFmtId="173" fontId="3" fillId="5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/>
    <xf numFmtId="173" fontId="3" fillId="11" borderId="1" xfId="3" applyNumberFormat="1" applyFont="1" applyFill="1" applyBorder="1" applyAlignment="1">
      <alignment horizontal="right" vertical="center" wrapText="1"/>
    </xf>
    <xf numFmtId="173" fontId="2" fillId="11" borderId="7" xfId="0" applyNumberFormat="1" applyFont="1" applyFill="1" applyBorder="1" applyAlignment="1">
      <alignment horizontal="right" vertical="center" wrapText="1"/>
    </xf>
    <xf numFmtId="173" fontId="2" fillId="11" borderId="5" xfId="0" applyNumberFormat="1" applyFont="1" applyFill="1" applyBorder="1" applyAlignment="1">
      <alignment horizontal="right" vertical="center" wrapText="1"/>
    </xf>
    <xf numFmtId="173" fontId="2" fillId="11" borderId="1" xfId="3" applyNumberFormat="1" applyFont="1" applyFill="1" applyBorder="1" applyAlignment="1">
      <alignment horizontal="right" vertical="center" wrapText="1"/>
    </xf>
    <xf numFmtId="173" fontId="3" fillId="7" borderId="1" xfId="0" applyNumberFormat="1" applyFont="1" applyFill="1" applyBorder="1" applyAlignment="1">
      <alignment horizontal="right" vertical="center" wrapText="1"/>
    </xf>
    <xf numFmtId="173" fontId="2" fillId="7" borderId="1" xfId="0" applyNumberFormat="1" applyFont="1" applyFill="1" applyBorder="1" applyAlignment="1">
      <alignment horizontal="right" vertical="center" wrapText="1"/>
    </xf>
    <xf numFmtId="173" fontId="3" fillId="3" borderId="1" xfId="0" applyNumberFormat="1" applyFont="1" applyFill="1" applyBorder="1" applyAlignment="1">
      <alignment horizontal="right" vertical="center" wrapText="1"/>
    </xf>
    <xf numFmtId="173" fontId="2" fillId="3" borderId="1" xfId="0" applyNumberFormat="1" applyFont="1" applyFill="1" applyBorder="1" applyAlignment="1">
      <alignment horizontal="right" vertical="center" wrapText="1"/>
    </xf>
    <xf numFmtId="173" fontId="3" fillId="6" borderId="1" xfId="0" applyNumberFormat="1" applyFont="1" applyFill="1" applyBorder="1" applyAlignment="1">
      <alignment horizontal="right" vertical="center" wrapText="1"/>
    </xf>
    <xf numFmtId="173" fontId="2" fillId="6" borderId="1" xfId="0" applyNumberFormat="1" applyFont="1" applyFill="1" applyBorder="1" applyAlignment="1">
      <alignment horizontal="right" vertical="center" wrapText="1"/>
    </xf>
    <xf numFmtId="173" fontId="3" fillId="10" borderId="1" xfId="0" applyNumberFormat="1" applyFont="1" applyFill="1" applyBorder="1" applyAlignment="1">
      <alignment horizontal="right" vertical="center" wrapText="1"/>
    </xf>
    <xf numFmtId="173" fontId="2" fillId="10" borderId="1" xfId="0" applyNumberFormat="1" applyFont="1" applyFill="1" applyBorder="1" applyAlignment="1">
      <alignment horizontal="right" vertical="center" wrapText="1"/>
    </xf>
    <xf numFmtId="173" fontId="3" fillId="4" borderId="1" xfId="0" applyNumberFormat="1" applyFont="1" applyFill="1" applyBorder="1" applyAlignment="1">
      <alignment horizontal="right" vertical="center" wrapText="1"/>
    </xf>
    <xf numFmtId="173" fontId="2" fillId="4" borderId="1" xfId="0" applyNumberFormat="1" applyFont="1" applyFill="1" applyBorder="1" applyAlignment="1">
      <alignment horizontal="left" vertical="center" wrapText="1"/>
    </xf>
    <xf numFmtId="173" fontId="3" fillId="13" borderId="1" xfId="0" applyNumberFormat="1" applyFont="1" applyFill="1" applyBorder="1" applyAlignment="1">
      <alignment horizontal="right" vertical="center" wrapText="1"/>
    </xf>
    <xf numFmtId="173" fontId="2" fillId="13" borderId="1" xfId="0" applyNumberFormat="1" applyFont="1" applyFill="1" applyBorder="1" applyAlignment="1">
      <alignment horizontal="right" vertical="center" wrapText="1"/>
    </xf>
    <xf numFmtId="173" fontId="3" fillId="5" borderId="1" xfId="0" applyNumberFormat="1" applyFont="1" applyFill="1" applyBorder="1" applyAlignment="1">
      <alignment horizontal="right" vertical="center" wrapText="1"/>
    </xf>
    <xf numFmtId="173" fontId="2" fillId="5" borderId="1" xfId="0" applyNumberFormat="1" applyFont="1" applyFill="1" applyBorder="1" applyAlignment="1">
      <alignment horizontal="right" vertical="center" wrapText="1"/>
    </xf>
    <xf numFmtId="173" fontId="3" fillId="11" borderId="1" xfId="0" applyNumberFormat="1" applyFont="1" applyFill="1" applyBorder="1" applyAlignment="1">
      <alignment horizontal="right" vertical="center" wrapText="1"/>
    </xf>
    <xf numFmtId="173" fontId="2" fillId="11" borderId="1" xfId="0" applyNumberFormat="1" applyFont="1" applyFill="1" applyBorder="1" applyAlignment="1">
      <alignment horizontal="right" vertical="center" wrapText="1"/>
    </xf>
    <xf numFmtId="173" fontId="3" fillId="16" borderId="1" xfId="0" applyNumberFormat="1" applyFont="1" applyFill="1" applyBorder="1" applyAlignment="1">
      <alignment horizontal="right" vertical="center" wrapText="1"/>
    </xf>
    <xf numFmtId="173" fontId="2" fillId="16" borderId="1" xfId="0" applyNumberFormat="1" applyFont="1" applyFill="1" applyBorder="1" applyAlignment="1">
      <alignment horizontal="right" vertical="center" wrapText="1"/>
    </xf>
    <xf numFmtId="173" fontId="3" fillId="15" borderId="1" xfId="0" applyNumberFormat="1" applyFont="1" applyFill="1" applyBorder="1" applyAlignment="1">
      <alignment horizontal="right" vertical="center" wrapText="1"/>
    </xf>
    <xf numFmtId="173" fontId="2" fillId="15" borderId="1" xfId="0" applyNumberFormat="1" applyFont="1" applyFill="1" applyBorder="1" applyAlignment="1">
      <alignment horizontal="right" vertical="center" wrapText="1"/>
    </xf>
    <xf numFmtId="173" fontId="3" fillId="17" borderId="1" xfId="0" applyNumberFormat="1" applyFont="1" applyFill="1" applyBorder="1" applyAlignment="1">
      <alignment horizontal="right" vertical="center" wrapText="1"/>
    </xf>
    <xf numFmtId="173" fontId="2" fillId="17" borderId="1" xfId="0" applyNumberFormat="1" applyFont="1" applyFill="1" applyBorder="1" applyAlignment="1">
      <alignment horizontal="right" vertical="center" wrapText="1"/>
    </xf>
    <xf numFmtId="173" fontId="2" fillId="9" borderId="1" xfId="0" applyNumberFormat="1" applyFont="1" applyFill="1" applyBorder="1" applyAlignment="1">
      <alignment horizontal="right" vertical="center" wrapText="1"/>
    </xf>
    <xf numFmtId="173" fontId="2" fillId="12" borderId="1" xfId="0" applyNumberFormat="1" applyFont="1" applyFill="1" applyBorder="1" applyAlignment="1">
      <alignment horizontal="right" vertical="center" wrapText="1"/>
    </xf>
    <xf numFmtId="173" fontId="7" fillId="3" borderId="1" xfId="0" applyNumberFormat="1" applyFont="1" applyFill="1" applyBorder="1" applyAlignment="1">
      <alignment horizontal="right" vertical="center" wrapText="1"/>
    </xf>
    <xf numFmtId="173" fontId="2" fillId="3" borderId="1" xfId="0" applyNumberFormat="1" applyFont="1" applyFill="1" applyBorder="1" applyAlignment="1">
      <alignment horizontal="right" vertical="center"/>
    </xf>
    <xf numFmtId="173" fontId="3" fillId="9" borderId="1" xfId="0" applyNumberFormat="1" applyFont="1" applyFill="1" applyBorder="1" applyAlignment="1">
      <alignment horizontal="right" vertical="center" wrapText="1"/>
    </xf>
    <xf numFmtId="173" fontId="3" fillId="12" borderId="1" xfId="0" applyNumberFormat="1" applyFont="1" applyFill="1" applyBorder="1" applyAlignment="1">
      <alignment horizontal="right" vertical="center" wrapText="1"/>
    </xf>
    <xf numFmtId="173" fontId="3" fillId="3" borderId="1" xfId="0" applyNumberFormat="1" applyFont="1" applyFill="1" applyBorder="1" applyAlignment="1">
      <alignment horizontal="right" vertical="center"/>
    </xf>
    <xf numFmtId="173" fontId="4" fillId="18" borderId="0" xfId="0" applyNumberFormat="1" applyFont="1" applyFill="1" applyAlignment="1">
      <alignment horizontal="right" vertical="center"/>
    </xf>
    <xf numFmtId="173" fontId="4" fillId="18" borderId="1" xfId="0" applyNumberFormat="1" applyFont="1" applyFill="1" applyBorder="1" applyAlignment="1">
      <alignment horizontal="right" vertical="center"/>
    </xf>
    <xf numFmtId="0" fontId="2" fillId="15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17" fillId="6" borderId="6" xfId="0" applyFont="1" applyFill="1" applyBorder="1" applyAlignment="1">
      <alignment vertical="center" wrapText="1"/>
    </xf>
    <xf numFmtId="173" fontId="3" fillId="15" borderId="7" xfId="0" applyNumberFormat="1" applyFont="1" applyFill="1" applyBorder="1" applyAlignment="1">
      <alignment horizontal="right" vertical="center" wrapText="1"/>
    </xf>
    <xf numFmtId="173" fontId="2" fillId="13" borderId="1" xfId="0" applyNumberFormat="1" applyFont="1" applyFill="1" applyBorder="1" applyAlignment="1">
      <alignment horizontal="left" vertical="center" wrapText="1"/>
    </xf>
    <xf numFmtId="173" fontId="2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3" fontId="2" fillId="15" borderId="7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9" fontId="2" fillId="15" borderId="7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top" wrapText="1"/>
    </xf>
    <xf numFmtId="0" fontId="3" fillId="13" borderId="7" xfId="0" applyFont="1" applyFill="1" applyBorder="1" applyAlignment="1">
      <alignment vertical="center" wrapText="1"/>
    </xf>
    <xf numFmtId="9" fontId="2" fillId="13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2" fillId="13" borderId="5" xfId="0" applyFont="1" applyFill="1" applyBorder="1" applyAlignment="1">
      <alignment vertical="center" wrapText="1"/>
    </xf>
    <xf numFmtId="174" fontId="3" fillId="5" borderId="1" xfId="2" applyNumberFormat="1" applyFont="1" applyFill="1" applyBorder="1" applyAlignment="1">
      <alignment horizontal="center" vertical="center" wrapText="1"/>
    </xf>
    <xf numFmtId="176" fontId="3" fillId="4" borderId="1" xfId="1" applyNumberFormat="1" applyFont="1" applyFill="1" applyBorder="1" applyAlignment="1">
      <alignment horizontal="right" vertical="center" wrapText="1"/>
    </xf>
    <xf numFmtId="173" fontId="2" fillId="10" borderId="7" xfId="0" applyNumberFormat="1" applyFont="1" applyFill="1" applyBorder="1" applyAlignment="1">
      <alignment horizontal="right" vertical="center" wrapText="1"/>
    </xf>
    <xf numFmtId="173" fontId="2" fillId="10" borderId="5" xfId="0" applyNumberFormat="1" applyFont="1" applyFill="1" applyBorder="1" applyAlignment="1">
      <alignment horizontal="right" vertical="center" wrapText="1"/>
    </xf>
    <xf numFmtId="176" fontId="2" fillId="4" borderId="1" xfId="1" applyNumberFormat="1" applyFont="1" applyFill="1" applyBorder="1" applyAlignment="1">
      <alignment horizontal="right" vertical="center" wrapText="1"/>
    </xf>
    <xf numFmtId="173" fontId="2" fillId="4" borderId="1" xfId="0" applyNumberFormat="1" applyFont="1" applyFill="1" applyBorder="1" applyAlignment="1">
      <alignment horizontal="right" vertical="center" wrapText="1"/>
    </xf>
    <xf numFmtId="173" fontId="2" fillId="11" borderId="1" xfId="3" applyNumberFormat="1" applyFont="1" applyFill="1" applyBorder="1" applyAlignment="1">
      <alignment horizontal="left" vertical="center" wrapText="1"/>
    </xf>
    <xf numFmtId="173" fontId="2" fillId="7" borderId="1" xfId="0" applyNumberFormat="1" applyFont="1" applyFill="1" applyBorder="1" applyAlignment="1">
      <alignment horizontal="left" vertical="center" wrapText="1"/>
    </xf>
    <xf numFmtId="173" fontId="2" fillId="6" borderId="1" xfId="0" applyNumberFormat="1" applyFont="1" applyFill="1" applyBorder="1" applyAlignment="1">
      <alignment horizontal="left" vertical="center" wrapText="1"/>
    </xf>
    <xf numFmtId="173" fontId="2" fillId="10" borderId="1" xfId="0" applyNumberFormat="1" applyFont="1" applyFill="1" applyBorder="1" applyAlignment="1">
      <alignment horizontal="left" vertical="center" wrapText="1"/>
    </xf>
    <xf numFmtId="175" fontId="3" fillId="13" borderId="1" xfId="0" applyNumberFormat="1" applyFont="1" applyFill="1" applyBorder="1" applyAlignment="1">
      <alignment horizontal="right" vertical="center" wrapText="1"/>
    </xf>
    <xf numFmtId="175" fontId="2" fillId="1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justify" vertical="center" wrapText="1"/>
    </xf>
    <xf numFmtId="173" fontId="3" fillId="5" borderId="1" xfId="0" applyNumberFormat="1" applyFont="1" applyFill="1" applyBorder="1" applyAlignment="1">
      <alignment vertical="center" wrapText="1"/>
    </xf>
    <xf numFmtId="173" fontId="2" fillId="5" borderId="1" xfId="0" applyNumberFormat="1" applyFont="1" applyFill="1" applyBorder="1" applyAlignment="1">
      <alignment vertical="center" wrapText="1"/>
    </xf>
    <xf numFmtId="173" fontId="3" fillId="5" borderId="5" xfId="0" applyNumberFormat="1" applyFont="1" applyFill="1" applyBorder="1" applyAlignment="1">
      <alignment vertical="center" wrapText="1"/>
    </xf>
    <xf numFmtId="173" fontId="2" fillId="5" borderId="5" xfId="0" applyNumberFormat="1" applyFont="1" applyFill="1" applyBorder="1" applyAlignment="1">
      <alignment vertical="center" wrapText="1"/>
    </xf>
    <xf numFmtId="173" fontId="3" fillId="11" borderId="5" xfId="0" applyNumberFormat="1" applyFont="1" applyFill="1" applyBorder="1" applyAlignment="1">
      <alignment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173" fontId="2" fillId="0" borderId="8" xfId="0" applyNumberFormat="1" applyFont="1" applyBorder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176" fontId="3" fillId="19" borderId="1" xfId="1" applyNumberFormat="1" applyFont="1" applyFill="1" applyBorder="1" applyAlignment="1">
      <alignment horizontal="right" vertical="center" wrapText="1"/>
    </xf>
    <xf numFmtId="176" fontId="3" fillId="20" borderId="1" xfId="1" applyNumberFormat="1" applyFont="1" applyFill="1" applyBorder="1" applyAlignment="1">
      <alignment horizontal="right" vertical="center" wrapText="1"/>
    </xf>
    <xf numFmtId="176" fontId="3" fillId="10" borderId="1" xfId="1" applyNumberFormat="1" applyFont="1" applyFill="1" applyBorder="1" applyAlignment="1">
      <alignment horizontal="right" vertical="center" wrapText="1"/>
    </xf>
    <xf numFmtId="0" fontId="12" fillId="0" borderId="0" xfId="0" applyFont="1"/>
    <xf numFmtId="173" fontId="4" fillId="18" borderId="7" xfId="0" applyNumberFormat="1" applyFont="1" applyFill="1" applyBorder="1" applyAlignment="1">
      <alignment horizontal="center" vertical="center" wrapText="1"/>
    </xf>
    <xf numFmtId="173" fontId="4" fillId="18" borderId="5" xfId="0" applyNumberFormat="1" applyFont="1" applyFill="1" applyBorder="1" applyAlignment="1">
      <alignment horizontal="right" vertical="center"/>
    </xf>
    <xf numFmtId="9" fontId="3" fillId="0" borderId="0" xfId="3" applyFont="1" applyAlignment="1">
      <alignment horizontal="right"/>
    </xf>
    <xf numFmtId="0" fontId="0" fillId="0" borderId="0" xfId="0" applyBorder="1"/>
    <xf numFmtId="0" fontId="10" fillId="0" borderId="0" xfId="0" applyFont="1" applyBorder="1"/>
    <xf numFmtId="0" fontId="10" fillId="14" borderId="1" xfId="0" applyFont="1" applyFill="1" applyBorder="1" applyAlignment="1">
      <alignment horizontal="center" vertical="center"/>
    </xf>
    <xf numFmtId="0" fontId="22" fillId="21" borderId="1" xfId="0" applyFont="1" applyFill="1" applyBorder="1"/>
    <xf numFmtId="0" fontId="22" fillId="21" borderId="1" xfId="0" applyFont="1" applyFill="1" applyBorder="1" applyAlignment="1">
      <alignment wrapText="1"/>
    </xf>
    <xf numFmtId="3" fontId="22" fillId="21" borderId="1" xfId="0" applyNumberFormat="1" applyFont="1" applyFill="1" applyBorder="1"/>
    <xf numFmtId="0" fontId="22" fillId="0" borderId="0" xfId="0" applyFont="1"/>
    <xf numFmtId="0" fontId="22" fillId="15" borderId="1" xfId="0" applyFont="1" applyFill="1" applyBorder="1"/>
    <xf numFmtId="0" fontId="22" fillId="15" borderId="1" xfId="0" applyFont="1" applyFill="1" applyBorder="1" applyAlignment="1">
      <alignment wrapText="1"/>
    </xf>
    <xf numFmtId="3" fontId="22" fillId="15" borderId="1" xfId="0" applyNumberFormat="1" applyFont="1" applyFill="1" applyBorder="1"/>
    <xf numFmtId="0" fontId="22" fillId="6" borderId="1" xfId="0" applyFont="1" applyFill="1" applyBorder="1"/>
    <xf numFmtId="0" fontId="0" fillId="6" borderId="1" xfId="0" applyFill="1" applyBorder="1" applyAlignment="1">
      <alignment wrapText="1"/>
    </xf>
    <xf numFmtId="3" fontId="0" fillId="6" borderId="1" xfId="0" applyNumberFormat="1" applyFill="1" applyBorder="1"/>
    <xf numFmtId="177" fontId="0" fillId="6" borderId="1" xfId="0" applyNumberFormat="1" applyFill="1" applyBorder="1"/>
    <xf numFmtId="0" fontId="23" fillId="5" borderId="1" xfId="0" applyFont="1" applyFill="1" applyBorder="1"/>
    <xf numFmtId="0" fontId="23" fillId="5" borderId="1" xfId="0" applyFont="1" applyFill="1" applyBorder="1" applyAlignment="1">
      <alignment wrapText="1"/>
    </xf>
    <xf numFmtId="3" fontId="23" fillId="5" borderId="1" xfId="0" applyNumberFormat="1" applyFont="1" applyFill="1" applyBorder="1"/>
    <xf numFmtId="0" fontId="22" fillId="5" borderId="1" xfId="0" applyFont="1" applyFill="1" applyBorder="1"/>
    <xf numFmtId="0" fontId="0" fillId="5" borderId="1" xfId="0" applyFill="1" applyBorder="1" applyAlignment="1">
      <alignment wrapText="1"/>
    </xf>
    <xf numFmtId="3" fontId="0" fillId="5" borderId="1" xfId="0" applyNumberFormat="1" applyFill="1" applyBorder="1"/>
    <xf numFmtId="0" fontId="23" fillId="0" borderId="0" xfId="0" applyFont="1"/>
    <xf numFmtId="3" fontId="0" fillId="5" borderId="1" xfId="0" applyNumberFormat="1" applyFill="1" applyBorder="1" applyAlignment="1">
      <alignment wrapText="1"/>
    </xf>
    <xf numFmtId="0" fontId="22" fillId="0" borderId="0" xfId="0" applyFont="1" applyFill="1" applyBorder="1"/>
    <xf numFmtId="3" fontId="0" fillId="0" borderId="0" xfId="0" applyNumberFormat="1" applyBorder="1"/>
    <xf numFmtId="0" fontId="22" fillId="0" borderId="0" xfId="0" applyFont="1" applyBorder="1"/>
    <xf numFmtId="3" fontId="22" fillId="0" borderId="0" xfId="0" applyNumberFormat="1" applyFont="1" applyBorder="1"/>
    <xf numFmtId="178" fontId="2" fillId="0" borderId="0" xfId="1" applyNumberFormat="1" applyFont="1" applyAlignment="1">
      <alignment vertical="center"/>
    </xf>
    <xf numFmtId="3" fontId="11" fillId="0" borderId="0" xfId="0" applyNumberFormat="1" applyFont="1"/>
    <xf numFmtId="0" fontId="21" fillId="19" borderId="1" xfId="0" applyFont="1" applyFill="1" applyBorder="1" applyAlignment="1">
      <alignment horizontal="left" vertical="center" wrapText="1"/>
    </xf>
    <xf numFmtId="0" fontId="21" fillId="20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 wrapText="1"/>
    </xf>
    <xf numFmtId="176" fontId="2" fillId="3" borderId="0" xfId="0" applyNumberFormat="1" applyFont="1" applyFill="1"/>
    <xf numFmtId="0" fontId="2" fillId="15" borderId="7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2" fillId="19" borderId="1" xfId="1" applyNumberFormat="1" applyFont="1" applyFill="1" applyBorder="1" applyAlignment="1">
      <alignment horizontal="right" vertical="center" wrapText="1"/>
    </xf>
    <xf numFmtId="176" fontId="2" fillId="20" borderId="1" xfId="1" applyNumberFormat="1" applyFont="1" applyFill="1" applyBorder="1" applyAlignment="1">
      <alignment horizontal="right" vertical="center" wrapText="1"/>
    </xf>
    <xf numFmtId="176" fontId="2" fillId="10" borderId="1" xfId="1" applyNumberFormat="1" applyFont="1" applyFill="1" applyBorder="1" applyAlignment="1">
      <alignment horizontal="right" vertical="center" wrapText="1"/>
    </xf>
    <xf numFmtId="176" fontId="2" fillId="21" borderId="1" xfId="1" applyNumberFormat="1" applyFont="1" applyFill="1" applyBorder="1" applyAlignment="1">
      <alignment horizontal="right" vertical="center" wrapText="1"/>
    </xf>
    <xf numFmtId="176" fontId="7" fillId="10" borderId="1" xfId="1" applyNumberFormat="1" applyFont="1" applyFill="1" applyBorder="1" applyAlignment="1">
      <alignment horizontal="right" vertical="center" wrapText="1"/>
    </xf>
    <xf numFmtId="173" fontId="2" fillId="15" borderId="7" xfId="0" applyNumberFormat="1" applyFont="1" applyFill="1" applyBorder="1" applyAlignment="1">
      <alignment vertical="center" wrapText="1"/>
    </xf>
    <xf numFmtId="173" fontId="2" fillId="3" borderId="1" xfId="0" applyNumberFormat="1" applyFont="1" applyFill="1" applyBorder="1" applyAlignment="1">
      <alignment vertical="center" wrapText="1"/>
    </xf>
    <xf numFmtId="17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10" fontId="2" fillId="10" borderId="1" xfId="3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justify" vertical="center" wrapText="1"/>
    </xf>
    <xf numFmtId="173" fontId="2" fillId="11" borderId="1" xfId="0" applyNumberFormat="1" applyFont="1" applyFill="1" applyBorder="1" applyAlignment="1">
      <alignment vertical="center" wrapText="1"/>
    </xf>
    <xf numFmtId="3" fontId="0" fillId="0" borderId="0" xfId="0" applyNumberFormat="1"/>
    <xf numFmtId="174" fontId="2" fillId="5" borderId="1" xfId="2" applyNumberFormat="1" applyFont="1" applyFill="1" applyBorder="1" applyAlignment="1">
      <alignment horizontal="center" vertical="center" wrapText="1"/>
    </xf>
    <xf numFmtId="173" fontId="2" fillId="5" borderId="1" xfId="2" applyNumberFormat="1" applyFont="1" applyFill="1" applyBorder="1" applyAlignment="1">
      <alignment horizontal="center" vertical="center" wrapText="1"/>
    </xf>
    <xf numFmtId="175" fontId="2" fillId="5" borderId="1" xfId="2" applyNumberFormat="1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left" vertical="center" wrapText="1"/>
    </xf>
    <xf numFmtId="176" fontId="3" fillId="21" borderId="1" xfId="1" applyNumberFormat="1" applyFont="1" applyFill="1" applyBorder="1" applyAlignment="1">
      <alignment horizontal="right" vertical="center" wrapText="1"/>
    </xf>
    <xf numFmtId="173" fontId="2" fillId="21" borderId="1" xfId="0" applyNumberFormat="1" applyFont="1" applyFill="1" applyBorder="1" applyAlignment="1">
      <alignment horizontal="left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9" fontId="2" fillId="5" borderId="1" xfId="3" applyNumberFormat="1" applyFont="1" applyFill="1" applyBorder="1" applyAlignment="1">
      <alignment horizontal="center" vertical="center" wrapText="1"/>
    </xf>
    <xf numFmtId="173" fontId="2" fillId="5" borderId="1" xfId="3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left" vertical="center" wrapText="1"/>
    </xf>
    <xf numFmtId="3" fontId="11" fillId="21" borderId="1" xfId="0" applyNumberFormat="1" applyFont="1" applyFill="1" applyBorder="1"/>
    <xf numFmtId="176" fontId="12" fillId="0" borderId="0" xfId="0" applyNumberFormat="1" applyFont="1"/>
    <xf numFmtId="9" fontId="2" fillId="16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10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17" fillId="12" borderId="6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9" fontId="2" fillId="5" borderId="1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0" fillId="13" borderId="1" xfId="0" applyFont="1" applyFill="1" applyBorder="1" applyAlignment="1">
      <alignment horizontal="justify" vertical="center" wrapText="1"/>
    </xf>
    <xf numFmtId="0" fontId="2" fillId="11" borderId="5" xfId="0" applyFont="1" applyFill="1" applyBorder="1" applyAlignment="1">
      <alignment vertical="center" wrapText="1"/>
    </xf>
    <xf numFmtId="10" fontId="2" fillId="11" borderId="5" xfId="0" applyNumberFormat="1" applyFont="1" applyFill="1" applyBorder="1" applyAlignment="1">
      <alignment horizontal="justify" vertical="center" wrapText="1"/>
    </xf>
    <xf numFmtId="0" fontId="2" fillId="11" borderId="5" xfId="0" applyFont="1" applyFill="1" applyBorder="1" applyAlignment="1">
      <alignment horizontal="justify" vertical="center" wrapText="1"/>
    </xf>
    <xf numFmtId="0" fontId="2" fillId="16" borderId="5" xfId="0" applyFont="1" applyFill="1" applyBorder="1" applyAlignment="1">
      <alignment vertical="center" wrapText="1"/>
    </xf>
    <xf numFmtId="9" fontId="20" fillId="16" borderId="1" xfId="0" applyNumberFormat="1" applyFont="1" applyFill="1" applyBorder="1" applyAlignment="1">
      <alignment vertical="center" wrapText="1"/>
    </xf>
    <xf numFmtId="0" fontId="25" fillId="16" borderId="1" xfId="0" applyFont="1" applyFill="1" applyBorder="1" applyAlignment="1">
      <alignment horizontal="left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justify" vertical="center" wrapText="1"/>
    </xf>
    <xf numFmtId="0" fontId="2" fillId="0" borderId="0" xfId="0" applyFont="1" applyAlignment="1"/>
    <xf numFmtId="0" fontId="20" fillId="13" borderId="1" xfId="0" applyFont="1" applyFill="1" applyBorder="1" applyAlignment="1">
      <alignment vertical="center" wrapText="1"/>
    </xf>
    <xf numFmtId="0" fontId="14" fillId="16" borderId="5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vertical="center" wrapText="1"/>
    </xf>
    <xf numFmtId="0" fontId="3" fillId="12" borderId="5" xfId="0" applyFont="1" applyFill="1" applyBorder="1" applyAlignment="1">
      <alignment horizontal="justify" vertical="center" wrapText="1"/>
    </xf>
    <xf numFmtId="0" fontId="14" fillId="6" borderId="5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9" fontId="20" fillId="16" borderId="1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173" fontId="18" fillId="18" borderId="2" xfId="0" applyNumberFormat="1" applyFont="1" applyFill="1" applyBorder="1" applyAlignment="1">
      <alignment horizontal="center" vertical="center" wrapText="1"/>
    </xf>
    <xf numFmtId="173" fontId="18" fillId="18" borderId="3" xfId="0" applyNumberFormat="1" applyFont="1" applyFill="1" applyBorder="1" applyAlignment="1">
      <alignment horizontal="center" vertical="center" wrapText="1"/>
    </xf>
    <xf numFmtId="0" fontId="18" fillId="18" borderId="3" xfId="0" applyFont="1" applyFill="1" applyBorder="1" applyAlignment="1">
      <alignment horizontal="center" vertical="center" wrapText="1"/>
    </xf>
    <xf numFmtId="0" fontId="18" fillId="18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73" fontId="2" fillId="11" borderId="7" xfId="0" applyNumberFormat="1" applyFont="1" applyFill="1" applyBorder="1" applyAlignment="1">
      <alignment horizontal="left" vertical="center" wrapText="1"/>
    </xf>
    <xf numFmtId="173" fontId="2" fillId="11" borderId="5" xfId="0" applyNumberFormat="1" applyFont="1" applyFill="1" applyBorder="1" applyAlignment="1">
      <alignment horizontal="left" vertical="center" wrapText="1"/>
    </xf>
    <xf numFmtId="173" fontId="3" fillId="11" borderId="7" xfId="0" applyNumberFormat="1" applyFont="1" applyFill="1" applyBorder="1" applyAlignment="1">
      <alignment horizontal="right" vertical="center" wrapText="1"/>
    </xf>
    <xf numFmtId="173" fontId="3" fillId="11" borderId="5" xfId="0" applyNumberFormat="1" applyFont="1" applyFill="1" applyBorder="1" applyAlignment="1">
      <alignment horizontal="right" vertical="center" wrapText="1"/>
    </xf>
    <xf numFmtId="173" fontId="2" fillId="11" borderId="7" xfId="0" applyNumberFormat="1" applyFont="1" applyFill="1" applyBorder="1" applyAlignment="1">
      <alignment horizontal="right" vertical="center" wrapText="1"/>
    </xf>
    <xf numFmtId="173" fontId="2" fillId="11" borderId="5" xfId="0" applyNumberFormat="1" applyFont="1" applyFill="1" applyBorder="1" applyAlignment="1">
      <alignment horizontal="righ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11" borderId="1" xfId="0" applyFont="1" applyFill="1" applyBorder="1" applyAlignment="1">
      <alignment horizontal="justify" vertical="center" wrapText="1"/>
    </xf>
    <xf numFmtId="0" fontId="15" fillId="11" borderId="1" xfId="0" applyFont="1" applyFill="1" applyBorder="1" applyAlignment="1">
      <alignment horizontal="justify" vertical="center" wrapText="1"/>
    </xf>
    <xf numFmtId="0" fontId="11" fillId="11" borderId="1" xfId="0" applyFont="1" applyFill="1" applyBorder="1" applyAlignment="1">
      <alignment horizontal="justify" vertical="center" wrapText="1"/>
    </xf>
    <xf numFmtId="0" fontId="2" fillId="10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11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2" fillId="10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justify" vertical="center" wrapText="1"/>
    </xf>
    <xf numFmtId="43" fontId="2" fillId="10" borderId="1" xfId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173" fontId="3" fillId="5" borderId="7" xfId="0" applyNumberFormat="1" applyFont="1" applyFill="1" applyBorder="1" applyAlignment="1">
      <alignment horizontal="center" vertical="center" wrapText="1"/>
    </xf>
    <xf numFmtId="173" fontId="3" fillId="5" borderId="5" xfId="0" applyNumberFormat="1" applyFont="1" applyFill="1" applyBorder="1" applyAlignment="1">
      <alignment horizontal="center" vertical="center" wrapText="1"/>
    </xf>
    <xf numFmtId="174" fontId="2" fillId="5" borderId="7" xfId="2" applyNumberFormat="1" applyFont="1" applyFill="1" applyBorder="1" applyAlignment="1">
      <alignment horizontal="center" vertical="center" wrapText="1"/>
    </xf>
    <xf numFmtId="174" fontId="2" fillId="5" borderId="5" xfId="2" applyNumberFormat="1" applyFont="1" applyFill="1" applyBorder="1" applyAlignment="1">
      <alignment horizontal="center" vertical="center" wrapText="1"/>
    </xf>
    <xf numFmtId="10" fontId="2" fillId="5" borderId="7" xfId="3" applyNumberFormat="1" applyFont="1" applyFill="1" applyBorder="1" applyAlignment="1">
      <alignment horizontal="center" vertical="center" wrapText="1"/>
    </xf>
    <xf numFmtId="10" fontId="2" fillId="5" borderId="5" xfId="3" applyNumberFormat="1" applyFont="1" applyFill="1" applyBorder="1" applyAlignment="1">
      <alignment horizontal="center" vertical="center" wrapText="1"/>
    </xf>
    <xf numFmtId="174" fontId="3" fillId="5" borderId="7" xfId="2" applyNumberFormat="1" applyFont="1" applyFill="1" applyBorder="1" applyAlignment="1">
      <alignment horizontal="center" vertical="center" wrapText="1"/>
    </xf>
    <xf numFmtId="174" fontId="3" fillId="5" borderId="5" xfId="2" applyNumberFormat="1" applyFont="1" applyFill="1" applyBorder="1" applyAlignment="1">
      <alignment horizontal="center" vertical="center" wrapText="1"/>
    </xf>
    <xf numFmtId="175" fontId="2" fillId="5" borderId="7" xfId="2" applyNumberFormat="1" applyFont="1" applyFill="1" applyBorder="1" applyAlignment="1">
      <alignment horizontal="center" vertical="center" wrapText="1"/>
    </xf>
    <xf numFmtId="175" fontId="2" fillId="5" borderId="5" xfId="2" applyNumberFormat="1" applyFont="1" applyFill="1" applyBorder="1" applyAlignment="1">
      <alignment horizontal="center" vertical="center" wrapText="1"/>
    </xf>
    <xf numFmtId="173" fontId="2" fillId="5" borderId="7" xfId="3" applyNumberFormat="1" applyFont="1" applyFill="1" applyBorder="1" applyAlignment="1">
      <alignment horizontal="center" vertical="center" wrapText="1"/>
    </xf>
    <xf numFmtId="173" fontId="2" fillId="5" borderId="5" xfId="3" applyNumberFormat="1" applyFont="1" applyFill="1" applyBorder="1" applyAlignment="1">
      <alignment horizontal="center" vertical="center" wrapText="1"/>
    </xf>
    <xf numFmtId="43" fontId="2" fillId="5" borderId="7" xfId="1" applyFont="1" applyFill="1" applyBorder="1" applyAlignment="1">
      <alignment horizontal="center" vertical="center" wrapText="1"/>
    </xf>
    <xf numFmtId="43" fontId="2" fillId="5" borderId="6" xfId="1" applyFont="1" applyFill="1" applyBorder="1" applyAlignment="1">
      <alignment horizontal="center" vertical="center" wrapText="1"/>
    </xf>
    <xf numFmtId="43" fontId="2" fillId="5" borderId="5" xfId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11" fillId="0" borderId="6" xfId="0" applyFont="1" applyBorder="1"/>
    <xf numFmtId="0" fontId="11" fillId="0" borderId="5" xfId="0" applyFont="1" applyBorder="1"/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justify" vertical="center" wrapText="1"/>
    </xf>
    <xf numFmtId="6" fontId="2" fillId="5" borderId="6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73" fontId="3" fillId="10" borderId="7" xfId="0" applyNumberFormat="1" applyFont="1" applyFill="1" applyBorder="1" applyAlignment="1">
      <alignment horizontal="right" vertical="center" wrapText="1"/>
    </xf>
    <xf numFmtId="173" fontId="3" fillId="10" borderId="5" xfId="0" applyNumberFormat="1" applyFont="1" applyFill="1" applyBorder="1" applyAlignment="1">
      <alignment horizontal="right" vertical="center" wrapText="1"/>
    </xf>
    <xf numFmtId="173" fontId="2" fillId="10" borderId="7" xfId="0" applyNumberFormat="1" applyFont="1" applyFill="1" applyBorder="1" applyAlignment="1">
      <alignment horizontal="right" vertical="center" wrapText="1"/>
    </xf>
    <xf numFmtId="173" fontId="2" fillId="10" borderId="5" xfId="0" applyNumberFormat="1" applyFont="1" applyFill="1" applyBorder="1" applyAlignment="1">
      <alignment horizontal="right" vertical="center" wrapText="1"/>
    </xf>
    <xf numFmtId="173" fontId="2" fillId="11" borderId="1" xfId="0" applyNumberFormat="1" applyFont="1" applyFill="1" applyBorder="1" applyAlignment="1">
      <alignment horizontal="center" vertical="center" wrapText="1"/>
    </xf>
    <xf numFmtId="173" fontId="3" fillId="11" borderId="1" xfId="0" applyNumberFormat="1" applyFont="1" applyFill="1" applyBorder="1" applyAlignment="1">
      <alignment horizontal="right" vertical="center" wrapText="1"/>
    </xf>
    <xf numFmtId="173" fontId="3" fillId="11" borderId="7" xfId="0" applyNumberFormat="1" applyFont="1" applyFill="1" applyBorder="1" applyAlignment="1">
      <alignment horizontal="center" vertical="center" wrapText="1"/>
    </xf>
    <xf numFmtId="173" fontId="3" fillId="11" borderId="5" xfId="0" applyNumberFormat="1" applyFont="1" applyFill="1" applyBorder="1" applyAlignment="1">
      <alignment horizontal="center" vertical="center" wrapText="1"/>
    </xf>
    <xf numFmtId="173" fontId="2" fillId="15" borderId="7" xfId="0" applyNumberFormat="1" applyFont="1" applyFill="1" applyBorder="1" applyAlignment="1">
      <alignment horizontal="left" vertical="center" wrapText="1"/>
    </xf>
    <xf numFmtId="173" fontId="2" fillId="15" borderId="6" xfId="0" applyNumberFormat="1" applyFont="1" applyFill="1" applyBorder="1" applyAlignment="1">
      <alignment horizontal="left" vertical="center" wrapText="1"/>
    </xf>
    <xf numFmtId="173" fontId="2" fillId="15" borderId="5" xfId="0" applyNumberFormat="1" applyFont="1" applyFill="1" applyBorder="1" applyAlignment="1">
      <alignment horizontal="left" vertical="center" wrapText="1"/>
    </xf>
    <xf numFmtId="173" fontId="3" fillId="17" borderId="7" xfId="0" applyNumberFormat="1" applyFont="1" applyFill="1" applyBorder="1" applyAlignment="1">
      <alignment horizontal="center" vertical="center" wrapText="1"/>
    </xf>
    <xf numFmtId="0" fontId="0" fillId="0" borderId="5" xfId="0" applyBorder="1"/>
    <xf numFmtId="173" fontId="3" fillId="17" borderId="7" xfId="0" applyNumberFormat="1" applyFont="1" applyFill="1" applyBorder="1" applyAlignment="1">
      <alignment horizontal="right" vertical="center" wrapText="1"/>
    </xf>
    <xf numFmtId="173" fontId="3" fillId="17" borderId="5" xfId="0" applyNumberFormat="1" applyFont="1" applyFill="1" applyBorder="1" applyAlignment="1">
      <alignment horizontal="right" vertical="center" wrapText="1"/>
    </xf>
    <xf numFmtId="173" fontId="2" fillId="5" borderId="7" xfId="0" applyNumberFormat="1" applyFont="1" applyFill="1" applyBorder="1" applyAlignment="1">
      <alignment horizontal="right" vertical="center" wrapText="1"/>
    </xf>
    <xf numFmtId="173" fontId="2" fillId="5" borderId="6" xfId="0" applyNumberFormat="1" applyFont="1" applyFill="1" applyBorder="1" applyAlignment="1">
      <alignment horizontal="right" vertical="center" wrapText="1"/>
    </xf>
    <xf numFmtId="173" fontId="2" fillId="5" borderId="5" xfId="0" applyNumberFormat="1" applyFont="1" applyFill="1" applyBorder="1" applyAlignment="1">
      <alignment horizontal="right" vertical="center" wrapText="1"/>
    </xf>
    <xf numFmtId="173" fontId="2" fillId="10" borderId="7" xfId="0" applyNumberFormat="1" applyFont="1" applyFill="1" applyBorder="1" applyAlignment="1">
      <alignment horizontal="left" vertical="center" wrapText="1"/>
    </xf>
    <xf numFmtId="173" fontId="2" fillId="10" borderId="5" xfId="0" applyNumberFormat="1" applyFont="1" applyFill="1" applyBorder="1" applyAlignment="1">
      <alignment horizontal="left" vertical="center" wrapText="1"/>
    </xf>
    <xf numFmtId="173" fontId="3" fillId="5" borderId="7" xfId="0" applyNumberFormat="1" applyFont="1" applyFill="1" applyBorder="1" applyAlignment="1">
      <alignment horizontal="right" vertical="center" wrapText="1"/>
    </xf>
    <xf numFmtId="173" fontId="3" fillId="5" borderId="6" xfId="0" applyNumberFormat="1" applyFont="1" applyFill="1" applyBorder="1" applyAlignment="1">
      <alignment horizontal="right" vertical="center" wrapText="1"/>
    </xf>
    <xf numFmtId="173" fontId="3" fillId="5" borderId="5" xfId="0" applyNumberFormat="1" applyFont="1" applyFill="1" applyBorder="1" applyAlignment="1">
      <alignment horizontal="right" vertical="center" wrapText="1"/>
    </xf>
    <xf numFmtId="173" fontId="2" fillId="13" borderId="7" xfId="0" applyNumberFormat="1" applyFont="1" applyFill="1" applyBorder="1" applyAlignment="1">
      <alignment horizontal="center" vertical="center" wrapText="1"/>
    </xf>
    <xf numFmtId="173" fontId="2" fillId="13" borderId="5" xfId="0" applyNumberFormat="1" applyFont="1" applyFill="1" applyBorder="1" applyAlignment="1">
      <alignment horizontal="center" vertical="center" wrapText="1"/>
    </xf>
    <xf numFmtId="173" fontId="3" fillId="13" borderId="7" xfId="0" applyNumberFormat="1" applyFont="1" applyFill="1" applyBorder="1" applyAlignment="1">
      <alignment horizontal="right" vertical="center" wrapText="1"/>
    </xf>
    <xf numFmtId="173" fontId="3" fillId="13" borderId="5" xfId="0" applyNumberFormat="1" applyFont="1" applyFill="1" applyBorder="1" applyAlignment="1">
      <alignment horizontal="right" vertical="center" wrapText="1"/>
    </xf>
    <xf numFmtId="0" fontId="20" fillId="10" borderId="7" xfId="0" applyFont="1" applyFill="1" applyBorder="1" applyAlignment="1">
      <alignment vertical="center" wrapText="1"/>
    </xf>
    <xf numFmtId="0" fontId="20" fillId="10" borderId="6" xfId="0" applyFont="1" applyFill="1" applyBorder="1" applyAlignment="1">
      <alignment vertical="center" wrapText="1"/>
    </xf>
    <xf numFmtId="0" fontId="20" fillId="10" borderId="5" xfId="0" applyFont="1" applyFill="1" applyBorder="1" applyAlignment="1">
      <alignment vertical="center" wrapText="1"/>
    </xf>
    <xf numFmtId="0" fontId="20" fillId="13" borderId="7" xfId="0" applyFont="1" applyFill="1" applyBorder="1" applyAlignment="1">
      <alignment vertical="center" wrapText="1"/>
    </xf>
    <xf numFmtId="0" fontId="20" fillId="13" borderId="5" xfId="0" applyFont="1" applyFill="1" applyBorder="1" applyAlignment="1">
      <alignment vertical="center" wrapText="1"/>
    </xf>
    <xf numFmtId="9" fontId="2" fillId="10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0" fillId="13" borderId="1" xfId="0" applyFont="1" applyFill="1" applyBorder="1" applyAlignment="1">
      <alignment vertical="center" wrapText="1"/>
    </xf>
    <xf numFmtId="173" fontId="3" fillId="13" borderId="7" xfId="0" applyNumberFormat="1" applyFont="1" applyFill="1" applyBorder="1" applyAlignment="1">
      <alignment horizontal="center" vertical="center" wrapText="1"/>
    </xf>
    <xf numFmtId="173" fontId="3" fillId="13" borderId="5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10" borderId="6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16" borderId="7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vertical="center" wrapText="1"/>
    </xf>
    <xf numFmtId="0" fontId="2" fillId="16" borderId="5" xfId="0" applyFont="1" applyFill="1" applyBorder="1" applyAlignment="1">
      <alignment vertical="center" wrapText="1"/>
    </xf>
    <xf numFmtId="0" fontId="14" fillId="16" borderId="7" xfId="0" applyFont="1" applyFill="1" applyBorder="1" applyAlignment="1">
      <alignment horizontal="left" vertical="center" wrapText="1"/>
    </xf>
    <xf numFmtId="0" fontId="14" fillId="16" borderId="5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14" fillId="16" borderId="6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2" fillId="15" borderId="5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justify" vertical="center" wrapText="1"/>
    </xf>
    <xf numFmtId="0" fontId="3" fillId="17" borderId="1" xfId="0" applyFont="1" applyFill="1" applyBorder="1" applyAlignment="1">
      <alignment horizontal="left" vertical="center" wrapText="1"/>
    </xf>
    <xf numFmtId="173" fontId="3" fillId="11" borderId="6" xfId="0" applyNumberFormat="1" applyFont="1" applyFill="1" applyBorder="1" applyAlignment="1">
      <alignment horizontal="right" vertical="center" wrapText="1"/>
    </xf>
    <xf numFmtId="173" fontId="2" fillId="11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173" fontId="2" fillId="17" borderId="7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/>
    </xf>
    <xf numFmtId="0" fontId="3" fillId="13" borderId="1" xfId="0" applyFont="1" applyFill="1" applyBorder="1" applyAlignment="1">
      <alignment horizontal="left" vertical="center" wrapText="1"/>
    </xf>
    <xf numFmtId="173" fontId="2" fillId="17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0" fontId="3" fillId="1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vertical="center" wrapText="1"/>
    </xf>
    <xf numFmtId="0" fontId="2" fillId="15" borderId="6" xfId="0" applyFont="1" applyFill="1" applyBorder="1" applyAlignment="1">
      <alignment vertical="center" wrapText="1"/>
    </xf>
    <xf numFmtId="0" fontId="2" fillId="15" borderId="5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2" fillId="17" borderId="7" xfId="0" applyFont="1" applyFill="1" applyBorder="1" applyAlignment="1">
      <alignment horizontal="left" vertical="center" wrapText="1"/>
    </xf>
    <xf numFmtId="0" fontId="2" fillId="17" borderId="6" xfId="0" applyFont="1" applyFill="1" applyBorder="1" applyAlignment="1">
      <alignment horizontal="left" vertical="center" wrapText="1"/>
    </xf>
    <xf numFmtId="0" fontId="2" fillId="17" borderId="5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6" borderId="6" xfId="0" applyFont="1" applyFill="1" applyBorder="1" applyAlignment="1">
      <alignment horizontal="left" vertical="center" wrapText="1"/>
    </xf>
    <xf numFmtId="0" fontId="3" fillId="16" borderId="5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73" fontId="2" fillId="5" borderId="1" xfId="0" applyNumberFormat="1" applyFont="1" applyFill="1" applyBorder="1" applyAlignment="1">
      <alignment horizontal="left" vertical="center" wrapText="1"/>
    </xf>
    <xf numFmtId="173" fontId="2" fillId="5" borderId="6" xfId="0" applyNumberFormat="1" applyFont="1" applyFill="1" applyBorder="1" applyAlignment="1">
      <alignment horizontal="left" vertical="center" wrapText="1"/>
    </xf>
    <xf numFmtId="173" fontId="2" fillId="5" borderId="5" xfId="0" applyNumberFormat="1" applyFont="1" applyFill="1" applyBorder="1" applyAlignment="1">
      <alignment horizontal="left" vertical="center" wrapText="1"/>
    </xf>
    <xf numFmtId="173" fontId="2" fillId="5" borderId="7" xfId="0" applyNumberFormat="1" applyFont="1" applyFill="1" applyBorder="1" applyAlignment="1">
      <alignment horizontal="center" vertical="center" wrapText="1"/>
    </xf>
    <xf numFmtId="173" fontId="2" fillId="5" borderId="6" xfId="0" applyNumberFormat="1" applyFont="1" applyFill="1" applyBorder="1" applyAlignment="1">
      <alignment horizontal="center" vertical="center" wrapText="1"/>
    </xf>
    <xf numFmtId="173" fontId="2" fillId="5" borderId="5" xfId="0" applyNumberFormat="1" applyFont="1" applyFill="1" applyBorder="1" applyAlignment="1">
      <alignment horizontal="center" vertical="center" wrapText="1"/>
    </xf>
    <xf numFmtId="173" fontId="2" fillId="11" borderId="1" xfId="0" applyNumberFormat="1" applyFont="1" applyFill="1" applyBorder="1" applyAlignment="1">
      <alignment horizontal="left" vertical="center" wrapText="1"/>
    </xf>
    <xf numFmtId="173" fontId="2" fillId="11" borderId="6" xfId="0" applyNumberFormat="1" applyFont="1" applyFill="1" applyBorder="1" applyAlignment="1">
      <alignment horizontal="left" vertical="center" wrapText="1"/>
    </xf>
    <xf numFmtId="173" fontId="2" fillId="16" borderId="1" xfId="0" applyNumberFormat="1" applyFont="1" applyFill="1" applyBorder="1" applyAlignment="1">
      <alignment horizontal="left" vertical="center" wrapText="1"/>
    </xf>
    <xf numFmtId="173" fontId="2" fillId="16" borderId="6" xfId="0" applyNumberFormat="1" applyFont="1" applyFill="1" applyBorder="1" applyAlignment="1">
      <alignment horizontal="left" vertical="center" wrapText="1"/>
    </xf>
    <xf numFmtId="173" fontId="2" fillId="16" borderId="5" xfId="0" applyNumberFormat="1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16" borderId="6" xfId="0" applyFont="1" applyFill="1" applyBorder="1" applyAlignment="1">
      <alignment horizontal="left" vertical="center" wrapText="1"/>
    </xf>
    <xf numFmtId="0" fontId="2" fillId="16" borderId="5" xfId="0" applyFont="1" applyFill="1" applyBorder="1" applyAlignment="1">
      <alignment horizontal="left" vertical="center" wrapText="1"/>
    </xf>
    <xf numFmtId="0" fontId="3" fillId="15" borderId="6" xfId="0" applyFont="1" applyFill="1" applyBorder="1" applyAlignment="1">
      <alignment horizontal="left" vertical="center" wrapText="1"/>
    </xf>
    <xf numFmtId="0" fontId="3" fillId="15" borderId="5" xfId="0" applyFont="1" applyFill="1" applyBorder="1" applyAlignment="1">
      <alignment horizontal="left" vertical="center" wrapText="1"/>
    </xf>
    <xf numFmtId="173" fontId="3" fillId="3" borderId="7" xfId="0" applyNumberFormat="1" applyFont="1" applyFill="1" applyBorder="1" applyAlignment="1">
      <alignment horizontal="right" vertical="center" wrapText="1"/>
    </xf>
    <xf numFmtId="173" fontId="3" fillId="3" borderId="5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173" fontId="2" fillId="13" borderId="7" xfId="0" applyNumberFormat="1" applyFont="1" applyFill="1" applyBorder="1" applyAlignment="1">
      <alignment horizontal="right" vertical="center" wrapText="1"/>
    </xf>
    <xf numFmtId="173" fontId="2" fillId="13" borderId="5" xfId="0" applyNumberFormat="1" applyFont="1" applyFill="1" applyBorder="1" applyAlignment="1">
      <alignment horizontal="righ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173" fontId="2" fillId="12" borderId="7" xfId="0" applyNumberFormat="1" applyFont="1" applyFill="1" applyBorder="1" applyAlignment="1">
      <alignment vertical="center" wrapText="1"/>
    </xf>
    <xf numFmtId="173" fontId="2" fillId="12" borderId="6" xfId="0" applyNumberFormat="1" applyFont="1" applyFill="1" applyBorder="1" applyAlignment="1">
      <alignment vertical="center" wrapText="1"/>
    </xf>
    <xf numFmtId="173" fontId="2" fillId="12" borderId="5" xfId="0" applyNumberFormat="1" applyFont="1" applyFill="1" applyBorder="1" applyAlignment="1">
      <alignment vertical="center" wrapText="1"/>
    </xf>
    <xf numFmtId="173" fontId="2" fillId="9" borderId="7" xfId="0" applyNumberFormat="1" applyFont="1" applyFill="1" applyBorder="1" applyAlignment="1">
      <alignment vertical="center" wrapText="1"/>
    </xf>
    <xf numFmtId="173" fontId="2" fillId="9" borderId="6" xfId="0" applyNumberFormat="1" applyFont="1" applyFill="1" applyBorder="1" applyAlignment="1">
      <alignment vertical="center" wrapText="1"/>
    </xf>
    <xf numFmtId="173" fontId="2" fillId="9" borderId="5" xfId="0" applyNumberFormat="1" applyFont="1" applyFill="1" applyBorder="1" applyAlignment="1">
      <alignment vertical="center" wrapText="1"/>
    </xf>
    <xf numFmtId="173" fontId="2" fillId="13" borderId="7" xfId="0" applyNumberFormat="1" applyFont="1" applyFill="1" applyBorder="1" applyAlignment="1">
      <alignment vertical="center" wrapText="1"/>
    </xf>
    <xf numFmtId="173" fontId="2" fillId="13" borderId="6" xfId="0" applyNumberFormat="1" applyFont="1" applyFill="1" applyBorder="1" applyAlignment="1">
      <alignment vertical="center" wrapText="1"/>
    </xf>
    <xf numFmtId="173" fontId="2" fillId="13" borderId="5" xfId="0" applyNumberFormat="1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4" fillId="22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7" fillId="13" borderId="7" xfId="0" applyFont="1" applyFill="1" applyBorder="1" applyAlignment="1">
      <alignment horizontal="left" vertical="center" wrapText="1"/>
    </xf>
    <xf numFmtId="0" fontId="17" fillId="13" borderId="6" xfId="0" applyFont="1" applyFill="1" applyBorder="1" applyAlignment="1">
      <alignment horizontal="left" vertical="center" wrapText="1"/>
    </xf>
    <xf numFmtId="0" fontId="17" fillId="13" borderId="5" xfId="0" applyFont="1" applyFill="1" applyBorder="1" applyAlignment="1">
      <alignment horizontal="left" vertical="center" wrapText="1"/>
    </xf>
    <xf numFmtId="0" fontId="12" fillId="22" borderId="1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9" fontId="2" fillId="13" borderId="7" xfId="0" applyNumberFormat="1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left" vertical="center" wrapText="1"/>
    </xf>
    <xf numFmtId="0" fontId="17" fillId="12" borderId="5" xfId="0" applyFont="1" applyFill="1" applyBorder="1" applyAlignment="1">
      <alignment horizontal="left" vertical="center" wrapText="1"/>
    </xf>
    <xf numFmtId="0" fontId="14" fillId="12" borderId="6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12" borderId="4" xfId="0" applyFont="1" applyFill="1" applyBorder="1" applyAlignment="1">
      <alignment horizontal="left" vertical="center" wrapText="1"/>
    </xf>
    <xf numFmtId="43" fontId="2" fillId="3" borderId="5" xfId="1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4" fillId="12" borderId="7" xfId="0" applyFont="1" applyFill="1" applyBorder="1" applyAlignment="1">
      <alignment horizontal="left" vertical="center" wrapText="1"/>
    </xf>
    <xf numFmtId="0" fontId="14" fillId="13" borderId="7" xfId="0" applyFont="1" applyFill="1" applyBorder="1" applyAlignment="1">
      <alignment horizontal="left" vertical="center" wrapText="1"/>
    </xf>
    <xf numFmtId="0" fontId="14" fillId="13" borderId="6" xfId="0" applyFont="1" applyFill="1" applyBorder="1" applyAlignment="1">
      <alignment horizontal="left" vertical="center" wrapText="1"/>
    </xf>
    <xf numFmtId="0" fontId="14" fillId="13" borderId="5" xfId="0" applyFont="1" applyFill="1" applyBorder="1" applyAlignment="1">
      <alignment horizontal="left" vertical="center" wrapText="1"/>
    </xf>
    <xf numFmtId="43" fontId="2" fillId="3" borderId="7" xfId="1" applyFont="1" applyFill="1" applyBorder="1" applyAlignment="1">
      <alignment horizontal="left" vertical="center" wrapText="1"/>
    </xf>
    <xf numFmtId="43" fontId="2" fillId="3" borderId="6" xfId="1" applyFont="1" applyFill="1" applyBorder="1" applyAlignment="1">
      <alignment horizontal="left" vertical="center" wrapText="1"/>
    </xf>
    <xf numFmtId="173" fontId="2" fillId="3" borderId="7" xfId="0" applyNumberFormat="1" applyFont="1" applyFill="1" applyBorder="1" applyAlignment="1">
      <alignment horizontal="right" vertical="center" wrapText="1"/>
    </xf>
    <xf numFmtId="173" fontId="2" fillId="3" borderId="5" xfId="0" applyNumberFormat="1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 vertical="center" wrapText="1"/>
    </xf>
    <xf numFmtId="173" fontId="2" fillId="6" borderId="7" xfId="0" applyNumberFormat="1" applyFont="1" applyFill="1" applyBorder="1" applyAlignment="1">
      <alignment horizontal="left" vertical="center" wrapText="1"/>
    </xf>
    <xf numFmtId="173" fontId="2" fillId="6" borderId="6" xfId="0" applyNumberFormat="1" applyFont="1" applyFill="1" applyBorder="1" applyAlignment="1">
      <alignment horizontal="left" vertical="center" wrapText="1"/>
    </xf>
    <xf numFmtId="173" fontId="2" fillId="6" borderId="5" xfId="0" applyNumberFormat="1" applyFont="1" applyFill="1" applyBorder="1" applyAlignment="1">
      <alignment horizontal="left" vertical="center" wrapText="1"/>
    </xf>
    <xf numFmtId="173" fontId="2" fillId="21" borderId="7" xfId="0" applyNumberFormat="1" applyFont="1" applyFill="1" applyBorder="1" applyAlignment="1">
      <alignment horizontal="left" vertical="center" wrapText="1"/>
    </xf>
    <xf numFmtId="173" fontId="2" fillId="21" borderId="5" xfId="0" applyNumberFormat="1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 textRotation="90"/>
    </xf>
    <xf numFmtId="0" fontId="3" fillId="21" borderId="1" xfId="0" applyFont="1" applyFill="1" applyBorder="1" applyAlignment="1">
      <alignment horizontal="center" vertical="center" textRotation="90"/>
    </xf>
    <xf numFmtId="0" fontId="3" fillId="10" borderId="1" xfId="0" applyFont="1" applyFill="1" applyBorder="1" applyAlignment="1">
      <alignment horizontal="center" vertical="center" textRotation="90"/>
    </xf>
    <xf numFmtId="0" fontId="3" fillId="20" borderId="1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24" fillId="23" borderId="0" xfId="0" applyFont="1" applyFill="1" applyAlignment="1">
      <alignment horizontal="center"/>
    </xf>
    <xf numFmtId="173" fontId="2" fillId="4" borderId="7" xfId="0" applyNumberFormat="1" applyFont="1" applyFill="1" applyBorder="1" applyAlignment="1">
      <alignment horizontal="left" vertical="center" wrapText="1"/>
    </xf>
    <xf numFmtId="173" fontId="2" fillId="4" borderId="5" xfId="0" applyNumberFormat="1" applyFont="1" applyFill="1" applyBorder="1" applyAlignment="1">
      <alignment horizontal="left" vertical="center" wrapText="1"/>
    </xf>
    <xf numFmtId="173" fontId="2" fillId="11" borderId="7" xfId="3" applyNumberFormat="1" applyFont="1" applyFill="1" applyBorder="1" applyAlignment="1">
      <alignment horizontal="left" vertical="center" wrapText="1"/>
    </xf>
    <xf numFmtId="173" fontId="2" fillId="11" borderId="6" xfId="3" applyNumberFormat="1" applyFont="1" applyFill="1" applyBorder="1" applyAlignment="1">
      <alignment horizontal="left" vertical="center" wrapText="1"/>
    </xf>
    <xf numFmtId="173" fontId="2" fillId="11" borderId="5" xfId="3" applyNumberFormat="1" applyFont="1" applyFill="1" applyBorder="1" applyAlignment="1">
      <alignment horizontal="left" vertical="center" wrapText="1"/>
    </xf>
    <xf numFmtId="173" fontId="2" fillId="20" borderId="7" xfId="0" applyNumberFormat="1" applyFont="1" applyFill="1" applyBorder="1" applyAlignment="1">
      <alignment horizontal="left" vertical="center" wrapText="1"/>
    </xf>
    <xf numFmtId="173" fontId="2" fillId="20" borderId="5" xfId="0" applyNumberFormat="1" applyFont="1" applyFill="1" applyBorder="1" applyAlignment="1">
      <alignment horizontal="left" vertical="center" wrapText="1"/>
    </xf>
    <xf numFmtId="0" fontId="0" fillId="14" borderId="7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14" borderId="2" xfId="0" applyFont="1" applyFill="1" applyBorder="1" applyAlignment="1">
      <alignment horizontal="center" wrapText="1"/>
    </xf>
    <xf numFmtId="0" fontId="11" fillId="14" borderId="3" xfId="0" applyFont="1" applyFill="1" applyBorder="1" applyAlignment="1">
      <alignment horizontal="center" wrapText="1"/>
    </xf>
    <xf numFmtId="0" fontId="11" fillId="14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3" fontId="0" fillId="0" borderId="1" xfId="1" applyFont="1" applyBorder="1" applyAlignment="1">
      <alignment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5"/>
  <sheetViews>
    <sheetView view="pageBreakPreview" topLeftCell="E1" zoomScaleSheetLayoutView="100" workbookViewId="0">
      <pane ySplit="1335" topLeftCell="A7" activePane="bottomLeft"/>
      <selection activeCell="L12" sqref="L12"/>
      <selection pane="bottomLeft" activeCell="H8" sqref="H8"/>
    </sheetView>
  </sheetViews>
  <sheetFormatPr baseColWidth="10" defaultRowHeight="12.75"/>
  <cols>
    <col min="1" max="1" width="9.85546875" style="86" customWidth="1"/>
    <col min="2" max="2" width="15.42578125" style="87" customWidth="1"/>
    <col min="3" max="3" width="7.28515625" style="86" customWidth="1"/>
    <col min="4" max="4" width="10.140625" style="1" customWidth="1"/>
    <col min="5" max="5" width="14" style="67" customWidth="1"/>
    <col min="6" max="6" width="18.5703125" style="1" customWidth="1"/>
    <col min="7" max="7" width="19.7109375" style="67" customWidth="1"/>
    <col min="8" max="8" width="20.85546875" style="1" customWidth="1"/>
    <col min="9" max="9" width="12.140625" style="14" bestFit="1" customWidth="1"/>
    <col min="10" max="10" width="20" style="14" bestFit="1" customWidth="1"/>
    <col min="11" max="11" width="12.7109375" style="1" customWidth="1"/>
    <col min="12" max="12" width="26.85546875" style="1" customWidth="1"/>
    <col min="13" max="14" width="6.7109375" style="14" bestFit="1" customWidth="1"/>
    <col min="15" max="15" width="7.42578125" style="14" bestFit="1" customWidth="1"/>
    <col min="16" max="16" width="8.5703125" style="14" bestFit="1" customWidth="1"/>
    <col min="17" max="17" width="10.140625" style="144" customWidth="1"/>
    <col min="18" max="18" width="10.5703125" style="139" bestFit="1" customWidth="1"/>
    <col min="19" max="19" width="8.7109375" style="139" customWidth="1"/>
    <col min="20" max="20" width="7.85546875" style="139" bestFit="1" customWidth="1"/>
    <col min="21" max="21" width="9.85546875" style="139" customWidth="1"/>
    <col min="22" max="22" width="7.85546875" style="139" bestFit="1" customWidth="1"/>
    <col min="23" max="23" width="7.42578125" style="139" customWidth="1"/>
    <col min="24" max="24" width="8.5703125" style="144" customWidth="1"/>
    <col min="25" max="25" width="12.42578125" style="139" bestFit="1" customWidth="1"/>
    <col min="26" max="16384" width="11.42578125" style="1"/>
  </cols>
  <sheetData>
    <row r="1" spans="1:25" ht="15.75">
      <c r="I1" s="342" t="s">
        <v>731</v>
      </c>
      <c r="J1" s="342"/>
      <c r="Q1" s="142"/>
      <c r="R1" s="343" t="s">
        <v>220</v>
      </c>
      <c r="S1" s="344"/>
      <c r="T1" s="345"/>
      <c r="U1" s="345"/>
      <c r="V1" s="345"/>
      <c r="W1" s="345"/>
      <c r="X1" s="346"/>
      <c r="Y1" s="137"/>
    </row>
    <row r="2" spans="1:25" s="69" customFormat="1" ht="36.75" customHeight="1">
      <c r="A2" s="50" t="s">
        <v>547</v>
      </c>
      <c r="B2" s="84" t="s">
        <v>546</v>
      </c>
      <c r="C2" s="50" t="s">
        <v>545</v>
      </c>
      <c r="D2" s="50" t="s">
        <v>543</v>
      </c>
      <c r="E2" s="50" t="s">
        <v>544</v>
      </c>
      <c r="F2" s="50" t="s">
        <v>541</v>
      </c>
      <c r="G2" s="85" t="s">
        <v>542</v>
      </c>
      <c r="H2" s="50" t="s">
        <v>540</v>
      </c>
      <c r="I2" s="50" t="s">
        <v>537</v>
      </c>
      <c r="J2" s="50" t="s">
        <v>459</v>
      </c>
      <c r="K2" s="50" t="s">
        <v>539</v>
      </c>
      <c r="L2" s="50" t="s">
        <v>538</v>
      </c>
      <c r="M2" s="50">
        <v>2012</v>
      </c>
      <c r="N2" s="50">
        <v>2013</v>
      </c>
      <c r="O2" s="50">
        <v>2014</v>
      </c>
      <c r="P2" s="50">
        <v>2015</v>
      </c>
      <c r="Q2" s="138" t="s">
        <v>215</v>
      </c>
      <c r="R2" s="138" t="s">
        <v>233</v>
      </c>
      <c r="S2" s="138" t="s">
        <v>282</v>
      </c>
      <c r="T2" s="138" t="s">
        <v>234</v>
      </c>
      <c r="U2" s="138" t="s">
        <v>235</v>
      </c>
      <c r="V2" s="138" t="s">
        <v>216</v>
      </c>
      <c r="W2" s="138" t="s">
        <v>217</v>
      </c>
      <c r="X2" s="138" t="s">
        <v>218</v>
      </c>
      <c r="Y2" s="138" t="s">
        <v>219</v>
      </c>
    </row>
    <row r="3" spans="1:25" s="3" customFormat="1" ht="38.25">
      <c r="A3" s="334" t="s">
        <v>993</v>
      </c>
      <c r="B3" s="347" t="s">
        <v>447</v>
      </c>
      <c r="C3" s="339" t="s">
        <v>1026</v>
      </c>
      <c r="D3" s="336" t="s">
        <v>1022</v>
      </c>
      <c r="E3" s="336" t="s">
        <v>1027</v>
      </c>
      <c r="F3" s="336" t="s">
        <v>579</v>
      </c>
      <c r="G3" s="336" t="s">
        <v>890</v>
      </c>
      <c r="H3" s="336" t="s">
        <v>468</v>
      </c>
      <c r="I3" s="16">
        <v>0.2</v>
      </c>
      <c r="J3" s="45" t="s">
        <v>400</v>
      </c>
      <c r="K3" s="336" t="s">
        <v>396</v>
      </c>
      <c r="L3" s="15" t="s">
        <v>630</v>
      </c>
      <c r="M3" s="16">
        <v>0.2</v>
      </c>
      <c r="N3" s="16">
        <v>0.6</v>
      </c>
      <c r="O3" s="16">
        <v>0.8</v>
      </c>
      <c r="P3" s="16">
        <v>1</v>
      </c>
      <c r="Q3" s="198">
        <v>15</v>
      </c>
      <c r="R3" s="201">
        <v>10</v>
      </c>
      <c r="S3" s="201"/>
      <c r="T3" s="201"/>
      <c r="U3" s="201">
        <v>5</v>
      </c>
      <c r="V3" s="201"/>
      <c r="W3" s="201"/>
      <c r="X3" s="198">
        <f>SUM(R3:W3)</f>
        <v>15</v>
      </c>
      <c r="Y3" s="160" t="s">
        <v>281</v>
      </c>
    </row>
    <row r="4" spans="1:25" s="3" customFormat="1" ht="54.75" customHeight="1">
      <c r="A4" s="335"/>
      <c r="B4" s="348"/>
      <c r="C4" s="340"/>
      <c r="D4" s="337"/>
      <c r="E4" s="337"/>
      <c r="F4" s="337"/>
      <c r="G4" s="338"/>
      <c r="H4" s="338"/>
      <c r="I4" s="46" t="s">
        <v>627</v>
      </c>
      <c r="J4" s="45" t="s">
        <v>631</v>
      </c>
      <c r="K4" s="337"/>
      <c r="L4" s="15" t="s">
        <v>495</v>
      </c>
      <c r="M4" s="46">
        <v>10</v>
      </c>
      <c r="N4" s="46">
        <v>10</v>
      </c>
      <c r="O4" s="46">
        <v>5</v>
      </c>
      <c r="P4" s="46">
        <v>5</v>
      </c>
      <c r="Q4" s="198">
        <v>150</v>
      </c>
      <c r="R4" s="201">
        <v>150</v>
      </c>
      <c r="S4" s="201"/>
      <c r="T4" s="201"/>
      <c r="U4" s="201"/>
      <c r="V4" s="201"/>
      <c r="W4" s="201"/>
      <c r="X4" s="198">
        <f t="shared" ref="X4:X13" si="0">SUM(R4:W4)</f>
        <v>150</v>
      </c>
      <c r="Y4" s="160" t="s">
        <v>281</v>
      </c>
    </row>
    <row r="5" spans="1:25" s="3" customFormat="1" ht="97.5" customHeight="1">
      <c r="A5" s="335"/>
      <c r="B5" s="348"/>
      <c r="C5" s="340"/>
      <c r="D5" s="337"/>
      <c r="E5" s="337"/>
      <c r="F5" s="337"/>
      <c r="G5" s="336" t="s">
        <v>892</v>
      </c>
      <c r="H5" s="341" t="s">
        <v>911</v>
      </c>
      <c r="I5" s="46">
        <v>0</v>
      </c>
      <c r="J5" s="45" t="s">
        <v>469</v>
      </c>
      <c r="K5" s="337"/>
      <c r="L5" s="15" t="s">
        <v>912</v>
      </c>
      <c r="M5" s="16">
        <v>1</v>
      </c>
      <c r="N5" s="16">
        <v>0</v>
      </c>
      <c r="O5" s="16">
        <v>0</v>
      </c>
      <c r="P5" s="16">
        <v>0</v>
      </c>
      <c r="Q5" s="159">
        <v>30</v>
      </c>
      <c r="R5" s="201">
        <v>20</v>
      </c>
      <c r="S5" s="201"/>
      <c r="T5" s="201"/>
      <c r="U5" s="201">
        <v>10</v>
      </c>
      <c r="V5" s="201"/>
      <c r="W5" s="201"/>
      <c r="X5" s="198">
        <f t="shared" si="0"/>
        <v>30</v>
      </c>
      <c r="Y5" s="160" t="s">
        <v>281</v>
      </c>
    </row>
    <row r="6" spans="1:25" s="3" customFormat="1" ht="81.75" customHeight="1">
      <c r="A6" s="335"/>
      <c r="B6" s="348"/>
      <c r="C6" s="340"/>
      <c r="D6" s="337"/>
      <c r="E6" s="337"/>
      <c r="F6" s="337"/>
      <c r="G6" s="338"/>
      <c r="H6" s="341" t="s">
        <v>587</v>
      </c>
      <c r="I6" s="46">
        <v>0</v>
      </c>
      <c r="J6" s="45" t="s">
        <v>633</v>
      </c>
      <c r="K6" s="337"/>
      <c r="L6" s="15" t="s">
        <v>632</v>
      </c>
      <c r="M6" s="46">
        <v>0</v>
      </c>
      <c r="N6" s="46">
        <v>3</v>
      </c>
      <c r="O6" s="46">
        <v>3</v>
      </c>
      <c r="P6" s="46">
        <v>3</v>
      </c>
      <c r="Q6" s="159">
        <v>40</v>
      </c>
      <c r="R6" s="201">
        <v>30</v>
      </c>
      <c r="S6" s="201"/>
      <c r="T6" s="201"/>
      <c r="U6" s="201">
        <v>10</v>
      </c>
      <c r="V6" s="201"/>
      <c r="W6" s="201"/>
      <c r="X6" s="198">
        <f t="shared" si="0"/>
        <v>40</v>
      </c>
      <c r="Y6" s="160" t="s">
        <v>281</v>
      </c>
    </row>
    <row r="7" spans="1:25" s="3" customFormat="1" ht="63" customHeight="1">
      <c r="A7" s="335"/>
      <c r="B7" s="348"/>
      <c r="C7" s="340"/>
      <c r="D7" s="337"/>
      <c r="E7" s="337"/>
      <c r="F7" s="338"/>
      <c r="G7" s="68" t="s">
        <v>891</v>
      </c>
      <c r="H7" s="45" t="s">
        <v>470</v>
      </c>
      <c r="I7" s="46">
        <v>0</v>
      </c>
      <c r="J7" s="45" t="s">
        <v>635</v>
      </c>
      <c r="K7" s="337"/>
      <c r="L7" s="15" t="s">
        <v>634</v>
      </c>
      <c r="M7" s="46">
        <v>10</v>
      </c>
      <c r="N7" s="46">
        <v>10</v>
      </c>
      <c r="O7" s="46">
        <v>15</v>
      </c>
      <c r="P7" s="46">
        <v>15</v>
      </c>
      <c r="Q7" s="159">
        <v>150</v>
      </c>
      <c r="R7" s="201">
        <v>50</v>
      </c>
      <c r="S7" s="201"/>
      <c r="T7" s="201"/>
      <c r="U7" s="201">
        <v>100</v>
      </c>
      <c r="V7" s="201"/>
      <c r="W7" s="201"/>
      <c r="X7" s="198">
        <f t="shared" si="0"/>
        <v>150</v>
      </c>
      <c r="Y7" s="160" t="s">
        <v>281</v>
      </c>
    </row>
    <row r="8" spans="1:25" s="3" customFormat="1" ht="57.75" customHeight="1">
      <c r="A8" s="335"/>
      <c r="B8" s="348"/>
      <c r="C8" s="340"/>
      <c r="D8" s="337"/>
      <c r="E8" s="337"/>
      <c r="F8" s="45" t="s">
        <v>580</v>
      </c>
      <c r="G8" s="336" t="s">
        <v>894</v>
      </c>
      <c r="H8" s="45" t="s">
        <v>471</v>
      </c>
      <c r="I8" s="46">
        <v>0</v>
      </c>
      <c r="J8" s="45" t="s">
        <v>636</v>
      </c>
      <c r="K8" s="337"/>
      <c r="L8" s="15" t="s">
        <v>472</v>
      </c>
      <c r="M8" s="46">
        <v>0</v>
      </c>
      <c r="N8" s="16">
        <v>0.05</v>
      </c>
      <c r="O8" s="16">
        <v>0.05</v>
      </c>
      <c r="P8" s="16">
        <v>0.05</v>
      </c>
      <c r="Q8" s="159">
        <v>10</v>
      </c>
      <c r="R8" s="201">
        <v>10</v>
      </c>
      <c r="S8" s="201"/>
      <c r="T8" s="201"/>
      <c r="U8" s="201"/>
      <c r="V8" s="201"/>
      <c r="W8" s="201"/>
      <c r="X8" s="198">
        <f t="shared" si="0"/>
        <v>10</v>
      </c>
      <c r="Y8" s="160" t="s">
        <v>281</v>
      </c>
    </row>
    <row r="9" spans="1:25" s="3" customFormat="1" ht="51.75" customHeight="1">
      <c r="A9" s="335"/>
      <c r="B9" s="348"/>
      <c r="C9" s="340"/>
      <c r="D9" s="337"/>
      <c r="E9" s="337"/>
      <c r="F9" s="45" t="s">
        <v>402</v>
      </c>
      <c r="G9" s="337"/>
      <c r="H9" s="45" t="s">
        <v>403</v>
      </c>
      <c r="I9" s="46" t="s">
        <v>406</v>
      </c>
      <c r="J9" s="45" t="s">
        <v>405</v>
      </c>
      <c r="K9" s="337"/>
      <c r="L9" s="15" t="s">
        <v>404</v>
      </c>
      <c r="M9" s="46">
        <v>0</v>
      </c>
      <c r="N9" s="16">
        <v>0</v>
      </c>
      <c r="O9" s="16">
        <v>0.5</v>
      </c>
      <c r="P9" s="16">
        <v>1</v>
      </c>
      <c r="Q9" s="159">
        <v>500</v>
      </c>
      <c r="R9" s="201">
        <v>98</v>
      </c>
      <c r="S9" s="201"/>
      <c r="T9" s="201"/>
      <c r="U9" s="201">
        <v>402</v>
      </c>
      <c r="V9" s="201"/>
      <c r="W9" s="201"/>
      <c r="X9" s="198">
        <f t="shared" si="0"/>
        <v>500</v>
      </c>
      <c r="Y9" s="160" t="s">
        <v>281</v>
      </c>
    </row>
    <row r="10" spans="1:25" s="3" customFormat="1" ht="92.25" customHeight="1">
      <c r="A10" s="335"/>
      <c r="B10" s="348"/>
      <c r="C10" s="340"/>
      <c r="D10" s="338"/>
      <c r="E10" s="338"/>
      <c r="F10" s="45" t="s">
        <v>585</v>
      </c>
      <c r="G10" s="338"/>
      <c r="H10" s="45" t="s">
        <v>473</v>
      </c>
      <c r="I10" s="46">
        <v>0</v>
      </c>
      <c r="J10" s="45" t="s">
        <v>319</v>
      </c>
      <c r="K10" s="337"/>
      <c r="L10" s="45" t="s">
        <v>493</v>
      </c>
      <c r="M10" s="46">
        <v>0</v>
      </c>
      <c r="N10" s="16">
        <v>0.25</v>
      </c>
      <c r="O10" s="16">
        <v>0.25</v>
      </c>
      <c r="P10" s="46">
        <v>0</v>
      </c>
      <c r="Q10" s="159">
        <v>800</v>
      </c>
      <c r="R10" s="202">
        <v>50</v>
      </c>
      <c r="S10" s="202"/>
      <c r="T10" s="202">
        <v>750</v>
      </c>
      <c r="U10" s="202"/>
      <c r="V10" s="202"/>
      <c r="W10" s="202"/>
      <c r="X10" s="159">
        <f>SUM(R10:W10)</f>
        <v>800</v>
      </c>
      <c r="Y10" s="160" t="s">
        <v>281</v>
      </c>
    </row>
    <row r="11" spans="1:25" s="3" customFormat="1" ht="43.5" customHeight="1">
      <c r="A11" s="335"/>
      <c r="B11" s="348"/>
      <c r="C11" s="340"/>
      <c r="D11" s="336" t="s">
        <v>420</v>
      </c>
      <c r="E11" s="336" t="s">
        <v>893</v>
      </c>
      <c r="F11" s="336" t="s">
        <v>588</v>
      </c>
      <c r="G11" s="349" t="s">
        <v>893</v>
      </c>
      <c r="H11" s="45" t="s">
        <v>474</v>
      </c>
      <c r="I11" s="16">
        <v>0.1</v>
      </c>
      <c r="J11" s="45" t="s">
        <v>397</v>
      </c>
      <c r="K11" s="337"/>
      <c r="L11" s="45" t="s">
        <v>494</v>
      </c>
      <c r="M11" s="16">
        <v>0.4</v>
      </c>
      <c r="N11" s="16">
        <v>0.4</v>
      </c>
      <c r="O11" s="16">
        <v>0.1</v>
      </c>
      <c r="P11" s="46"/>
      <c r="Q11" s="159">
        <v>150</v>
      </c>
      <c r="R11" s="202">
        <v>150</v>
      </c>
      <c r="S11" s="202"/>
      <c r="T11" s="202"/>
      <c r="U11" s="202"/>
      <c r="V11" s="202"/>
      <c r="W11" s="202"/>
      <c r="X11" s="159">
        <f t="shared" si="0"/>
        <v>150</v>
      </c>
      <c r="Y11" s="160" t="s">
        <v>294</v>
      </c>
    </row>
    <row r="12" spans="1:25" s="3" customFormat="1" ht="42" customHeight="1">
      <c r="A12" s="335"/>
      <c r="B12" s="348"/>
      <c r="C12" s="340"/>
      <c r="D12" s="337"/>
      <c r="E12" s="337"/>
      <c r="F12" s="337"/>
      <c r="G12" s="349"/>
      <c r="H12" s="45" t="s">
        <v>1023</v>
      </c>
      <c r="I12" s="286" t="s">
        <v>481</v>
      </c>
      <c r="J12" s="15" t="s">
        <v>629</v>
      </c>
      <c r="K12" s="337"/>
      <c r="L12" s="15" t="s">
        <v>628</v>
      </c>
      <c r="M12" s="51">
        <v>0.5</v>
      </c>
      <c r="N12" s="51">
        <v>0.5</v>
      </c>
      <c r="O12" s="51"/>
      <c r="P12" s="51"/>
      <c r="Q12" s="159">
        <v>450</v>
      </c>
      <c r="R12" s="202">
        <f>250-75</f>
        <v>175</v>
      </c>
      <c r="S12" s="202">
        <f>Q12-R12-U12</f>
        <v>225</v>
      </c>
      <c r="T12" s="202"/>
      <c r="U12" s="202">
        <v>50</v>
      </c>
      <c r="V12" s="202"/>
      <c r="W12" s="202"/>
      <c r="X12" s="159">
        <f t="shared" si="0"/>
        <v>450</v>
      </c>
      <c r="Y12" s="160" t="s">
        <v>294</v>
      </c>
    </row>
    <row r="13" spans="1:25" s="3" customFormat="1" ht="65.25" customHeight="1">
      <c r="A13" s="335"/>
      <c r="B13" s="348"/>
      <c r="C13" s="340"/>
      <c r="D13" s="337"/>
      <c r="E13" s="337"/>
      <c r="F13" s="337"/>
      <c r="G13" s="349"/>
      <c r="H13" s="45" t="s">
        <v>589</v>
      </c>
      <c r="I13" s="16">
        <v>0.1</v>
      </c>
      <c r="J13" s="15" t="s">
        <v>1024</v>
      </c>
      <c r="K13" s="337"/>
      <c r="L13" s="15" t="s">
        <v>638</v>
      </c>
      <c r="M13" s="51">
        <v>0</v>
      </c>
      <c r="N13" s="51">
        <v>0</v>
      </c>
      <c r="O13" s="51">
        <v>0.2</v>
      </c>
      <c r="P13" s="51">
        <v>0.2</v>
      </c>
      <c r="Q13" s="159">
        <v>80</v>
      </c>
      <c r="R13" s="202">
        <v>10</v>
      </c>
      <c r="S13" s="202"/>
      <c r="T13" s="202">
        <v>70</v>
      </c>
      <c r="U13" s="202"/>
      <c r="V13" s="202"/>
      <c r="W13" s="202"/>
      <c r="X13" s="159">
        <f t="shared" si="0"/>
        <v>80</v>
      </c>
      <c r="Y13" s="160" t="s">
        <v>294</v>
      </c>
    </row>
    <row r="14" spans="1:25" s="3" customFormat="1" ht="41.25" customHeight="1">
      <c r="A14" s="335"/>
      <c r="B14" s="348"/>
      <c r="C14" s="340"/>
      <c r="D14" s="338"/>
      <c r="E14" s="338"/>
      <c r="F14" s="338"/>
      <c r="G14" s="349"/>
      <c r="H14" s="45" t="s">
        <v>480</v>
      </c>
      <c r="I14" s="46">
        <v>0</v>
      </c>
      <c r="J14" s="15" t="s">
        <v>637</v>
      </c>
      <c r="K14" s="338"/>
      <c r="L14" s="15" t="s">
        <v>1025</v>
      </c>
      <c r="M14" s="51">
        <v>0</v>
      </c>
      <c r="N14" s="51">
        <v>0</v>
      </c>
      <c r="O14" s="51">
        <v>0.1</v>
      </c>
      <c r="P14" s="51">
        <v>0</v>
      </c>
      <c r="Q14" s="159" t="s">
        <v>320</v>
      </c>
      <c r="R14" s="202"/>
      <c r="S14" s="202"/>
      <c r="T14" s="202"/>
      <c r="U14" s="202"/>
      <c r="V14" s="202"/>
      <c r="W14" s="202"/>
      <c r="X14" s="159">
        <f>SUM(R14:W14)</f>
        <v>0</v>
      </c>
      <c r="Y14" s="160" t="s">
        <v>295</v>
      </c>
    </row>
    <row r="15" spans="1:25">
      <c r="Q15" s="181">
        <f>SUM(Q3:Q14)</f>
        <v>2375</v>
      </c>
      <c r="R15" s="159">
        <f t="shared" ref="R15:X15" si="1">SUM(R3:R14)</f>
        <v>753</v>
      </c>
      <c r="S15" s="159">
        <f t="shared" si="1"/>
        <v>225</v>
      </c>
      <c r="T15" s="159">
        <f t="shared" si="1"/>
        <v>820</v>
      </c>
      <c r="U15" s="159">
        <f t="shared" si="1"/>
        <v>577</v>
      </c>
      <c r="V15" s="159">
        <f t="shared" si="1"/>
        <v>0</v>
      </c>
      <c r="W15" s="159">
        <f t="shared" si="1"/>
        <v>0</v>
      </c>
      <c r="X15" s="159">
        <f t="shared" si="1"/>
        <v>2375</v>
      </c>
    </row>
  </sheetData>
  <mergeCells count="18">
    <mergeCell ref="I1:J1"/>
    <mergeCell ref="R1:X1"/>
    <mergeCell ref="K3:K14"/>
    <mergeCell ref="B3:B14"/>
    <mergeCell ref="G11:G14"/>
    <mergeCell ref="D3:D10"/>
    <mergeCell ref="E3:E10"/>
    <mergeCell ref="E11:E14"/>
    <mergeCell ref="A3:A14"/>
    <mergeCell ref="F3:F7"/>
    <mergeCell ref="C3:C14"/>
    <mergeCell ref="H3:H4"/>
    <mergeCell ref="H5:H6"/>
    <mergeCell ref="G5:G6"/>
    <mergeCell ref="G3:G4"/>
    <mergeCell ref="G8:G10"/>
    <mergeCell ref="D11:D14"/>
    <mergeCell ref="F11:F14"/>
  </mergeCells>
  <phoneticPr fontId="0" type="noConversion"/>
  <pageMargins left="0.34" right="0.118110236220472" top="0.34" bottom="0.46" header="0.12" footer="0.26"/>
  <pageSetup scale="71" orientation="landscape" horizontalDpi="90" verticalDpi="90" r:id="rId1"/>
  <headerFooter>
    <oddFooter>&amp;CMATRIZ ESTRATEGICA AMBIENTAL&amp;RPágina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topLeftCell="C25" zoomScale="90" zoomScaleNormal="88" zoomScaleSheetLayoutView="90" workbookViewId="0">
      <selection activeCell="L39" sqref="L39"/>
    </sheetView>
  </sheetViews>
  <sheetFormatPr baseColWidth="10" defaultRowHeight="12.75"/>
  <cols>
    <col min="1" max="1" width="11" style="1" customWidth="1"/>
    <col min="2" max="2" width="12" style="1" customWidth="1"/>
    <col min="3" max="3" width="8.140625" style="209" customWidth="1"/>
    <col min="4" max="4" width="11.28515625" style="52" customWidth="1"/>
    <col min="5" max="5" width="19" style="1" customWidth="1"/>
    <col min="6" max="6" width="13.85546875" style="53" customWidth="1"/>
    <col min="7" max="7" width="19.5703125" style="1" customWidth="1"/>
    <col min="8" max="8" width="18.85546875" style="1" customWidth="1"/>
    <col min="9" max="9" width="14.140625" style="39" customWidth="1"/>
    <col min="10" max="10" width="16.85546875" style="39" customWidth="1"/>
    <col min="11" max="11" width="14.140625" style="67" customWidth="1"/>
    <col min="12" max="12" width="25.140625" style="1" customWidth="1"/>
    <col min="13" max="15" width="7.28515625" style="39" bestFit="1" customWidth="1"/>
    <col min="16" max="16" width="7" style="39" bestFit="1" customWidth="1"/>
    <col min="17" max="17" width="10.28515625" style="142" bestFit="1" customWidth="1"/>
    <col min="18" max="18" width="9.85546875" style="137" bestFit="1" customWidth="1"/>
    <col min="19" max="19" width="9" style="137" customWidth="1"/>
    <col min="20" max="20" width="8.85546875" style="137" customWidth="1"/>
    <col min="21" max="21" width="9.5703125" style="137" customWidth="1"/>
    <col min="22" max="22" width="9" style="137" customWidth="1"/>
    <col min="23" max="23" width="6.85546875" style="137" bestFit="1" customWidth="1"/>
    <col min="24" max="24" width="9.140625" style="142" customWidth="1"/>
    <col min="25" max="25" width="12.85546875" style="137" customWidth="1"/>
    <col min="26" max="16384" width="11.42578125" style="1"/>
  </cols>
  <sheetData>
    <row r="1" spans="1:25" ht="15.75">
      <c r="I1" s="342" t="s">
        <v>731</v>
      </c>
      <c r="J1" s="342"/>
      <c r="R1" s="343" t="s">
        <v>220</v>
      </c>
      <c r="S1" s="344"/>
      <c r="T1" s="345"/>
      <c r="U1" s="345"/>
      <c r="V1" s="345"/>
      <c r="W1" s="345"/>
      <c r="X1" s="346"/>
    </row>
    <row r="2" spans="1:25" s="2" customFormat="1" ht="67.5" customHeight="1">
      <c r="A2" s="50" t="s">
        <v>547</v>
      </c>
      <c r="B2" s="50" t="s">
        <v>546</v>
      </c>
      <c r="C2" s="50" t="s">
        <v>545</v>
      </c>
      <c r="D2" s="50" t="s">
        <v>543</v>
      </c>
      <c r="E2" s="50" t="s">
        <v>544</v>
      </c>
      <c r="F2" s="50" t="s">
        <v>541</v>
      </c>
      <c r="G2" s="50" t="s">
        <v>542</v>
      </c>
      <c r="H2" s="50" t="s">
        <v>540</v>
      </c>
      <c r="I2" s="4" t="s">
        <v>537</v>
      </c>
      <c r="J2" s="50" t="s">
        <v>459</v>
      </c>
      <c r="K2" s="50" t="s">
        <v>539</v>
      </c>
      <c r="L2" s="50" t="s">
        <v>538</v>
      </c>
      <c r="M2" s="4">
        <v>2012</v>
      </c>
      <c r="N2" s="4">
        <v>2013</v>
      </c>
      <c r="O2" s="4">
        <v>2014</v>
      </c>
      <c r="P2" s="4">
        <v>2015</v>
      </c>
      <c r="Q2" s="138" t="s">
        <v>215</v>
      </c>
      <c r="R2" s="138" t="s">
        <v>233</v>
      </c>
      <c r="S2" s="138" t="s">
        <v>282</v>
      </c>
      <c r="T2" s="138" t="s">
        <v>234</v>
      </c>
      <c r="U2" s="138" t="s">
        <v>235</v>
      </c>
      <c r="V2" s="138" t="s">
        <v>216</v>
      </c>
      <c r="W2" s="138" t="s">
        <v>217</v>
      </c>
      <c r="X2" s="138" t="s">
        <v>218</v>
      </c>
      <c r="Y2" s="138" t="s">
        <v>219</v>
      </c>
    </row>
    <row r="3" spans="1:25" s="3" customFormat="1" ht="38.25" customHeight="1">
      <c r="A3" s="339" t="s">
        <v>548</v>
      </c>
      <c r="B3" s="368" t="s">
        <v>552</v>
      </c>
      <c r="C3" s="357" t="s">
        <v>549</v>
      </c>
      <c r="D3" s="362" t="s">
        <v>498</v>
      </c>
      <c r="E3" s="367" t="s">
        <v>449</v>
      </c>
      <c r="F3" s="358" t="s">
        <v>582</v>
      </c>
      <c r="G3" s="356" t="s">
        <v>871</v>
      </c>
      <c r="H3" s="356" t="s">
        <v>1011</v>
      </c>
      <c r="I3" s="60" t="s">
        <v>913</v>
      </c>
      <c r="J3" s="60" t="s">
        <v>915</v>
      </c>
      <c r="K3" s="374" t="s">
        <v>283</v>
      </c>
      <c r="L3" s="356" t="s">
        <v>221</v>
      </c>
      <c r="M3" s="61">
        <v>0.9</v>
      </c>
      <c r="N3" s="61">
        <v>0.93</v>
      </c>
      <c r="O3" s="61">
        <v>0.96</v>
      </c>
      <c r="P3" s="61">
        <v>1</v>
      </c>
      <c r="Q3" s="352">
        <v>1200</v>
      </c>
      <c r="R3" s="354">
        <v>900</v>
      </c>
      <c r="S3" s="148"/>
      <c r="T3" s="354">
        <v>150</v>
      </c>
      <c r="U3" s="148"/>
      <c r="V3" s="354">
        <v>150</v>
      </c>
      <c r="W3" s="354"/>
      <c r="X3" s="352">
        <f>SUM(R3:W4)</f>
        <v>1200</v>
      </c>
      <c r="Y3" s="350" t="s">
        <v>296</v>
      </c>
    </row>
    <row r="4" spans="1:25" s="3" customFormat="1" ht="52.5" customHeight="1">
      <c r="A4" s="340"/>
      <c r="B4" s="369"/>
      <c r="C4" s="357"/>
      <c r="D4" s="362"/>
      <c r="E4" s="367"/>
      <c r="F4" s="358"/>
      <c r="G4" s="356"/>
      <c r="H4" s="356"/>
      <c r="I4" s="60" t="s">
        <v>914</v>
      </c>
      <c r="J4" s="62">
        <v>0.3</v>
      </c>
      <c r="K4" s="375"/>
      <c r="L4" s="356"/>
      <c r="M4" s="61">
        <v>0.22</v>
      </c>
      <c r="N4" s="61">
        <v>0</v>
      </c>
      <c r="O4" s="61">
        <v>0.3</v>
      </c>
      <c r="P4" s="61">
        <v>0.3</v>
      </c>
      <c r="Q4" s="353"/>
      <c r="R4" s="355"/>
      <c r="S4" s="149"/>
      <c r="T4" s="355"/>
      <c r="U4" s="149"/>
      <c r="V4" s="355"/>
      <c r="W4" s="355"/>
      <c r="X4" s="353"/>
      <c r="Y4" s="351"/>
    </row>
    <row r="5" spans="1:25" s="3" customFormat="1" ht="79.5" customHeight="1">
      <c r="A5" s="340"/>
      <c r="B5" s="369"/>
      <c r="C5" s="357"/>
      <c r="D5" s="363"/>
      <c r="E5" s="367"/>
      <c r="F5" s="358"/>
      <c r="G5" s="356"/>
      <c r="H5" s="356"/>
      <c r="I5" s="62">
        <f>510/1881</f>
        <v>0.27113237639553428</v>
      </c>
      <c r="J5" s="62">
        <f>560/1881</f>
        <v>0.29771398192450826</v>
      </c>
      <c r="K5" s="375"/>
      <c r="L5" s="63" t="s">
        <v>314</v>
      </c>
      <c r="M5" s="61">
        <v>0.27</v>
      </c>
      <c r="N5" s="61">
        <v>0.28000000000000003</v>
      </c>
      <c r="O5" s="61">
        <v>0.28999999999999998</v>
      </c>
      <c r="P5" s="61">
        <v>0.3</v>
      </c>
      <c r="Q5" s="147">
        <v>2500</v>
      </c>
      <c r="R5" s="150">
        <v>900</v>
      </c>
      <c r="S5" s="150"/>
      <c r="T5" s="150">
        <v>700</v>
      </c>
      <c r="U5" s="150"/>
      <c r="V5" s="150">
        <v>900</v>
      </c>
      <c r="W5" s="150"/>
      <c r="X5" s="147">
        <f>SUM(R5:W5)</f>
        <v>2500</v>
      </c>
      <c r="Y5" s="203" t="s">
        <v>296</v>
      </c>
    </row>
    <row r="6" spans="1:25" s="3" customFormat="1" ht="97.5" customHeight="1">
      <c r="A6" s="340"/>
      <c r="B6" s="369"/>
      <c r="C6" s="357"/>
      <c r="D6" s="363"/>
      <c r="E6" s="367"/>
      <c r="F6" s="358"/>
      <c r="G6" s="356"/>
      <c r="H6" s="356"/>
      <c r="I6" s="61">
        <v>0.76</v>
      </c>
      <c r="J6" s="61">
        <v>0.9</v>
      </c>
      <c r="K6" s="375"/>
      <c r="L6" s="63" t="s">
        <v>550</v>
      </c>
      <c r="M6" s="61">
        <v>0.76</v>
      </c>
      <c r="N6" s="61">
        <v>0.8</v>
      </c>
      <c r="O6" s="61">
        <v>0.85</v>
      </c>
      <c r="P6" s="61">
        <v>0.9</v>
      </c>
      <c r="Q6" s="147">
        <v>2340</v>
      </c>
      <c r="R6" s="150">
        <v>334</v>
      </c>
      <c r="S6" s="150"/>
      <c r="T6" s="150"/>
      <c r="U6" s="150"/>
      <c r="V6" s="150">
        <f>Q6-R6</f>
        <v>2006</v>
      </c>
      <c r="W6" s="150"/>
      <c r="X6" s="147">
        <f t="shared" ref="X6:X12" si="0">SUM(R6:W6)</f>
        <v>2340</v>
      </c>
      <c r="Y6" s="203" t="s">
        <v>296</v>
      </c>
    </row>
    <row r="7" spans="1:25" s="3" customFormat="1" ht="65.25" customHeight="1">
      <c r="A7" s="340"/>
      <c r="B7" s="369"/>
      <c r="C7" s="357"/>
      <c r="D7" s="363"/>
      <c r="E7" s="367"/>
      <c r="F7" s="358"/>
      <c r="G7" s="356"/>
      <c r="H7" s="356"/>
      <c r="I7" s="61">
        <v>0</v>
      </c>
      <c r="J7" s="65" t="s">
        <v>922</v>
      </c>
      <c r="K7" s="375"/>
      <c r="L7" s="63" t="s">
        <v>908</v>
      </c>
      <c r="M7" s="61">
        <v>0.05</v>
      </c>
      <c r="N7" s="61">
        <v>0.05</v>
      </c>
      <c r="O7" s="61">
        <v>0.05</v>
      </c>
      <c r="P7" s="61">
        <v>0.05</v>
      </c>
      <c r="Q7" s="147">
        <v>100</v>
      </c>
      <c r="R7" s="150">
        <v>100</v>
      </c>
      <c r="S7" s="150"/>
      <c r="T7" s="150"/>
      <c r="U7" s="150"/>
      <c r="V7" s="150"/>
      <c r="W7" s="150"/>
      <c r="X7" s="147">
        <f t="shared" si="0"/>
        <v>100</v>
      </c>
      <c r="Y7" s="203" t="s">
        <v>296</v>
      </c>
    </row>
    <row r="8" spans="1:25" s="3" customFormat="1" ht="39.75" customHeight="1">
      <c r="A8" s="340"/>
      <c r="B8" s="369"/>
      <c r="C8" s="357"/>
      <c r="D8" s="363"/>
      <c r="E8" s="367"/>
      <c r="F8" s="358" t="s">
        <v>584</v>
      </c>
      <c r="G8" s="356" t="s">
        <v>916</v>
      </c>
      <c r="H8" s="356" t="s">
        <v>475</v>
      </c>
      <c r="I8" s="61">
        <v>0.5</v>
      </c>
      <c r="J8" s="61">
        <v>0.7</v>
      </c>
      <c r="K8" s="375"/>
      <c r="L8" s="63" t="s">
        <v>919</v>
      </c>
      <c r="M8" s="61">
        <v>0.55000000000000004</v>
      </c>
      <c r="N8" s="61">
        <v>0.6</v>
      </c>
      <c r="O8" s="61">
        <v>0.65</v>
      </c>
      <c r="P8" s="61">
        <v>0.7</v>
      </c>
      <c r="Q8" s="147">
        <v>650</v>
      </c>
      <c r="R8" s="150">
        <v>270</v>
      </c>
      <c r="S8" s="150"/>
      <c r="T8" s="150">
        <v>380</v>
      </c>
      <c r="U8" s="150"/>
      <c r="V8" s="150"/>
      <c r="W8" s="150"/>
      <c r="X8" s="147">
        <f t="shared" si="0"/>
        <v>650</v>
      </c>
      <c r="Y8" s="203" t="s">
        <v>296</v>
      </c>
    </row>
    <row r="9" spans="1:25" s="3" customFormat="1" ht="43.5" customHeight="1">
      <c r="A9" s="340"/>
      <c r="B9" s="369"/>
      <c r="C9" s="357"/>
      <c r="D9" s="363"/>
      <c r="E9" s="367"/>
      <c r="F9" s="358"/>
      <c r="G9" s="356"/>
      <c r="H9" s="356"/>
      <c r="I9" s="60" t="s">
        <v>918</v>
      </c>
      <c r="J9" s="65" t="s">
        <v>992</v>
      </c>
      <c r="K9" s="375"/>
      <c r="L9" s="63" t="s">
        <v>917</v>
      </c>
      <c r="M9" s="60">
        <v>10</v>
      </c>
      <c r="N9" s="60">
        <v>20</v>
      </c>
      <c r="O9" s="60">
        <v>20</v>
      </c>
      <c r="P9" s="60">
        <v>30</v>
      </c>
      <c r="Q9" s="147">
        <v>80</v>
      </c>
      <c r="R9" s="150">
        <v>80</v>
      </c>
      <c r="S9" s="150"/>
      <c r="T9" s="150"/>
      <c r="U9" s="150"/>
      <c r="V9" s="150"/>
      <c r="W9" s="150"/>
      <c r="X9" s="147">
        <f t="shared" si="0"/>
        <v>80</v>
      </c>
      <c r="Y9" s="203" t="s">
        <v>296</v>
      </c>
    </row>
    <row r="10" spans="1:25" s="3" customFormat="1" ht="83.25" customHeight="1">
      <c r="A10" s="340"/>
      <c r="B10" s="369"/>
      <c r="C10" s="357"/>
      <c r="D10" s="363"/>
      <c r="E10" s="367"/>
      <c r="F10" s="64" t="s">
        <v>583</v>
      </c>
      <c r="G10" s="66" t="s">
        <v>1014</v>
      </c>
      <c r="H10" s="65" t="s">
        <v>1012</v>
      </c>
      <c r="I10" s="61">
        <v>0.1</v>
      </c>
      <c r="J10" s="65" t="s">
        <v>921</v>
      </c>
      <c r="K10" s="375"/>
      <c r="L10" s="63" t="s">
        <v>920</v>
      </c>
      <c r="M10" s="61">
        <v>0.2</v>
      </c>
      <c r="N10" s="61">
        <v>0.3</v>
      </c>
      <c r="O10" s="61">
        <v>0.5</v>
      </c>
      <c r="P10" s="61">
        <v>1</v>
      </c>
      <c r="Q10" s="147">
        <v>180</v>
      </c>
      <c r="R10" s="150">
        <v>180</v>
      </c>
      <c r="S10" s="150"/>
      <c r="T10" s="150"/>
      <c r="U10" s="150"/>
      <c r="V10" s="150"/>
      <c r="W10" s="150"/>
      <c r="X10" s="147">
        <f t="shared" si="0"/>
        <v>180</v>
      </c>
      <c r="Y10" s="203" t="s">
        <v>296</v>
      </c>
    </row>
    <row r="11" spans="1:25" s="3" customFormat="1" ht="81.75" customHeight="1">
      <c r="A11" s="340"/>
      <c r="B11" s="369"/>
      <c r="C11" s="357"/>
      <c r="D11" s="363"/>
      <c r="E11" s="367"/>
      <c r="F11" s="362" t="s">
        <v>1015</v>
      </c>
      <c r="G11" s="356" t="s">
        <v>1013</v>
      </c>
      <c r="H11" s="356" t="s">
        <v>1016</v>
      </c>
      <c r="I11" s="60" t="s">
        <v>627</v>
      </c>
      <c r="J11" s="63" t="s">
        <v>631</v>
      </c>
      <c r="K11" s="375"/>
      <c r="L11" s="63" t="s">
        <v>551</v>
      </c>
      <c r="M11" s="60">
        <v>10</v>
      </c>
      <c r="N11" s="60">
        <v>10</v>
      </c>
      <c r="O11" s="60">
        <v>5</v>
      </c>
      <c r="P11" s="60">
        <v>5</v>
      </c>
      <c r="Q11" s="147">
        <v>176</v>
      </c>
      <c r="R11" s="150">
        <v>176</v>
      </c>
      <c r="S11" s="150"/>
      <c r="T11" s="150"/>
      <c r="U11" s="150"/>
      <c r="V11" s="150"/>
      <c r="W11" s="150"/>
      <c r="X11" s="147">
        <f t="shared" si="0"/>
        <v>176</v>
      </c>
      <c r="Y11" s="203" t="s">
        <v>281</v>
      </c>
    </row>
    <row r="12" spans="1:25" s="3" customFormat="1" ht="81.75" customHeight="1">
      <c r="A12" s="340"/>
      <c r="B12" s="369"/>
      <c r="C12" s="357"/>
      <c r="D12" s="363"/>
      <c r="E12" s="367"/>
      <c r="F12" s="364"/>
      <c r="G12" s="356"/>
      <c r="H12" s="378"/>
      <c r="I12" s="60">
        <v>40</v>
      </c>
      <c r="J12" s="60" t="s">
        <v>923</v>
      </c>
      <c r="K12" s="376"/>
      <c r="L12" s="63" t="s">
        <v>553</v>
      </c>
      <c r="M12" s="60">
        <v>40</v>
      </c>
      <c r="N12" s="60">
        <v>40</v>
      </c>
      <c r="O12" s="60">
        <v>40</v>
      </c>
      <c r="P12" s="60">
        <v>40</v>
      </c>
      <c r="Q12" s="147">
        <v>600</v>
      </c>
      <c r="R12" s="150">
        <v>140</v>
      </c>
      <c r="S12" s="150"/>
      <c r="T12" s="150">
        <v>460</v>
      </c>
      <c r="U12" s="150"/>
      <c r="V12" s="150"/>
      <c r="W12" s="150"/>
      <c r="X12" s="147">
        <f t="shared" si="0"/>
        <v>600</v>
      </c>
      <c r="Y12" s="203" t="s">
        <v>281</v>
      </c>
    </row>
    <row r="13" spans="1:25" s="3" customFormat="1" ht="38.25" customHeight="1">
      <c r="A13" s="340" t="s">
        <v>548</v>
      </c>
      <c r="B13" s="369" t="s">
        <v>552</v>
      </c>
      <c r="C13" s="357" t="s">
        <v>554</v>
      </c>
      <c r="D13" s="368" t="s">
        <v>996</v>
      </c>
      <c r="E13" s="372" t="s">
        <v>951</v>
      </c>
      <c r="F13" s="360" t="s">
        <v>995</v>
      </c>
      <c r="G13" s="377" t="s">
        <v>865</v>
      </c>
      <c r="H13" s="377" t="s">
        <v>1017</v>
      </c>
      <c r="I13" s="48" t="s">
        <v>944</v>
      </c>
      <c r="J13" s="40">
        <v>1</v>
      </c>
      <c r="K13" s="377" t="s">
        <v>284</v>
      </c>
      <c r="L13" s="49" t="s">
        <v>558</v>
      </c>
      <c r="M13" s="40">
        <v>0.2</v>
      </c>
      <c r="N13" s="40">
        <v>0.7</v>
      </c>
      <c r="O13" s="40">
        <v>1</v>
      </c>
      <c r="P13" s="40">
        <v>1</v>
      </c>
      <c r="Q13" s="151">
        <v>1300</v>
      </c>
      <c r="R13" s="152">
        <v>200</v>
      </c>
      <c r="S13" s="152">
        <v>300</v>
      </c>
      <c r="T13" s="152">
        <v>480</v>
      </c>
      <c r="U13" s="152">
        <v>320</v>
      </c>
      <c r="V13" s="152"/>
      <c r="W13" s="152"/>
      <c r="X13" s="151">
        <f t="shared" ref="X13:X28" si="1">SUM(R13:W13)</f>
        <v>1300</v>
      </c>
      <c r="Y13" s="204" t="s">
        <v>296</v>
      </c>
    </row>
    <row r="14" spans="1:25" s="3" customFormat="1" ht="38.25">
      <c r="A14" s="340"/>
      <c r="B14" s="369"/>
      <c r="C14" s="357"/>
      <c r="D14" s="369"/>
      <c r="E14" s="372"/>
      <c r="F14" s="360"/>
      <c r="G14" s="377"/>
      <c r="H14" s="377"/>
      <c r="I14" s="48" t="s">
        <v>944</v>
      </c>
      <c r="J14" s="48" t="s">
        <v>945</v>
      </c>
      <c r="K14" s="377"/>
      <c r="L14" s="49" t="s">
        <v>399</v>
      </c>
      <c r="M14" s="48">
        <v>0</v>
      </c>
      <c r="N14" s="48">
        <v>3</v>
      </c>
      <c r="O14" s="48">
        <v>6</v>
      </c>
      <c r="P14" s="48">
        <v>2</v>
      </c>
      <c r="Q14" s="151">
        <v>1000</v>
      </c>
      <c r="R14" s="152">
        <v>641</v>
      </c>
      <c r="S14" s="152"/>
      <c r="T14" s="152"/>
      <c r="U14" s="152"/>
      <c r="V14" s="152"/>
      <c r="W14" s="152">
        <f>+Q14-R14</f>
        <v>359</v>
      </c>
      <c r="X14" s="151">
        <f t="shared" si="1"/>
        <v>1000</v>
      </c>
      <c r="Y14" s="204" t="s">
        <v>296</v>
      </c>
    </row>
    <row r="15" spans="1:25" s="3" customFormat="1" ht="56.25" customHeight="1">
      <c r="A15" s="340"/>
      <c r="B15" s="369"/>
      <c r="C15" s="357"/>
      <c r="D15" s="369"/>
      <c r="E15" s="372"/>
      <c r="F15" s="360"/>
      <c r="G15" s="377"/>
      <c r="H15" s="377"/>
      <c r="I15" s="48" t="s">
        <v>946</v>
      </c>
      <c r="J15" s="48" t="s">
        <v>947</v>
      </c>
      <c r="K15" s="377"/>
      <c r="L15" s="49" t="s">
        <v>315</v>
      </c>
      <c r="M15" s="48">
        <v>0</v>
      </c>
      <c r="N15" s="48">
        <v>1</v>
      </c>
      <c r="O15" s="48">
        <v>1</v>
      </c>
      <c r="P15" s="48">
        <v>0</v>
      </c>
      <c r="Q15" s="151">
        <v>1750</v>
      </c>
      <c r="R15" s="152">
        <v>150</v>
      </c>
      <c r="S15" s="152"/>
      <c r="T15" s="152"/>
      <c r="U15" s="152"/>
      <c r="V15" s="152">
        <f>Q15-R15</f>
        <v>1600</v>
      </c>
      <c r="W15" s="152"/>
      <c r="X15" s="151">
        <f t="shared" si="1"/>
        <v>1750</v>
      </c>
      <c r="Y15" s="204" t="s">
        <v>296</v>
      </c>
    </row>
    <row r="16" spans="1:25" s="3" customFormat="1" ht="61.5" customHeight="1">
      <c r="A16" s="340"/>
      <c r="B16" s="369"/>
      <c r="C16" s="357"/>
      <c r="D16" s="369"/>
      <c r="E16" s="372"/>
      <c r="F16" s="360"/>
      <c r="G16" s="377"/>
      <c r="H16" s="377"/>
      <c r="I16" s="48">
        <v>0</v>
      </c>
      <c r="J16" s="125" t="s">
        <v>948</v>
      </c>
      <c r="K16" s="377"/>
      <c r="L16" s="49" t="s">
        <v>559</v>
      </c>
      <c r="M16" s="40">
        <v>1</v>
      </c>
      <c r="N16" s="40">
        <v>0</v>
      </c>
      <c r="O16" s="40">
        <v>0</v>
      </c>
      <c r="P16" s="48">
        <v>0</v>
      </c>
      <c r="Q16" s="151">
        <v>250</v>
      </c>
      <c r="R16" s="152">
        <v>125</v>
      </c>
      <c r="S16" s="152">
        <v>125</v>
      </c>
      <c r="T16" s="152"/>
      <c r="U16" s="152"/>
      <c r="V16" s="152"/>
      <c r="W16" s="152"/>
      <c r="X16" s="151">
        <f t="shared" si="1"/>
        <v>250</v>
      </c>
      <c r="Y16" s="204" t="s">
        <v>296</v>
      </c>
    </row>
    <row r="17" spans="1:25" s="3" customFormat="1" ht="41.25" customHeight="1">
      <c r="A17" s="340"/>
      <c r="B17" s="369"/>
      <c r="C17" s="357"/>
      <c r="D17" s="369"/>
      <c r="E17" s="372"/>
      <c r="F17" s="360"/>
      <c r="G17" s="377" t="s">
        <v>866</v>
      </c>
      <c r="H17" s="377"/>
      <c r="I17" s="48">
        <v>0</v>
      </c>
      <c r="J17" s="125" t="s">
        <v>949</v>
      </c>
      <c r="K17" s="377"/>
      <c r="L17" s="49" t="s">
        <v>942</v>
      </c>
      <c r="M17" s="40">
        <v>0</v>
      </c>
      <c r="N17" s="40">
        <v>1</v>
      </c>
      <c r="O17" s="40">
        <v>0</v>
      </c>
      <c r="P17" s="40">
        <v>0</v>
      </c>
      <c r="Q17" s="151">
        <v>35</v>
      </c>
      <c r="R17" s="152">
        <v>35</v>
      </c>
      <c r="S17" s="152"/>
      <c r="T17" s="152"/>
      <c r="U17" s="152"/>
      <c r="V17" s="152"/>
      <c r="W17" s="152"/>
      <c r="X17" s="151">
        <f t="shared" si="1"/>
        <v>35</v>
      </c>
      <c r="Y17" s="204" t="s">
        <v>296</v>
      </c>
    </row>
    <row r="18" spans="1:25" s="3" customFormat="1" ht="42" customHeight="1">
      <c r="A18" s="340"/>
      <c r="B18" s="369"/>
      <c r="C18" s="357"/>
      <c r="D18" s="369"/>
      <c r="E18" s="372"/>
      <c r="F18" s="360"/>
      <c r="G18" s="377"/>
      <c r="H18" s="377"/>
      <c r="I18" s="48">
        <v>0</v>
      </c>
      <c r="J18" s="125" t="s">
        <v>950</v>
      </c>
      <c r="K18" s="377"/>
      <c r="L18" s="49" t="s">
        <v>943</v>
      </c>
      <c r="M18" s="48">
        <v>1</v>
      </c>
      <c r="N18" s="48">
        <v>1</v>
      </c>
      <c r="O18" s="48">
        <v>1</v>
      </c>
      <c r="P18" s="48">
        <v>1</v>
      </c>
      <c r="Q18" s="151">
        <v>20</v>
      </c>
      <c r="R18" s="152">
        <v>20</v>
      </c>
      <c r="S18" s="152"/>
      <c r="T18" s="152"/>
      <c r="U18" s="152"/>
      <c r="V18" s="152"/>
      <c r="W18" s="152"/>
      <c r="X18" s="151">
        <f t="shared" si="1"/>
        <v>20</v>
      </c>
      <c r="Y18" s="204" t="s">
        <v>296</v>
      </c>
    </row>
    <row r="19" spans="1:25" s="3" customFormat="1" ht="39" customHeight="1">
      <c r="A19" s="340"/>
      <c r="B19" s="369"/>
      <c r="C19" s="357" t="s">
        <v>555</v>
      </c>
      <c r="D19" s="369"/>
      <c r="E19" s="371" t="s">
        <v>561</v>
      </c>
      <c r="F19" s="361" t="s">
        <v>560</v>
      </c>
      <c r="G19" s="373" t="s">
        <v>952</v>
      </c>
      <c r="H19" s="381" t="s">
        <v>1018</v>
      </c>
      <c r="I19" s="6">
        <v>411</v>
      </c>
      <c r="J19" s="126" t="s">
        <v>961</v>
      </c>
      <c r="K19" s="373" t="s">
        <v>285</v>
      </c>
      <c r="L19" s="5" t="s">
        <v>954</v>
      </c>
      <c r="M19" s="6">
        <v>0</v>
      </c>
      <c r="N19" s="6">
        <v>50</v>
      </c>
      <c r="O19" s="6">
        <v>0</v>
      </c>
      <c r="P19" s="6">
        <v>0</v>
      </c>
      <c r="Q19" s="153">
        <v>825</v>
      </c>
      <c r="R19" s="154">
        <v>108</v>
      </c>
      <c r="S19" s="154"/>
      <c r="T19" s="154">
        <f>745-28</f>
        <v>717</v>
      </c>
      <c r="U19" s="154"/>
      <c r="V19" s="154"/>
      <c r="W19" s="154"/>
      <c r="X19" s="153">
        <f t="shared" si="1"/>
        <v>825</v>
      </c>
      <c r="Y19" s="187" t="s">
        <v>296</v>
      </c>
    </row>
    <row r="20" spans="1:25" s="3" customFormat="1" ht="38.25">
      <c r="A20" s="340"/>
      <c r="B20" s="369"/>
      <c r="C20" s="357"/>
      <c r="D20" s="369"/>
      <c r="E20" s="371"/>
      <c r="F20" s="361"/>
      <c r="G20" s="373"/>
      <c r="H20" s="381"/>
      <c r="I20" s="6">
        <f>1881-I19</f>
        <v>1470</v>
      </c>
      <c r="J20" s="126" t="s">
        <v>958</v>
      </c>
      <c r="K20" s="373"/>
      <c r="L20" s="5" t="s">
        <v>955</v>
      </c>
      <c r="M20" s="6">
        <v>0</v>
      </c>
      <c r="N20" s="6">
        <v>40</v>
      </c>
      <c r="O20" s="6">
        <v>40</v>
      </c>
      <c r="P20" s="6">
        <v>0</v>
      </c>
      <c r="Q20" s="153">
        <v>1320</v>
      </c>
      <c r="R20" s="154">
        <v>130</v>
      </c>
      <c r="S20" s="154"/>
      <c r="T20" s="154">
        <v>1190</v>
      </c>
      <c r="U20" s="154"/>
      <c r="V20" s="154"/>
      <c r="W20" s="154"/>
      <c r="X20" s="153">
        <f t="shared" si="1"/>
        <v>1320</v>
      </c>
      <c r="Y20" s="187" t="s">
        <v>296</v>
      </c>
    </row>
    <row r="21" spans="1:25" s="3" customFormat="1" ht="39" customHeight="1">
      <c r="A21" s="340"/>
      <c r="B21" s="369"/>
      <c r="C21" s="357"/>
      <c r="D21" s="369"/>
      <c r="E21" s="371"/>
      <c r="F21" s="361"/>
      <c r="G21" s="373"/>
      <c r="H21" s="381"/>
      <c r="I21" s="6">
        <v>0</v>
      </c>
      <c r="J21" s="126" t="s">
        <v>959</v>
      </c>
      <c r="K21" s="373"/>
      <c r="L21" s="5" t="s">
        <v>562</v>
      </c>
      <c r="M21" s="41">
        <v>1</v>
      </c>
      <c r="N21" s="6">
        <v>0</v>
      </c>
      <c r="O21" s="6">
        <v>0</v>
      </c>
      <c r="P21" s="6">
        <v>0</v>
      </c>
      <c r="Q21" s="153">
        <v>100</v>
      </c>
      <c r="R21" s="154">
        <v>100</v>
      </c>
      <c r="S21" s="154"/>
      <c r="T21" s="154"/>
      <c r="U21" s="154"/>
      <c r="V21" s="154"/>
      <c r="W21" s="154"/>
      <c r="X21" s="153">
        <f t="shared" si="1"/>
        <v>100</v>
      </c>
      <c r="Y21" s="187" t="s">
        <v>296</v>
      </c>
    </row>
    <row r="22" spans="1:25" s="3" customFormat="1" ht="38.25">
      <c r="A22" s="340"/>
      <c r="B22" s="369"/>
      <c r="C22" s="357"/>
      <c r="D22" s="369"/>
      <c r="E22" s="371"/>
      <c r="F22" s="361"/>
      <c r="G22" s="70" t="s">
        <v>863</v>
      </c>
      <c r="H22" s="381"/>
      <c r="I22" s="6">
        <v>0</v>
      </c>
      <c r="J22" s="126" t="s">
        <v>960</v>
      </c>
      <c r="K22" s="373"/>
      <c r="L22" s="5" t="s">
        <v>953</v>
      </c>
      <c r="M22" s="6">
        <v>0</v>
      </c>
      <c r="N22" s="6">
        <v>50</v>
      </c>
      <c r="O22" s="6">
        <v>50</v>
      </c>
      <c r="P22" s="6">
        <v>0</v>
      </c>
      <c r="Q22" s="153">
        <v>340</v>
      </c>
      <c r="R22" s="154">
        <v>50</v>
      </c>
      <c r="S22" s="154"/>
      <c r="T22" s="154">
        <v>290</v>
      </c>
      <c r="U22" s="154"/>
      <c r="V22" s="154"/>
      <c r="W22" s="154"/>
      <c r="X22" s="153">
        <f t="shared" si="1"/>
        <v>340</v>
      </c>
      <c r="Y22" s="187" t="s">
        <v>296</v>
      </c>
    </row>
    <row r="23" spans="1:25" s="3" customFormat="1" ht="79.5" customHeight="1">
      <c r="A23" s="340"/>
      <c r="B23" s="369"/>
      <c r="C23" s="357"/>
      <c r="D23" s="369"/>
      <c r="E23" s="371"/>
      <c r="F23" s="361"/>
      <c r="G23" s="70" t="s">
        <v>864</v>
      </c>
      <c r="H23" s="381"/>
      <c r="I23" s="6">
        <v>411</v>
      </c>
      <c r="J23" s="126" t="s">
        <v>961</v>
      </c>
      <c r="K23" s="373"/>
      <c r="L23" s="5" t="s">
        <v>483</v>
      </c>
      <c r="M23" s="6">
        <v>0</v>
      </c>
      <c r="N23" s="6">
        <v>50</v>
      </c>
      <c r="O23" s="6">
        <v>0</v>
      </c>
      <c r="P23" s="6">
        <v>0</v>
      </c>
      <c r="Q23" s="153">
        <v>500</v>
      </c>
      <c r="R23" s="154">
        <v>50</v>
      </c>
      <c r="S23" s="154"/>
      <c r="T23" s="154"/>
      <c r="U23" s="154">
        <v>450</v>
      </c>
      <c r="V23" s="154"/>
      <c r="W23" s="154"/>
      <c r="X23" s="153">
        <f t="shared" si="1"/>
        <v>500</v>
      </c>
      <c r="Y23" s="187" t="s">
        <v>296</v>
      </c>
    </row>
    <row r="24" spans="1:25" s="3" customFormat="1" ht="40.5" customHeight="1">
      <c r="A24" s="340"/>
      <c r="B24" s="369"/>
      <c r="C24" s="357"/>
      <c r="D24" s="369"/>
      <c r="E24" s="371"/>
      <c r="F24" s="361"/>
      <c r="G24" s="70" t="s">
        <v>956</v>
      </c>
      <c r="H24" s="381"/>
      <c r="I24" s="6">
        <v>0</v>
      </c>
      <c r="J24" s="126" t="s">
        <v>962</v>
      </c>
      <c r="K24" s="373"/>
      <c r="L24" s="5" t="s">
        <v>957</v>
      </c>
      <c r="M24" s="41">
        <v>0</v>
      </c>
      <c r="N24" s="41">
        <v>1</v>
      </c>
      <c r="O24" s="41">
        <v>0</v>
      </c>
      <c r="P24" s="41">
        <v>0</v>
      </c>
      <c r="Q24" s="153">
        <v>85</v>
      </c>
      <c r="R24" s="154">
        <v>85</v>
      </c>
      <c r="S24" s="154"/>
      <c r="T24" s="154"/>
      <c r="U24" s="154"/>
      <c r="V24" s="154"/>
      <c r="W24" s="154"/>
      <c r="X24" s="153">
        <f t="shared" si="1"/>
        <v>85</v>
      </c>
      <c r="Y24" s="187" t="s">
        <v>296</v>
      </c>
    </row>
    <row r="25" spans="1:25" s="3" customFormat="1" ht="25.5" customHeight="1">
      <c r="A25" s="339" t="s">
        <v>548</v>
      </c>
      <c r="B25" s="369" t="s">
        <v>552</v>
      </c>
      <c r="C25" s="357" t="s">
        <v>556</v>
      </c>
      <c r="D25" s="369" t="s">
        <v>996</v>
      </c>
      <c r="E25" s="366" t="s">
        <v>499</v>
      </c>
      <c r="F25" s="382" t="s">
        <v>500</v>
      </c>
      <c r="G25" s="366" t="s">
        <v>1020</v>
      </c>
      <c r="H25" s="384" t="s">
        <v>501</v>
      </c>
      <c r="I25" s="38" t="s">
        <v>963</v>
      </c>
      <c r="J25" s="127" t="s">
        <v>964</v>
      </c>
      <c r="K25" s="384" t="s">
        <v>286</v>
      </c>
      <c r="L25" s="47" t="s">
        <v>563</v>
      </c>
      <c r="M25" s="38">
        <v>0.65</v>
      </c>
      <c r="N25" s="38">
        <v>0.7</v>
      </c>
      <c r="O25" s="38">
        <v>0.8</v>
      </c>
      <c r="P25" s="38">
        <v>0.85</v>
      </c>
      <c r="Q25" s="155">
        <v>1500</v>
      </c>
      <c r="R25" s="156">
        <v>693</v>
      </c>
      <c r="S25" s="156"/>
      <c r="T25" s="156"/>
      <c r="U25" s="156"/>
      <c r="V25" s="156">
        <f>1350-693+150</f>
        <v>807</v>
      </c>
      <c r="W25" s="156"/>
      <c r="X25" s="155">
        <f t="shared" si="1"/>
        <v>1500</v>
      </c>
      <c r="Y25" s="205" t="s">
        <v>296</v>
      </c>
    </row>
    <row r="26" spans="1:25" s="3" customFormat="1" ht="63.75">
      <c r="A26" s="340"/>
      <c r="B26" s="369"/>
      <c r="C26" s="357"/>
      <c r="D26" s="369"/>
      <c r="E26" s="366"/>
      <c r="F26" s="382"/>
      <c r="G26" s="366"/>
      <c r="H26" s="384"/>
      <c r="I26" s="37">
        <v>0</v>
      </c>
      <c r="J26" s="127" t="s">
        <v>965</v>
      </c>
      <c r="K26" s="384"/>
      <c r="L26" s="47" t="s">
        <v>1019</v>
      </c>
      <c r="M26" s="38">
        <v>0</v>
      </c>
      <c r="N26" s="38">
        <v>1</v>
      </c>
      <c r="O26" s="38">
        <v>0</v>
      </c>
      <c r="P26" s="38">
        <v>0</v>
      </c>
      <c r="Q26" s="155">
        <v>100</v>
      </c>
      <c r="R26" s="156">
        <v>20</v>
      </c>
      <c r="S26" s="156"/>
      <c r="T26" s="156"/>
      <c r="U26" s="156">
        <v>80</v>
      </c>
      <c r="V26" s="156"/>
      <c r="W26" s="156"/>
      <c r="X26" s="155">
        <f t="shared" si="1"/>
        <v>100</v>
      </c>
      <c r="Y26" s="205" t="s">
        <v>296</v>
      </c>
    </row>
    <row r="27" spans="1:25" s="3" customFormat="1" ht="57" customHeight="1">
      <c r="A27" s="340"/>
      <c r="B27" s="369"/>
      <c r="C27" s="357"/>
      <c r="D27" s="369"/>
      <c r="E27" s="366"/>
      <c r="F27" s="382"/>
      <c r="G27" s="366"/>
      <c r="H27" s="384"/>
      <c r="I27" s="38">
        <v>0.2</v>
      </c>
      <c r="J27" s="127" t="s">
        <v>966</v>
      </c>
      <c r="K27" s="384"/>
      <c r="L27" s="47" t="s">
        <v>564</v>
      </c>
      <c r="M27" s="38">
        <v>0</v>
      </c>
      <c r="N27" s="38">
        <v>0</v>
      </c>
      <c r="O27" s="38">
        <v>0.2</v>
      </c>
      <c r="P27" s="38">
        <v>0.2</v>
      </c>
      <c r="Q27" s="155">
        <v>150</v>
      </c>
      <c r="R27" s="156">
        <v>40</v>
      </c>
      <c r="S27" s="156"/>
      <c r="T27" s="156"/>
      <c r="U27" s="156">
        <v>110</v>
      </c>
      <c r="V27" s="156"/>
      <c r="W27" s="156"/>
      <c r="X27" s="155">
        <f t="shared" si="1"/>
        <v>150</v>
      </c>
      <c r="Y27" s="205" t="s">
        <v>296</v>
      </c>
    </row>
    <row r="28" spans="1:25" s="3" customFormat="1" ht="25.5">
      <c r="A28" s="340"/>
      <c r="B28" s="369"/>
      <c r="C28" s="357" t="s">
        <v>557</v>
      </c>
      <c r="D28" s="369"/>
      <c r="E28" s="365" t="s">
        <v>450</v>
      </c>
      <c r="F28" s="379" t="s">
        <v>569</v>
      </c>
      <c r="G28" s="365" t="s">
        <v>867</v>
      </c>
      <c r="H28" s="380" t="s">
        <v>1021</v>
      </c>
      <c r="I28" s="58">
        <v>0</v>
      </c>
      <c r="J28" s="128" t="s">
        <v>968</v>
      </c>
      <c r="K28" s="383" t="s">
        <v>287</v>
      </c>
      <c r="L28" s="57" t="s">
        <v>565</v>
      </c>
      <c r="M28" s="59">
        <v>0</v>
      </c>
      <c r="N28" s="59">
        <v>0</v>
      </c>
      <c r="O28" s="59">
        <v>1</v>
      </c>
      <c r="P28" s="59">
        <v>0</v>
      </c>
      <c r="Q28" s="157">
        <v>250</v>
      </c>
      <c r="R28" s="158">
        <v>70</v>
      </c>
      <c r="S28" s="158"/>
      <c r="T28" s="158"/>
      <c r="U28" s="158"/>
      <c r="V28" s="158">
        <v>180</v>
      </c>
      <c r="W28" s="158"/>
      <c r="X28" s="157">
        <f t="shared" si="1"/>
        <v>250</v>
      </c>
      <c r="Y28" s="206" t="s">
        <v>297</v>
      </c>
    </row>
    <row r="29" spans="1:25" s="3" customFormat="1" ht="25.5">
      <c r="A29" s="340"/>
      <c r="B29" s="369"/>
      <c r="C29" s="357"/>
      <c r="D29" s="369"/>
      <c r="E29" s="365"/>
      <c r="F29" s="379"/>
      <c r="G29" s="365"/>
      <c r="H29" s="380"/>
      <c r="I29" s="59">
        <v>0.8</v>
      </c>
      <c r="J29" s="128" t="s">
        <v>969</v>
      </c>
      <c r="K29" s="383"/>
      <c r="L29" s="57" t="s">
        <v>967</v>
      </c>
      <c r="M29" s="59">
        <v>0</v>
      </c>
      <c r="N29" s="59">
        <v>0</v>
      </c>
      <c r="O29" s="59">
        <v>0.1</v>
      </c>
      <c r="P29" s="59">
        <v>0.1</v>
      </c>
      <c r="Q29" s="157">
        <v>80</v>
      </c>
      <c r="R29" s="158">
        <v>80</v>
      </c>
      <c r="S29" s="158"/>
      <c r="T29" s="158"/>
      <c r="U29" s="158"/>
      <c r="V29" s="158"/>
      <c r="W29" s="158"/>
      <c r="X29" s="157">
        <f t="shared" ref="X29:X35" si="2">SUM(R29:W29)</f>
        <v>80</v>
      </c>
      <c r="Y29" s="206" t="s">
        <v>297</v>
      </c>
    </row>
    <row r="30" spans="1:25" s="3" customFormat="1" ht="63.75">
      <c r="A30" s="340"/>
      <c r="B30" s="369"/>
      <c r="C30" s="357"/>
      <c r="D30" s="369"/>
      <c r="E30" s="365"/>
      <c r="F30" s="379"/>
      <c r="G30" s="365"/>
      <c r="H30" s="380"/>
      <c r="I30" s="59">
        <v>0.05</v>
      </c>
      <c r="J30" s="128" t="s">
        <v>970</v>
      </c>
      <c r="K30" s="383"/>
      <c r="L30" s="57" t="s">
        <v>566</v>
      </c>
      <c r="M30" s="59">
        <v>0.4</v>
      </c>
      <c r="N30" s="59">
        <v>0.35</v>
      </c>
      <c r="O30" s="59">
        <v>0</v>
      </c>
      <c r="P30" s="59">
        <v>0</v>
      </c>
      <c r="Q30" s="157">
        <v>30</v>
      </c>
      <c r="R30" s="158">
        <v>30</v>
      </c>
      <c r="S30" s="158"/>
      <c r="T30" s="158"/>
      <c r="U30" s="158"/>
      <c r="V30" s="158"/>
      <c r="W30" s="158"/>
      <c r="X30" s="157">
        <f t="shared" si="2"/>
        <v>30</v>
      </c>
      <c r="Y30" s="206" t="s">
        <v>297</v>
      </c>
    </row>
    <row r="31" spans="1:25" s="3" customFormat="1" ht="25.5">
      <c r="A31" s="340"/>
      <c r="B31" s="369"/>
      <c r="C31" s="357"/>
      <c r="D31" s="369"/>
      <c r="E31" s="365"/>
      <c r="F31" s="379"/>
      <c r="G31" s="365"/>
      <c r="H31" s="380"/>
      <c r="I31" s="59">
        <v>0.5</v>
      </c>
      <c r="J31" s="128" t="s">
        <v>971</v>
      </c>
      <c r="K31" s="383"/>
      <c r="L31" s="57" t="s">
        <v>567</v>
      </c>
      <c r="M31" s="59">
        <v>0.1</v>
      </c>
      <c r="N31" s="59">
        <v>0.2</v>
      </c>
      <c r="O31" s="59">
        <v>0.2</v>
      </c>
      <c r="P31" s="59">
        <v>0</v>
      </c>
      <c r="Q31" s="157">
        <v>35</v>
      </c>
      <c r="R31" s="158">
        <v>35</v>
      </c>
      <c r="S31" s="158"/>
      <c r="T31" s="158"/>
      <c r="U31" s="158"/>
      <c r="V31" s="158"/>
      <c r="W31" s="158"/>
      <c r="X31" s="157">
        <f t="shared" si="2"/>
        <v>35</v>
      </c>
      <c r="Y31" s="206" t="s">
        <v>297</v>
      </c>
    </row>
    <row r="32" spans="1:25" s="3" customFormat="1" ht="53.25" customHeight="1">
      <c r="A32" s="340"/>
      <c r="B32" s="369"/>
      <c r="C32" s="357"/>
      <c r="D32" s="369"/>
      <c r="E32" s="365"/>
      <c r="F32" s="379"/>
      <c r="G32" s="365"/>
      <c r="H32" s="380"/>
      <c r="I32" s="59">
        <v>0.9</v>
      </c>
      <c r="J32" s="128" t="s">
        <v>972</v>
      </c>
      <c r="K32" s="383"/>
      <c r="L32" s="57" t="s">
        <v>568</v>
      </c>
      <c r="M32" s="59">
        <v>0.1</v>
      </c>
      <c r="N32" s="59">
        <v>0</v>
      </c>
      <c r="O32" s="59">
        <v>0</v>
      </c>
      <c r="P32" s="59">
        <v>0</v>
      </c>
      <c r="Q32" s="157">
        <v>250</v>
      </c>
      <c r="R32" s="158">
        <v>70</v>
      </c>
      <c r="S32" s="158"/>
      <c r="T32" s="158"/>
      <c r="U32" s="158"/>
      <c r="V32" s="158">
        <v>180</v>
      </c>
      <c r="W32" s="158"/>
      <c r="X32" s="157">
        <f t="shared" si="2"/>
        <v>250</v>
      </c>
      <c r="Y32" s="206" t="s">
        <v>297</v>
      </c>
    </row>
    <row r="33" spans="1:25" s="3" customFormat="1" ht="39" customHeight="1">
      <c r="A33" s="340"/>
      <c r="B33" s="369"/>
      <c r="C33" s="357"/>
      <c r="D33" s="369"/>
      <c r="E33" s="365"/>
      <c r="F33" s="379"/>
      <c r="G33" s="365"/>
      <c r="H33" s="380"/>
      <c r="I33" s="59">
        <v>0</v>
      </c>
      <c r="J33" s="128" t="s">
        <v>959</v>
      </c>
      <c r="K33" s="383"/>
      <c r="L33" s="57" t="s">
        <v>401</v>
      </c>
      <c r="M33" s="59">
        <v>0</v>
      </c>
      <c r="N33" s="59">
        <v>1</v>
      </c>
      <c r="O33" s="59">
        <v>1</v>
      </c>
      <c r="P33" s="59">
        <v>1</v>
      </c>
      <c r="Q33" s="157">
        <v>100</v>
      </c>
      <c r="R33" s="158">
        <v>100</v>
      </c>
      <c r="S33" s="158"/>
      <c r="T33" s="158"/>
      <c r="U33" s="158"/>
      <c r="V33" s="158"/>
      <c r="W33" s="158"/>
      <c r="X33" s="157">
        <f t="shared" si="2"/>
        <v>100</v>
      </c>
      <c r="Y33" s="206" t="s">
        <v>297</v>
      </c>
    </row>
    <row r="34" spans="1:25" s="3" customFormat="1" ht="66" customHeight="1">
      <c r="A34" s="340"/>
      <c r="B34" s="369"/>
      <c r="C34" s="357"/>
      <c r="D34" s="369"/>
      <c r="E34" s="365"/>
      <c r="F34" s="379"/>
      <c r="G34" s="365"/>
      <c r="H34" s="380"/>
      <c r="I34" s="59" t="s">
        <v>418</v>
      </c>
      <c r="J34" s="128" t="s">
        <v>417</v>
      </c>
      <c r="K34" s="383"/>
      <c r="L34" s="57" t="s">
        <v>416</v>
      </c>
      <c r="M34" s="59">
        <v>0</v>
      </c>
      <c r="N34" s="59">
        <v>0.5</v>
      </c>
      <c r="O34" s="59">
        <v>1</v>
      </c>
      <c r="P34" s="59">
        <v>1</v>
      </c>
      <c r="Q34" s="157">
        <v>800</v>
      </c>
      <c r="R34" s="158">
        <v>233</v>
      </c>
      <c r="S34" s="158"/>
      <c r="T34" s="158">
        <v>567</v>
      </c>
      <c r="U34" s="158"/>
      <c r="V34" s="158"/>
      <c r="W34" s="158"/>
      <c r="X34" s="157">
        <f t="shared" si="2"/>
        <v>800</v>
      </c>
      <c r="Y34" s="206" t="s">
        <v>297</v>
      </c>
    </row>
    <row r="35" spans="1:25" s="3" customFormat="1" ht="82.5" customHeight="1">
      <c r="A35" s="359"/>
      <c r="B35" s="370"/>
      <c r="C35" s="357"/>
      <c r="D35" s="370"/>
      <c r="E35" s="365"/>
      <c r="F35" s="379"/>
      <c r="G35" s="365"/>
      <c r="H35" s="380"/>
      <c r="I35" s="59">
        <v>0.6</v>
      </c>
      <c r="J35" s="128" t="s">
        <v>973</v>
      </c>
      <c r="K35" s="383"/>
      <c r="L35" s="57" t="s">
        <v>316</v>
      </c>
      <c r="M35" s="59">
        <v>0</v>
      </c>
      <c r="N35" s="59">
        <v>0.2</v>
      </c>
      <c r="O35" s="59">
        <v>0.2</v>
      </c>
      <c r="P35" s="59">
        <v>0</v>
      </c>
      <c r="Q35" s="157">
        <v>35</v>
      </c>
      <c r="R35" s="158">
        <v>35</v>
      </c>
      <c r="S35" s="158"/>
      <c r="T35" s="158"/>
      <c r="U35" s="158"/>
      <c r="V35" s="158"/>
      <c r="W35" s="158"/>
      <c r="X35" s="157">
        <f t="shared" si="2"/>
        <v>35</v>
      </c>
      <c r="Y35" s="206" t="s">
        <v>297</v>
      </c>
    </row>
    <row r="36" spans="1:25">
      <c r="Q36" s="180">
        <f>SUM(Q3:Q35)</f>
        <v>18681</v>
      </c>
      <c r="R36" s="180">
        <f t="shared" ref="R36:X36" si="3">SUM(R3:R35)</f>
        <v>6180</v>
      </c>
      <c r="S36" s="180">
        <f t="shared" si="3"/>
        <v>425</v>
      </c>
      <c r="T36" s="180">
        <f t="shared" si="3"/>
        <v>4934</v>
      </c>
      <c r="U36" s="180">
        <f t="shared" si="3"/>
        <v>960</v>
      </c>
      <c r="V36" s="180">
        <f t="shared" si="3"/>
        <v>5823</v>
      </c>
      <c r="W36" s="180">
        <f t="shared" si="3"/>
        <v>359</v>
      </c>
      <c r="X36" s="180">
        <f t="shared" si="3"/>
        <v>18681</v>
      </c>
      <c r="Y36" s="39"/>
    </row>
    <row r="39" spans="1:25">
      <c r="L39" s="52"/>
    </row>
  </sheetData>
  <mergeCells count="56">
    <mergeCell ref="K13:K18"/>
    <mergeCell ref="F28:F35"/>
    <mergeCell ref="H28:H35"/>
    <mergeCell ref="G28:G35"/>
    <mergeCell ref="H19:H24"/>
    <mergeCell ref="F25:F27"/>
    <mergeCell ref="K28:K35"/>
    <mergeCell ref="G25:G27"/>
    <mergeCell ref="H25:H27"/>
    <mergeCell ref="K25:K27"/>
    <mergeCell ref="E13:E18"/>
    <mergeCell ref="C13:C18"/>
    <mergeCell ref="K19:K24"/>
    <mergeCell ref="K3:K12"/>
    <mergeCell ref="G13:G16"/>
    <mergeCell ref="G17:G18"/>
    <mergeCell ref="H13:H18"/>
    <mergeCell ref="G19:G21"/>
    <mergeCell ref="G11:G12"/>
    <mergeCell ref="H11:H12"/>
    <mergeCell ref="C25:C27"/>
    <mergeCell ref="B3:B12"/>
    <mergeCell ref="B13:B24"/>
    <mergeCell ref="B25:B35"/>
    <mergeCell ref="D13:D24"/>
    <mergeCell ref="D25:D35"/>
    <mergeCell ref="A3:A12"/>
    <mergeCell ref="A13:A24"/>
    <mergeCell ref="A25:A35"/>
    <mergeCell ref="F13:F18"/>
    <mergeCell ref="F19:F24"/>
    <mergeCell ref="D3:D12"/>
    <mergeCell ref="F11:F12"/>
    <mergeCell ref="C28:C35"/>
    <mergeCell ref="E28:E35"/>
    <mergeCell ref="E25:E27"/>
    <mergeCell ref="C19:C24"/>
    <mergeCell ref="C3:C12"/>
    <mergeCell ref="F8:F9"/>
    <mergeCell ref="H8:H9"/>
    <mergeCell ref="G3:G7"/>
    <mergeCell ref="F3:F7"/>
    <mergeCell ref="H3:H7"/>
    <mergeCell ref="G8:G9"/>
    <mergeCell ref="E3:E12"/>
    <mergeCell ref="E19:E24"/>
    <mergeCell ref="I1:J1"/>
    <mergeCell ref="Y3:Y4"/>
    <mergeCell ref="R1:X1"/>
    <mergeCell ref="Q3:Q4"/>
    <mergeCell ref="R3:R4"/>
    <mergeCell ref="T3:T4"/>
    <mergeCell ref="V3:V4"/>
    <mergeCell ref="W3:W4"/>
    <mergeCell ref="X3:X4"/>
    <mergeCell ref="L3:L4"/>
  </mergeCells>
  <phoneticPr fontId="0" type="noConversion"/>
  <pageMargins left="0.16" right="0.118110236220472" top="0.44" bottom="0.48" header="0.31496062992126" footer="0.28000000000000003"/>
  <pageSetup scale="74" orientation="landscape" horizontalDpi="90" verticalDpi="90" r:id="rId1"/>
  <headerFooter>
    <oddFooter>&amp;CMATRIZ ESTRATEGICA CONSTRUIDA URBANO REGIONAL&amp;RPágina &amp;P de &amp;N</oddFooter>
  </headerFooter>
  <rowBreaks count="2" manualBreakCount="2">
    <brk id="12" max="11" man="1"/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30"/>
  <sheetViews>
    <sheetView view="pageBreakPreview" zoomScale="110" zoomScaleNormal="89" zoomScaleSheetLayoutView="110" workbookViewId="0">
      <pane ySplit="1605" topLeftCell="A13" activePane="bottomLeft"/>
      <selection activeCell="L9" sqref="G3:L17"/>
      <selection pane="bottomLeft" activeCell="J20" sqref="J20"/>
    </sheetView>
  </sheetViews>
  <sheetFormatPr baseColWidth="10" defaultRowHeight="12.75"/>
  <cols>
    <col min="1" max="1" width="10.5703125" style="1" customWidth="1"/>
    <col min="2" max="2" width="17.85546875" style="1" customWidth="1"/>
    <col min="3" max="3" width="8.42578125" style="1" customWidth="1"/>
    <col min="4" max="4" width="13.140625" style="52" customWidth="1"/>
    <col min="5" max="5" width="17.28515625" style="1" customWidth="1"/>
    <col min="6" max="6" width="14" style="53" customWidth="1"/>
    <col min="7" max="7" width="14.42578125" style="1" customWidth="1"/>
    <col min="8" max="8" width="12.7109375" style="1" customWidth="1"/>
    <col min="9" max="9" width="10.28515625" style="1" bestFit="1" customWidth="1"/>
    <col min="10" max="10" width="17.28515625" style="39" bestFit="1" customWidth="1"/>
    <col min="11" max="11" width="14.140625" style="1" customWidth="1"/>
    <col min="12" max="12" width="25.5703125" style="219" customWidth="1"/>
    <col min="13" max="15" width="7.28515625" style="1" bestFit="1" customWidth="1"/>
    <col min="16" max="16" width="7.7109375" style="1" customWidth="1"/>
    <col min="17" max="17" width="9.5703125" style="146" bestFit="1" customWidth="1"/>
    <col min="18" max="18" width="9.85546875" style="117" bestFit="1" customWidth="1"/>
    <col min="19" max="19" width="7.7109375" style="117" customWidth="1"/>
    <col min="20" max="20" width="7.42578125" style="117" bestFit="1" customWidth="1"/>
    <col min="21" max="21" width="8.7109375" style="117" customWidth="1"/>
    <col min="22" max="22" width="7.7109375" style="117" bestFit="1" customWidth="1"/>
    <col min="23" max="23" width="6.85546875" style="117" bestFit="1" customWidth="1"/>
    <col min="24" max="24" width="8.28515625" style="146" customWidth="1"/>
    <col min="25" max="25" width="12.7109375" style="117" customWidth="1"/>
    <col min="26" max="16384" width="11.42578125" style="1"/>
  </cols>
  <sheetData>
    <row r="1" spans="1:25" ht="15.75" customHeight="1">
      <c r="I1" s="405" t="s">
        <v>731</v>
      </c>
      <c r="J1" s="406"/>
      <c r="Q1" s="142"/>
      <c r="R1" s="343" t="s">
        <v>220</v>
      </c>
      <c r="S1" s="344"/>
      <c r="T1" s="345"/>
      <c r="U1" s="345"/>
      <c r="V1" s="345"/>
      <c r="W1" s="345"/>
      <c r="X1" s="346"/>
      <c r="Y1" s="137"/>
    </row>
    <row r="2" spans="1:25" s="2" customFormat="1" ht="43.5" customHeight="1">
      <c r="A2" s="50" t="s">
        <v>547</v>
      </c>
      <c r="B2" s="50" t="s">
        <v>546</v>
      </c>
      <c r="C2" s="50" t="s">
        <v>545</v>
      </c>
      <c r="D2" s="50" t="s">
        <v>543</v>
      </c>
      <c r="E2" s="50" t="s">
        <v>544</v>
      </c>
      <c r="F2" s="50" t="s">
        <v>541</v>
      </c>
      <c r="G2" s="50" t="s">
        <v>542</v>
      </c>
      <c r="H2" s="50" t="s">
        <v>540</v>
      </c>
      <c r="I2" s="4" t="s">
        <v>537</v>
      </c>
      <c r="J2" s="50" t="s">
        <v>459</v>
      </c>
      <c r="K2" s="50" t="s">
        <v>539</v>
      </c>
      <c r="L2" s="50" t="s">
        <v>538</v>
      </c>
      <c r="M2" s="4">
        <v>2012</v>
      </c>
      <c r="N2" s="4">
        <v>2013</v>
      </c>
      <c r="O2" s="4">
        <v>2014</v>
      </c>
      <c r="P2" s="4">
        <v>2015</v>
      </c>
      <c r="Q2" s="138" t="s">
        <v>215</v>
      </c>
      <c r="R2" s="138" t="s">
        <v>233</v>
      </c>
      <c r="S2" s="138" t="s">
        <v>282</v>
      </c>
      <c r="T2" s="138" t="s">
        <v>234</v>
      </c>
      <c r="U2" s="138" t="s">
        <v>235</v>
      </c>
      <c r="V2" s="138" t="s">
        <v>216</v>
      </c>
      <c r="W2" s="138" t="s">
        <v>217</v>
      </c>
      <c r="X2" s="138" t="s">
        <v>218</v>
      </c>
      <c r="Y2" s="138" t="s">
        <v>219</v>
      </c>
    </row>
    <row r="3" spans="1:25" s="3" customFormat="1" ht="38.25" customHeight="1">
      <c r="A3" s="339" t="s">
        <v>570</v>
      </c>
      <c r="B3" s="368" t="s">
        <v>453</v>
      </c>
      <c r="C3" s="357" t="s">
        <v>571</v>
      </c>
      <c r="D3" s="411" t="s">
        <v>997</v>
      </c>
      <c r="E3" s="410" t="s">
        <v>451</v>
      </c>
      <c r="F3" s="400" t="s">
        <v>1002</v>
      </c>
      <c r="G3" s="410" t="s">
        <v>872</v>
      </c>
      <c r="H3" s="412" t="s">
        <v>1001</v>
      </c>
      <c r="I3" s="34">
        <v>0</v>
      </c>
      <c r="J3" s="301" t="s">
        <v>442</v>
      </c>
      <c r="K3" s="397" t="s">
        <v>487</v>
      </c>
      <c r="L3" s="210" t="s">
        <v>639</v>
      </c>
      <c r="M3" s="34">
        <v>200</v>
      </c>
      <c r="N3" s="34">
        <v>200</v>
      </c>
      <c r="O3" s="34">
        <v>200</v>
      </c>
      <c r="P3" s="34">
        <v>0</v>
      </c>
      <c r="Q3" s="197">
        <v>900</v>
      </c>
      <c r="R3" s="280">
        <v>100</v>
      </c>
      <c r="S3" s="280"/>
      <c r="T3" s="280"/>
      <c r="U3" s="280">
        <v>200</v>
      </c>
      <c r="V3" s="280">
        <v>600</v>
      </c>
      <c r="W3" s="140"/>
      <c r="X3" s="145">
        <f t="shared" ref="X3:X18" si="0">SUM(R3:W3)</f>
        <v>900</v>
      </c>
      <c r="Y3" s="140" t="s">
        <v>281</v>
      </c>
    </row>
    <row r="4" spans="1:25" s="3" customFormat="1" ht="38.25">
      <c r="A4" s="340"/>
      <c r="B4" s="369"/>
      <c r="C4" s="357"/>
      <c r="D4" s="411"/>
      <c r="E4" s="407"/>
      <c r="F4" s="403"/>
      <c r="G4" s="407"/>
      <c r="H4" s="412"/>
      <c r="I4" s="34">
        <v>0</v>
      </c>
      <c r="J4" s="301" t="s">
        <v>442</v>
      </c>
      <c r="K4" s="398"/>
      <c r="L4" s="210" t="s">
        <v>640</v>
      </c>
      <c r="M4" s="34">
        <v>150</v>
      </c>
      <c r="N4" s="34">
        <v>150</v>
      </c>
      <c r="O4" s="34">
        <v>150</v>
      </c>
      <c r="P4" s="34">
        <v>150</v>
      </c>
      <c r="Q4" s="197">
        <v>3000</v>
      </c>
      <c r="R4" s="280">
        <v>100</v>
      </c>
      <c r="S4" s="280"/>
      <c r="T4" s="280">
        <v>200</v>
      </c>
      <c r="U4" s="280">
        <v>1200</v>
      </c>
      <c r="V4" s="280">
        <v>1500</v>
      </c>
      <c r="W4" s="140"/>
      <c r="X4" s="145">
        <f t="shared" si="0"/>
        <v>3000</v>
      </c>
      <c r="Y4" s="140" t="s">
        <v>281</v>
      </c>
    </row>
    <row r="5" spans="1:25" s="3" customFormat="1" ht="25.5">
      <c r="A5" s="340"/>
      <c r="B5" s="369"/>
      <c r="C5" s="357"/>
      <c r="D5" s="411"/>
      <c r="E5" s="407"/>
      <c r="F5" s="403"/>
      <c r="G5" s="407"/>
      <c r="H5" s="412"/>
      <c r="I5" s="34">
        <v>0</v>
      </c>
      <c r="J5" s="301" t="s">
        <v>642</v>
      </c>
      <c r="K5" s="398"/>
      <c r="L5" s="210" t="s">
        <v>573</v>
      </c>
      <c r="M5" s="34">
        <v>350</v>
      </c>
      <c r="N5" s="34">
        <v>350</v>
      </c>
      <c r="O5" s="34">
        <v>350</v>
      </c>
      <c r="P5" s="34">
        <v>150</v>
      </c>
      <c r="Q5" s="197">
        <v>780</v>
      </c>
      <c r="R5" s="280">
        <v>120</v>
      </c>
      <c r="S5" s="281">
        <v>60</v>
      </c>
      <c r="T5" s="280">
        <f>150*4</f>
        <v>600</v>
      </c>
      <c r="U5" s="280"/>
      <c r="V5" s="280"/>
      <c r="W5" s="140"/>
      <c r="X5" s="145">
        <f t="shared" si="0"/>
        <v>780</v>
      </c>
      <c r="Y5" s="140" t="s">
        <v>281</v>
      </c>
    </row>
    <row r="6" spans="1:25" s="3" customFormat="1" ht="38.25">
      <c r="A6" s="340"/>
      <c r="B6" s="369"/>
      <c r="C6" s="357"/>
      <c r="D6" s="411"/>
      <c r="E6" s="407"/>
      <c r="F6" s="403"/>
      <c r="G6" s="407"/>
      <c r="H6" s="412"/>
      <c r="I6" s="34">
        <v>0</v>
      </c>
      <c r="J6" s="301" t="s">
        <v>643</v>
      </c>
      <c r="K6" s="398"/>
      <c r="L6" s="210" t="s">
        <v>572</v>
      </c>
      <c r="M6" s="34">
        <v>0</v>
      </c>
      <c r="N6" s="34">
        <v>0</v>
      </c>
      <c r="O6" s="34">
        <v>100</v>
      </c>
      <c r="P6" s="34">
        <v>0</v>
      </c>
      <c r="Q6" s="197">
        <v>20</v>
      </c>
      <c r="R6" s="280">
        <v>20</v>
      </c>
      <c r="S6" s="280"/>
      <c r="T6" s="280"/>
      <c r="U6" s="280"/>
      <c r="V6" s="280"/>
      <c r="W6" s="140"/>
      <c r="X6" s="145">
        <f t="shared" si="0"/>
        <v>20</v>
      </c>
      <c r="Y6" s="140" t="s">
        <v>281</v>
      </c>
    </row>
    <row r="7" spans="1:25" s="3" customFormat="1" ht="25.5">
      <c r="A7" s="340"/>
      <c r="B7" s="369"/>
      <c r="C7" s="357"/>
      <c r="D7" s="411"/>
      <c r="E7" s="407"/>
      <c r="F7" s="404"/>
      <c r="G7" s="407"/>
      <c r="H7" s="412"/>
      <c r="I7" s="34">
        <v>0</v>
      </c>
      <c r="J7" s="301" t="s">
        <v>644</v>
      </c>
      <c r="K7" s="398"/>
      <c r="L7" s="210" t="s">
        <v>641</v>
      </c>
      <c r="M7" s="34">
        <v>0</v>
      </c>
      <c r="N7" s="34">
        <v>1</v>
      </c>
      <c r="O7" s="34">
        <v>1</v>
      </c>
      <c r="P7" s="34">
        <v>0</v>
      </c>
      <c r="Q7" s="197">
        <v>100</v>
      </c>
      <c r="R7" s="280">
        <v>40</v>
      </c>
      <c r="S7" s="280"/>
      <c r="T7" s="280"/>
      <c r="U7" s="280">
        <v>60</v>
      </c>
      <c r="V7" s="280"/>
      <c r="W7" s="140"/>
      <c r="X7" s="145">
        <f t="shared" si="0"/>
        <v>100</v>
      </c>
      <c r="Y7" s="140" t="s">
        <v>281</v>
      </c>
    </row>
    <row r="8" spans="1:25" s="3" customFormat="1" ht="56.25" customHeight="1">
      <c r="A8" s="340"/>
      <c r="B8" s="369"/>
      <c r="C8" s="357"/>
      <c r="D8" s="411"/>
      <c r="E8" s="407"/>
      <c r="F8" s="409" t="s">
        <v>1003</v>
      </c>
      <c r="G8" s="407"/>
      <c r="H8" s="412" t="s">
        <v>1008</v>
      </c>
      <c r="I8" s="34">
        <v>200</v>
      </c>
      <c r="J8" s="301" t="s">
        <v>321</v>
      </c>
      <c r="K8" s="398"/>
      <c r="L8" s="210" t="s">
        <v>322</v>
      </c>
      <c r="M8" s="34">
        <v>0</v>
      </c>
      <c r="N8" s="34">
        <v>100</v>
      </c>
      <c r="O8" s="34">
        <v>100</v>
      </c>
      <c r="P8" s="34">
        <v>0</v>
      </c>
      <c r="Q8" s="197">
        <v>1000</v>
      </c>
      <c r="R8" s="280">
        <v>100</v>
      </c>
      <c r="S8" s="280"/>
      <c r="T8" s="280"/>
      <c r="U8" s="280">
        <v>900</v>
      </c>
      <c r="V8" s="280"/>
      <c r="W8" s="140"/>
      <c r="X8" s="145">
        <f t="shared" si="0"/>
        <v>1000</v>
      </c>
      <c r="Y8" s="140" t="s">
        <v>281</v>
      </c>
    </row>
    <row r="9" spans="1:25" s="3" customFormat="1" ht="48" customHeight="1">
      <c r="A9" s="340"/>
      <c r="B9" s="369"/>
      <c r="C9" s="357"/>
      <c r="D9" s="411"/>
      <c r="E9" s="407"/>
      <c r="F9" s="409"/>
      <c r="G9" s="407"/>
      <c r="H9" s="412"/>
      <c r="I9" s="34">
        <v>0</v>
      </c>
      <c r="J9" s="301" t="s">
        <v>645</v>
      </c>
      <c r="K9" s="398"/>
      <c r="L9" s="210" t="s">
        <v>574</v>
      </c>
      <c r="M9" s="34">
        <v>0</v>
      </c>
      <c r="N9" s="34">
        <v>1</v>
      </c>
      <c r="O9" s="34">
        <v>2</v>
      </c>
      <c r="P9" s="34">
        <v>0</v>
      </c>
      <c r="Q9" s="197">
        <v>150</v>
      </c>
      <c r="R9" s="280">
        <v>82</v>
      </c>
      <c r="S9" s="282"/>
      <c r="T9" s="280"/>
      <c r="U9" s="280"/>
      <c r="V9" s="280">
        <v>68</v>
      </c>
      <c r="W9" s="140"/>
      <c r="X9" s="145">
        <f t="shared" si="0"/>
        <v>150</v>
      </c>
      <c r="Y9" s="140" t="s">
        <v>281</v>
      </c>
    </row>
    <row r="10" spans="1:25" s="3" customFormat="1" ht="54" customHeight="1">
      <c r="A10" s="340"/>
      <c r="B10" s="369"/>
      <c r="C10" s="357"/>
      <c r="D10" s="411"/>
      <c r="E10" s="407"/>
      <c r="F10" s="409" t="s">
        <v>1004</v>
      </c>
      <c r="G10" s="407"/>
      <c r="H10" s="412" t="s">
        <v>1000</v>
      </c>
      <c r="I10" s="34">
        <v>0</v>
      </c>
      <c r="J10" s="301" t="s">
        <v>647</v>
      </c>
      <c r="K10" s="398"/>
      <c r="L10" s="210" t="s">
        <v>575</v>
      </c>
      <c r="M10" s="34">
        <v>0</v>
      </c>
      <c r="N10" s="34">
        <v>1</v>
      </c>
      <c r="O10" s="34">
        <v>1</v>
      </c>
      <c r="P10" s="34">
        <v>0</v>
      </c>
      <c r="Q10" s="197">
        <v>100</v>
      </c>
      <c r="R10" s="280">
        <v>20</v>
      </c>
      <c r="S10" s="282"/>
      <c r="T10" s="280" t="s">
        <v>280</v>
      </c>
      <c r="U10" s="280">
        <v>30</v>
      </c>
      <c r="V10" s="280">
        <v>50</v>
      </c>
      <c r="W10" s="140"/>
      <c r="X10" s="145">
        <f t="shared" si="0"/>
        <v>100</v>
      </c>
      <c r="Y10" s="140" t="s">
        <v>281</v>
      </c>
    </row>
    <row r="11" spans="1:25" s="3" customFormat="1" ht="25.5">
      <c r="A11" s="340"/>
      <c r="B11" s="369"/>
      <c r="C11" s="357"/>
      <c r="D11" s="411"/>
      <c r="E11" s="407"/>
      <c r="F11" s="409"/>
      <c r="G11" s="407"/>
      <c r="H11" s="412"/>
      <c r="I11" s="34">
        <v>0</v>
      </c>
      <c r="J11" s="301" t="s">
        <v>232</v>
      </c>
      <c r="K11" s="398"/>
      <c r="L11" s="210" t="s">
        <v>231</v>
      </c>
      <c r="M11" s="34">
        <v>0</v>
      </c>
      <c r="N11" s="34">
        <v>0</v>
      </c>
      <c r="O11" s="34">
        <v>1</v>
      </c>
      <c r="P11" s="34">
        <v>0</v>
      </c>
      <c r="Q11" s="197">
        <v>40</v>
      </c>
      <c r="R11" s="280">
        <v>10</v>
      </c>
      <c r="S11" s="280">
        <v>10</v>
      </c>
      <c r="T11" s="280"/>
      <c r="U11" s="280">
        <v>20</v>
      </c>
      <c r="V11" s="280"/>
      <c r="W11" s="140"/>
      <c r="X11" s="145">
        <f t="shared" si="0"/>
        <v>40</v>
      </c>
      <c r="Y11" s="140" t="s">
        <v>281</v>
      </c>
    </row>
    <row r="12" spans="1:25" s="3" customFormat="1" ht="51">
      <c r="A12" s="340"/>
      <c r="B12" s="369"/>
      <c r="C12" s="357"/>
      <c r="D12" s="411"/>
      <c r="E12" s="407"/>
      <c r="F12" s="409"/>
      <c r="G12" s="408"/>
      <c r="H12" s="412"/>
      <c r="I12" s="34">
        <v>0</v>
      </c>
      <c r="J12" s="301" t="s">
        <v>648</v>
      </c>
      <c r="K12" s="398"/>
      <c r="L12" s="210" t="s">
        <v>646</v>
      </c>
      <c r="M12" s="34">
        <v>0</v>
      </c>
      <c r="N12" s="34">
        <v>1</v>
      </c>
      <c r="O12" s="34">
        <v>1</v>
      </c>
      <c r="P12" s="34">
        <v>0</v>
      </c>
      <c r="Q12" s="197">
        <v>50</v>
      </c>
      <c r="R12" s="280">
        <v>10</v>
      </c>
      <c r="S12" s="282"/>
      <c r="T12" s="280"/>
      <c r="U12" s="280">
        <v>40</v>
      </c>
      <c r="V12" s="280"/>
      <c r="W12" s="140"/>
      <c r="X12" s="145">
        <f t="shared" si="0"/>
        <v>50</v>
      </c>
      <c r="Y12" s="140" t="s">
        <v>281</v>
      </c>
    </row>
    <row r="13" spans="1:25" s="3" customFormat="1" ht="66.75" customHeight="1">
      <c r="A13" s="340"/>
      <c r="B13" s="369"/>
      <c r="C13" s="357"/>
      <c r="D13" s="400" t="s">
        <v>998</v>
      </c>
      <c r="E13" s="407"/>
      <c r="F13" s="409" t="s">
        <v>1005</v>
      </c>
      <c r="G13" s="407" t="s">
        <v>78</v>
      </c>
      <c r="H13" s="412" t="s">
        <v>79</v>
      </c>
      <c r="I13" s="34">
        <v>0</v>
      </c>
      <c r="J13" s="301" t="s">
        <v>649</v>
      </c>
      <c r="K13" s="398"/>
      <c r="L13" s="210" t="s">
        <v>650</v>
      </c>
      <c r="M13" s="34">
        <v>0</v>
      </c>
      <c r="N13" s="34">
        <v>100</v>
      </c>
      <c r="O13" s="34">
        <v>100</v>
      </c>
      <c r="P13" s="34">
        <v>0</v>
      </c>
      <c r="Q13" s="197">
        <f>200*2.2</f>
        <v>440.00000000000006</v>
      </c>
      <c r="R13" s="280">
        <v>20</v>
      </c>
      <c r="S13" s="281">
        <v>20</v>
      </c>
      <c r="T13" s="280">
        <v>100</v>
      </c>
      <c r="U13" s="280">
        <v>200</v>
      </c>
      <c r="V13" s="280">
        <v>100</v>
      </c>
      <c r="W13" s="140"/>
      <c r="X13" s="145">
        <f t="shared" si="0"/>
        <v>440</v>
      </c>
      <c r="Y13" s="140" t="s">
        <v>299</v>
      </c>
    </row>
    <row r="14" spans="1:25" s="3" customFormat="1" ht="25.5">
      <c r="A14" s="340"/>
      <c r="B14" s="369"/>
      <c r="C14" s="357"/>
      <c r="D14" s="401"/>
      <c r="E14" s="407"/>
      <c r="F14" s="409"/>
      <c r="G14" s="407"/>
      <c r="H14" s="412"/>
      <c r="I14" s="34">
        <v>0</v>
      </c>
      <c r="J14" s="307" t="s">
        <v>652</v>
      </c>
      <c r="K14" s="398"/>
      <c r="L14" s="210" t="s">
        <v>651</v>
      </c>
      <c r="M14" s="34"/>
      <c r="N14" s="34"/>
      <c r="O14" s="36">
        <v>0.1</v>
      </c>
      <c r="P14" s="36">
        <v>0.1</v>
      </c>
      <c r="Q14" s="197">
        <f>20*20</f>
        <v>400</v>
      </c>
      <c r="R14" s="280">
        <v>40</v>
      </c>
      <c r="S14" s="282"/>
      <c r="T14" s="280">
        <v>360</v>
      </c>
      <c r="U14" s="280"/>
      <c r="V14" s="280"/>
      <c r="W14" s="140"/>
      <c r="X14" s="145">
        <f t="shared" si="0"/>
        <v>400</v>
      </c>
      <c r="Y14" s="140" t="s">
        <v>299</v>
      </c>
    </row>
    <row r="15" spans="1:25" s="3" customFormat="1" ht="51">
      <c r="A15" s="340"/>
      <c r="B15" s="369"/>
      <c r="C15" s="357"/>
      <c r="D15" s="401"/>
      <c r="E15" s="407"/>
      <c r="F15" s="409"/>
      <c r="G15" s="407"/>
      <c r="H15" s="412"/>
      <c r="I15" s="34">
        <v>0</v>
      </c>
      <c r="J15" s="301" t="s">
        <v>324</v>
      </c>
      <c r="K15" s="398"/>
      <c r="L15" s="210" t="s">
        <v>323</v>
      </c>
      <c r="M15" s="34">
        <v>0</v>
      </c>
      <c r="N15" s="34">
        <v>100</v>
      </c>
      <c r="O15" s="34">
        <v>100</v>
      </c>
      <c r="P15" s="34">
        <v>0</v>
      </c>
      <c r="Q15" s="197">
        <v>70</v>
      </c>
      <c r="R15" s="280">
        <v>70</v>
      </c>
      <c r="S15" s="282"/>
      <c r="T15" s="280"/>
      <c r="U15" s="280"/>
      <c r="V15" s="280"/>
      <c r="W15" s="140"/>
      <c r="X15" s="145">
        <f t="shared" si="0"/>
        <v>70</v>
      </c>
      <c r="Y15" s="140" t="s">
        <v>281</v>
      </c>
    </row>
    <row r="16" spans="1:25" s="3" customFormat="1" ht="25.5">
      <c r="A16" s="340"/>
      <c r="B16" s="369"/>
      <c r="C16" s="357"/>
      <c r="D16" s="401"/>
      <c r="E16" s="407"/>
      <c r="F16" s="409"/>
      <c r="G16" s="407"/>
      <c r="H16" s="412"/>
      <c r="I16" s="34">
        <v>0</v>
      </c>
      <c r="J16" s="301" t="s">
        <v>653</v>
      </c>
      <c r="K16" s="398"/>
      <c r="L16" s="210" t="s">
        <v>576</v>
      </c>
      <c r="M16" s="34">
        <v>0</v>
      </c>
      <c r="N16" s="34">
        <v>100</v>
      </c>
      <c r="O16" s="34">
        <v>100</v>
      </c>
      <c r="P16" s="34">
        <v>0</v>
      </c>
      <c r="Q16" s="197">
        <v>60</v>
      </c>
      <c r="R16" s="280">
        <v>30</v>
      </c>
      <c r="S16" s="280"/>
      <c r="T16" s="280">
        <v>30</v>
      </c>
      <c r="U16" s="280"/>
      <c r="V16" s="280"/>
      <c r="W16" s="140"/>
      <c r="X16" s="145">
        <f t="shared" si="0"/>
        <v>60</v>
      </c>
      <c r="Y16" s="140" t="s">
        <v>281</v>
      </c>
    </row>
    <row r="17" spans="1:25" s="3" customFormat="1" ht="53.25" customHeight="1">
      <c r="A17" s="359"/>
      <c r="B17" s="370"/>
      <c r="C17" s="357"/>
      <c r="D17" s="402"/>
      <c r="E17" s="408"/>
      <c r="F17" s="295" t="s">
        <v>1006</v>
      </c>
      <c r="G17" s="408"/>
      <c r="H17" s="210" t="s">
        <v>577</v>
      </c>
      <c r="I17" s="34">
        <v>0</v>
      </c>
      <c r="J17" s="301" t="s">
        <v>654</v>
      </c>
      <c r="K17" s="399"/>
      <c r="L17" s="210" t="s">
        <v>578</v>
      </c>
      <c r="M17" s="287">
        <v>1</v>
      </c>
      <c r="N17" s="287">
        <v>0</v>
      </c>
      <c r="O17" s="287">
        <v>0</v>
      </c>
      <c r="P17" s="287">
        <v>0</v>
      </c>
      <c r="Q17" s="197">
        <v>60</v>
      </c>
      <c r="R17" s="280">
        <v>30</v>
      </c>
      <c r="S17" s="282"/>
      <c r="T17" s="280"/>
      <c r="U17" s="280">
        <v>30</v>
      </c>
      <c r="V17" s="280"/>
      <c r="W17" s="288"/>
      <c r="X17" s="145">
        <f t="shared" si="0"/>
        <v>60</v>
      </c>
      <c r="Y17" s="140" t="s">
        <v>281</v>
      </c>
    </row>
    <row r="18" spans="1:25" s="3" customFormat="1" ht="40.5" customHeight="1">
      <c r="A18" s="340" t="s">
        <v>570</v>
      </c>
      <c r="B18" s="369" t="s">
        <v>453</v>
      </c>
      <c r="C18" s="359" t="s">
        <v>873</v>
      </c>
      <c r="D18" s="403" t="s">
        <v>999</v>
      </c>
      <c r="E18" s="407" t="s">
        <v>452</v>
      </c>
      <c r="F18" s="403" t="s">
        <v>83</v>
      </c>
      <c r="G18" s="407" t="s">
        <v>874</v>
      </c>
      <c r="H18" s="407" t="s">
        <v>1009</v>
      </c>
      <c r="I18" s="413" t="s">
        <v>904</v>
      </c>
      <c r="J18" s="407" t="s">
        <v>896</v>
      </c>
      <c r="K18" s="398" t="s">
        <v>487</v>
      </c>
      <c r="L18" s="308" t="s">
        <v>639</v>
      </c>
      <c r="M18" s="389">
        <v>0</v>
      </c>
      <c r="N18" s="389">
        <v>0.05</v>
      </c>
      <c r="O18" s="389">
        <v>0.05</v>
      </c>
      <c r="P18" s="389">
        <v>0.1</v>
      </c>
      <c r="Q18" s="391">
        <v>100</v>
      </c>
      <c r="R18" s="387">
        <v>50</v>
      </c>
      <c r="S18" s="393"/>
      <c r="T18" s="387"/>
      <c r="U18" s="387">
        <v>50</v>
      </c>
      <c r="V18" s="387"/>
      <c r="W18" s="395"/>
      <c r="X18" s="385">
        <f t="shared" si="0"/>
        <v>100</v>
      </c>
      <c r="Y18" s="140" t="s">
        <v>281</v>
      </c>
    </row>
    <row r="19" spans="1:25" s="3" customFormat="1" ht="38.25">
      <c r="A19" s="340"/>
      <c r="B19" s="369"/>
      <c r="C19" s="357"/>
      <c r="D19" s="403"/>
      <c r="E19" s="407"/>
      <c r="F19" s="403"/>
      <c r="G19" s="408"/>
      <c r="H19" s="407"/>
      <c r="I19" s="414"/>
      <c r="J19" s="408"/>
      <c r="K19" s="398"/>
      <c r="L19" s="210" t="s">
        <v>640</v>
      </c>
      <c r="M19" s="390"/>
      <c r="N19" s="390"/>
      <c r="O19" s="390"/>
      <c r="P19" s="390"/>
      <c r="Q19" s="392"/>
      <c r="R19" s="388"/>
      <c r="S19" s="394"/>
      <c r="T19" s="388"/>
      <c r="U19" s="388"/>
      <c r="V19" s="388"/>
      <c r="W19" s="396"/>
      <c r="X19" s="386"/>
      <c r="Y19" s="140" t="s">
        <v>281</v>
      </c>
    </row>
    <row r="20" spans="1:25" s="3" customFormat="1" ht="75.75" customHeight="1">
      <c r="A20" s="340"/>
      <c r="B20" s="369"/>
      <c r="C20" s="357"/>
      <c r="D20" s="403"/>
      <c r="E20" s="407"/>
      <c r="F20" s="54" t="s">
        <v>479</v>
      </c>
      <c r="G20" s="33" t="s">
        <v>482</v>
      </c>
      <c r="H20" s="33" t="s">
        <v>484</v>
      </c>
      <c r="I20" s="36">
        <v>0</v>
      </c>
      <c r="J20" s="301" t="s">
        <v>485</v>
      </c>
      <c r="K20" s="398"/>
      <c r="L20" s="210" t="s">
        <v>486</v>
      </c>
      <c r="M20" s="36">
        <v>0.1</v>
      </c>
      <c r="N20" s="36">
        <v>0.3</v>
      </c>
      <c r="O20" s="36">
        <v>0.6</v>
      </c>
      <c r="P20" s="36">
        <v>1</v>
      </c>
      <c r="Q20" s="197">
        <v>50</v>
      </c>
      <c r="R20" s="280">
        <v>20</v>
      </c>
      <c r="S20" s="282"/>
      <c r="T20" s="280"/>
      <c r="U20" s="280">
        <v>30</v>
      </c>
      <c r="V20" s="280"/>
      <c r="W20" s="140"/>
      <c r="X20" s="145">
        <f>SUM(R20:W20)</f>
        <v>50</v>
      </c>
      <c r="Y20" s="140" t="s">
        <v>297</v>
      </c>
    </row>
    <row r="21" spans="1:25" s="3" customFormat="1" ht="81.75" customHeight="1">
      <c r="A21" s="359"/>
      <c r="B21" s="370"/>
      <c r="C21" s="357"/>
      <c r="D21" s="404"/>
      <c r="E21" s="408"/>
      <c r="F21" s="55" t="s">
        <v>1007</v>
      </c>
      <c r="G21" s="33" t="s">
        <v>875</v>
      </c>
      <c r="H21" s="32" t="s">
        <v>1010</v>
      </c>
      <c r="I21" s="34" t="s">
        <v>910</v>
      </c>
      <c r="J21" s="301" t="s">
        <v>909</v>
      </c>
      <c r="K21" s="399"/>
      <c r="L21" s="210" t="s">
        <v>907</v>
      </c>
      <c r="M21" s="36">
        <v>0</v>
      </c>
      <c r="N21" s="36">
        <v>0.2</v>
      </c>
      <c r="O21" s="36">
        <v>0.3</v>
      </c>
      <c r="P21" s="36">
        <v>0.5</v>
      </c>
      <c r="Q21" s="197">
        <f>3*120+180+320</f>
        <v>860</v>
      </c>
      <c r="R21" s="280">
        <v>100</v>
      </c>
      <c r="S21" s="280">
        <v>50</v>
      </c>
      <c r="T21" s="280">
        <v>50</v>
      </c>
      <c r="U21" s="280">
        <v>210</v>
      </c>
      <c r="V21" s="280">
        <v>450</v>
      </c>
      <c r="W21" s="140"/>
      <c r="X21" s="145">
        <f>SUM(R21:W21)</f>
        <v>860</v>
      </c>
      <c r="Y21" s="140" t="s">
        <v>281</v>
      </c>
    </row>
    <row r="22" spans="1:25">
      <c r="C22" s="129"/>
      <c r="I22" s="39"/>
      <c r="M22" s="39"/>
      <c r="N22" s="39"/>
      <c r="O22" s="39"/>
      <c r="P22" s="39"/>
      <c r="Q22" s="180">
        <f>SUM(Q3:Q21)</f>
        <v>8180</v>
      </c>
      <c r="R22" s="180">
        <f>SUM(R3:R21)</f>
        <v>962</v>
      </c>
      <c r="S22" s="180">
        <f t="shared" ref="S22:X22" si="1">SUM(S3:S21)</f>
        <v>140</v>
      </c>
      <c r="T22" s="180">
        <f t="shared" si="1"/>
        <v>1340</v>
      </c>
      <c r="U22" s="180">
        <f t="shared" si="1"/>
        <v>2970</v>
      </c>
      <c r="V22" s="180">
        <f t="shared" si="1"/>
        <v>2768</v>
      </c>
      <c r="W22" s="180">
        <f t="shared" si="1"/>
        <v>0</v>
      </c>
      <c r="X22" s="180">
        <f t="shared" si="1"/>
        <v>8180</v>
      </c>
      <c r="Y22" s="39"/>
    </row>
    <row r="24" spans="1:25">
      <c r="H24" s="14" t="s">
        <v>900</v>
      </c>
      <c r="K24" s="1" t="s">
        <v>905</v>
      </c>
    </row>
    <row r="25" spans="1:25">
      <c r="H25" s="1">
        <v>5200</v>
      </c>
      <c r="J25" s="39" t="s">
        <v>901</v>
      </c>
      <c r="K25" s="35">
        <v>16700</v>
      </c>
      <c r="L25" s="220">
        <f>H25*K25</f>
        <v>86840000</v>
      </c>
    </row>
    <row r="26" spans="1:25">
      <c r="J26" s="39" t="s">
        <v>899</v>
      </c>
      <c r="K26" s="35"/>
      <c r="L26" s="220">
        <v>12</v>
      </c>
    </row>
    <row r="27" spans="1:25">
      <c r="J27" s="39" t="s">
        <v>902</v>
      </c>
      <c r="K27" s="35"/>
      <c r="L27" s="220">
        <f>L25*L26</f>
        <v>1042080000</v>
      </c>
    </row>
    <row r="28" spans="1:25">
      <c r="J28" s="39" t="s">
        <v>898</v>
      </c>
      <c r="L28" s="220">
        <f>+L27/3000/2/1000</f>
        <v>173.68</v>
      </c>
    </row>
    <row r="29" spans="1:25">
      <c r="J29" s="39" t="s">
        <v>903</v>
      </c>
      <c r="L29" s="219">
        <v>0.5</v>
      </c>
    </row>
    <row r="30" spans="1:25">
      <c r="J30" s="39" t="s">
        <v>897</v>
      </c>
      <c r="L30" s="221">
        <f>L28/L29</f>
        <v>347.36</v>
      </c>
    </row>
  </sheetData>
  <mergeCells count="42">
    <mergeCell ref="G3:G12"/>
    <mergeCell ref="H3:H7"/>
    <mergeCell ref="A3:A17"/>
    <mergeCell ref="A18:A21"/>
    <mergeCell ref="B3:B17"/>
    <mergeCell ref="B18:B21"/>
    <mergeCell ref="H13:H16"/>
    <mergeCell ref="H18:H19"/>
    <mergeCell ref="F8:F9"/>
    <mergeCell ref="H8:H9"/>
    <mergeCell ref="F10:F12"/>
    <mergeCell ref="H10:H12"/>
    <mergeCell ref="I1:J1"/>
    <mergeCell ref="G13:G17"/>
    <mergeCell ref="F13:F16"/>
    <mergeCell ref="C18:C21"/>
    <mergeCell ref="E18:E21"/>
    <mergeCell ref="D18:D21"/>
    <mergeCell ref="G18:G19"/>
    <mergeCell ref="F18:F19"/>
    <mergeCell ref="C3:C17"/>
    <mergeCell ref="E3:E17"/>
    <mergeCell ref="V18:V19"/>
    <mergeCell ref="W18:W19"/>
    <mergeCell ref="K3:K17"/>
    <mergeCell ref="K18:K21"/>
    <mergeCell ref="D13:D17"/>
    <mergeCell ref="F3:F7"/>
    <mergeCell ref="M18:M19"/>
    <mergeCell ref="D3:D12"/>
    <mergeCell ref="J18:J19"/>
    <mergeCell ref="I18:I19"/>
    <mergeCell ref="X18:X19"/>
    <mergeCell ref="R1:X1"/>
    <mergeCell ref="T18:T19"/>
    <mergeCell ref="N18:N19"/>
    <mergeCell ref="O18:O19"/>
    <mergeCell ref="P18:P19"/>
    <mergeCell ref="Q18:Q19"/>
    <mergeCell ref="R18:R19"/>
    <mergeCell ref="S18:S19"/>
    <mergeCell ref="U18:U19"/>
  </mergeCells>
  <phoneticPr fontId="0" type="noConversion"/>
  <pageMargins left="0.22" right="0.118110236220472" top="0.78" bottom="0.54" header="0.15748031496063" footer="0.34"/>
  <pageSetup scale="76" orientation="landscape" horizontalDpi="4294967292" verticalDpi="300" r:id="rId1"/>
  <headerFooter>
    <oddFooter>&amp;CMATRIZ ESTRATEGIA ECONOMICO PRODUCTIVA&amp;RPágina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view="pageBreakPreview" zoomScale="90" zoomScaleNormal="90" zoomScaleSheetLayoutView="90" workbookViewId="0">
      <pane ySplit="1245" topLeftCell="A70" activePane="bottomLeft"/>
      <selection activeCell="K2" sqref="K2"/>
      <selection pane="bottomLeft" activeCell="J78" sqref="J78"/>
    </sheetView>
  </sheetViews>
  <sheetFormatPr baseColWidth="10" defaultRowHeight="12.75"/>
  <cols>
    <col min="1" max="1" width="10.28515625" style="102" customWidth="1"/>
    <col min="2" max="2" width="15.42578125" style="1" customWidth="1"/>
    <col min="3" max="3" width="7.7109375" style="39" customWidth="1"/>
    <col min="4" max="4" width="13.28515625" style="67" customWidth="1"/>
    <col min="5" max="5" width="13.140625" style="1" customWidth="1"/>
    <col min="6" max="6" width="14.28515625" style="67" customWidth="1"/>
    <col min="7" max="7" width="16.140625" style="1" customWidth="1"/>
    <col min="8" max="8" width="24.85546875" style="1" customWidth="1"/>
    <col min="9" max="9" width="17.5703125" style="1" customWidth="1"/>
    <col min="10" max="10" width="22.42578125" style="1" customWidth="1"/>
    <col min="11" max="11" width="17" style="318" customWidth="1"/>
    <col min="12" max="12" width="24.140625" style="1" customWidth="1"/>
    <col min="13" max="13" width="9.28515625" style="1" customWidth="1"/>
    <col min="14" max="14" width="9.5703125" style="1" customWidth="1"/>
    <col min="15" max="15" width="9" style="1" customWidth="1"/>
    <col min="16" max="16" width="8.85546875" style="1" customWidth="1"/>
    <col min="17" max="17" width="0.28515625" style="117" customWidth="1"/>
    <col min="18" max="18" width="14.85546875" style="143" customWidth="1"/>
    <col min="19" max="19" width="13.42578125" style="141" bestFit="1" customWidth="1"/>
    <col min="20" max="20" width="12.28515625" style="141" bestFit="1" customWidth="1"/>
    <col min="21" max="21" width="14.7109375" style="141" bestFit="1" customWidth="1"/>
    <col min="22" max="22" width="12.28515625" style="141" bestFit="1" customWidth="1"/>
    <col min="23" max="23" width="7.85546875" style="141" bestFit="1" customWidth="1"/>
    <col min="24" max="24" width="7.42578125" style="141" bestFit="1" customWidth="1"/>
    <col min="25" max="25" width="14.7109375" style="143" bestFit="1" customWidth="1"/>
    <col min="26" max="26" width="15.140625" style="275" bestFit="1" customWidth="1"/>
    <col min="27" max="16384" width="11.42578125" style="1"/>
  </cols>
  <sheetData>
    <row r="1" spans="1:26" ht="15.75">
      <c r="I1" s="342" t="s">
        <v>731</v>
      </c>
      <c r="J1" s="342"/>
      <c r="R1" s="142"/>
      <c r="S1" s="343" t="s">
        <v>220</v>
      </c>
      <c r="T1" s="344"/>
      <c r="U1" s="345"/>
      <c r="V1" s="345"/>
      <c r="W1" s="345"/>
      <c r="X1" s="345"/>
      <c r="Y1" s="346"/>
      <c r="Z1" s="274"/>
    </row>
    <row r="2" spans="1:26" s="73" customFormat="1" ht="39" customHeight="1">
      <c r="A2" s="50" t="s">
        <v>547</v>
      </c>
      <c r="B2" s="50" t="s">
        <v>546</v>
      </c>
      <c r="C2" s="50" t="s">
        <v>545</v>
      </c>
      <c r="D2" s="50" t="s">
        <v>543</v>
      </c>
      <c r="E2" s="50" t="s">
        <v>544</v>
      </c>
      <c r="F2" s="50" t="s">
        <v>541</v>
      </c>
      <c r="G2" s="50" t="s">
        <v>542</v>
      </c>
      <c r="H2" s="50" t="s">
        <v>540</v>
      </c>
      <c r="I2" s="4" t="s">
        <v>537</v>
      </c>
      <c r="J2" s="50" t="s">
        <v>459</v>
      </c>
      <c r="K2" s="50" t="s">
        <v>539</v>
      </c>
      <c r="L2" s="50" t="s">
        <v>538</v>
      </c>
      <c r="M2" s="4">
        <v>2012</v>
      </c>
      <c r="N2" s="4">
        <v>2013</v>
      </c>
      <c r="O2" s="4">
        <v>2014</v>
      </c>
      <c r="P2" s="4">
        <v>2015</v>
      </c>
      <c r="Q2" s="116"/>
      <c r="R2" s="138" t="s">
        <v>215</v>
      </c>
      <c r="S2" s="138" t="s">
        <v>233</v>
      </c>
      <c r="T2" s="138" t="s">
        <v>282</v>
      </c>
      <c r="U2" s="138" t="s">
        <v>234</v>
      </c>
      <c r="V2" s="138" t="s">
        <v>235</v>
      </c>
      <c r="W2" s="138" t="s">
        <v>216</v>
      </c>
      <c r="X2" s="138" t="s">
        <v>217</v>
      </c>
      <c r="Y2" s="138" t="s">
        <v>218</v>
      </c>
      <c r="Z2" s="138" t="s">
        <v>219</v>
      </c>
    </row>
    <row r="3" spans="1:26" ht="119.25" customHeight="1">
      <c r="A3" s="357" t="s">
        <v>63</v>
      </c>
      <c r="B3" s="488" t="s">
        <v>454</v>
      </c>
      <c r="C3" s="357" t="s">
        <v>62</v>
      </c>
      <c r="D3" s="503" t="s">
        <v>515</v>
      </c>
      <c r="E3" s="488" t="s">
        <v>456</v>
      </c>
      <c r="F3" s="300" t="s">
        <v>536</v>
      </c>
      <c r="G3" s="448" t="s">
        <v>4</v>
      </c>
      <c r="H3" s="296" t="s">
        <v>535</v>
      </c>
      <c r="I3" s="103" t="s">
        <v>6</v>
      </c>
      <c r="J3" s="277" t="s">
        <v>5</v>
      </c>
      <c r="K3" s="319" t="s">
        <v>534</v>
      </c>
      <c r="L3" s="277" t="s">
        <v>230</v>
      </c>
      <c r="M3" s="105" t="s">
        <v>7</v>
      </c>
      <c r="N3" s="105" t="s">
        <v>7</v>
      </c>
      <c r="O3" s="105" t="s">
        <v>7</v>
      </c>
      <c r="P3" s="105" t="s">
        <v>7</v>
      </c>
      <c r="R3" s="207">
        <v>0.5</v>
      </c>
      <c r="S3" s="208">
        <v>0.5</v>
      </c>
      <c r="T3" s="162"/>
      <c r="U3" s="162"/>
      <c r="V3" s="162"/>
      <c r="W3" s="162"/>
      <c r="X3" s="162"/>
      <c r="Y3" s="207">
        <f>SUM(S3:X3)</f>
        <v>0.5</v>
      </c>
      <c r="Z3" s="186" t="s">
        <v>298</v>
      </c>
    </row>
    <row r="4" spans="1:26" ht="83.25" customHeight="1">
      <c r="A4" s="357"/>
      <c r="B4" s="489"/>
      <c r="C4" s="357"/>
      <c r="D4" s="503"/>
      <c r="E4" s="489"/>
      <c r="F4" s="480" t="s">
        <v>54</v>
      </c>
      <c r="G4" s="448"/>
      <c r="H4" s="277" t="s">
        <v>271</v>
      </c>
      <c r="I4" s="103" t="s">
        <v>10</v>
      </c>
      <c r="J4" s="277" t="s">
        <v>9</v>
      </c>
      <c r="K4" s="319" t="s">
        <v>533</v>
      </c>
      <c r="L4" s="277" t="s">
        <v>8</v>
      </c>
      <c r="M4" s="112">
        <v>10</v>
      </c>
      <c r="N4" s="112">
        <v>20</v>
      </c>
      <c r="O4" s="112">
        <v>10</v>
      </c>
      <c r="P4" s="112">
        <v>10</v>
      </c>
      <c r="R4" s="161">
        <v>10</v>
      </c>
      <c r="S4" s="162">
        <v>10</v>
      </c>
      <c r="T4" s="162"/>
      <c r="U4" s="162"/>
      <c r="V4" s="162"/>
      <c r="W4" s="162"/>
      <c r="X4" s="162"/>
      <c r="Y4" s="161">
        <f t="shared" ref="Y4:Y22" si="0">SUM(S4:X4)</f>
        <v>10</v>
      </c>
      <c r="Z4" s="186" t="s">
        <v>298</v>
      </c>
    </row>
    <row r="5" spans="1:26" ht="108" customHeight="1">
      <c r="A5" s="357"/>
      <c r="B5" s="489"/>
      <c r="C5" s="357"/>
      <c r="D5" s="503"/>
      <c r="E5" s="489"/>
      <c r="F5" s="480"/>
      <c r="G5" s="448"/>
      <c r="H5" s="277" t="s">
        <v>272</v>
      </c>
      <c r="I5" s="104">
        <v>0</v>
      </c>
      <c r="J5" s="277" t="s">
        <v>12</v>
      </c>
      <c r="K5" s="319" t="s">
        <v>532</v>
      </c>
      <c r="L5" s="277" t="s">
        <v>11</v>
      </c>
      <c r="M5" s="104">
        <v>0</v>
      </c>
      <c r="N5" s="104">
        <v>200</v>
      </c>
      <c r="O5" s="104">
        <v>200</v>
      </c>
      <c r="P5" s="104">
        <v>200</v>
      </c>
      <c r="R5" s="161" t="s">
        <v>303</v>
      </c>
      <c r="S5" s="162"/>
      <c r="T5" s="162"/>
      <c r="U5" s="162"/>
      <c r="V5" s="162"/>
      <c r="W5" s="162"/>
      <c r="X5" s="162"/>
      <c r="Y5" s="161">
        <f t="shared" si="0"/>
        <v>0</v>
      </c>
      <c r="Z5" s="186" t="s">
        <v>298</v>
      </c>
    </row>
    <row r="6" spans="1:26" ht="92.25" customHeight="1">
      <c r="A6" s="357"/>
      <c r="B6" s="489"/>
      <c r="C6" s="357"/>
      <c r="D6" s="503"/>
      <c r="E6" s="489"/>
      <c r="F6" s="480" t="s">
        <v>55</v>
      </c>
      <c r="G6" s="448"/>
      <c r="H6" s="277" t="s">
        <v>531</v>
      </c>
      <c r="I6" s="277" t="s">
        <v>15</v>
      </c>
      <c r="J6" s="277" t="s">
        <v>14</v>
      </c>
      <c r="K6" s="319" t="s">
        <v>530</v>
      </c>
      <c r="L6" s="277" t="s">
        <v>13</v>
      </c>
      <c r="M6" s="105">
        <v>1</v>
      </c>
      <c r="N6" s="105">
        <v>1</v>
      </c>
      <c r="O6" s="105">
        <v>1</v>
      </c>
      <c r="P6" s="105">
        <v>1</v>
      </c>
      <c r="R6" s="161">
        <v>0</v>
      </c>
      <c r="S6" s="162">
        <v>0</v>
      </c>
      <c r="T6" s="162"/>
      <c r="U6" s="162"/>
      <c r="V6" s="162"/>
      <c r="W6" s="162"/>
      <c r="X6" s="162"/>
      <c r="Y6" s="161">
        <f t="shared" si="0"/>
        <v>0</v>
      </c>
      <c r="Z6" s="186" t="s">
        <v>298</v>
      </c>
    </row>
    <row r="7" spans="1:26" ht="102" customHeight="1">
      <c r="A7" s="357"/>
      <c r="B7" s="489"/>
      <c r="C7" s="357"/>
      <c r="D7" s="503"/>
      <c r="E7" s="489"/>
      <c r="F7" s="480"/>
      <c r="G7" s="448"/>
      <c r="H7" s="277" t="s">
        <v>529</v>
      </c>
      <c r="I7" s="277" t="s">
        <v>17</v>
      </c>
      <c r="J7" s="277" t="s">
        <v>16</v>
      </c>
      <c r="K7" s="319" t="s">
        <v>528</v>
      </c>
      <c r="L7" s="277" t="s">
        <v>293</v>
      </c>
      <c r="M7" s="113">
        <v>0</v>
      </c>
      <c r="N7" s="105">
        <v>0.2</v>
      </c>
      <c r="O7" s="105">
        <v>0.3</v>
      </c>
      <c r="P7" s="105">
        <v>0.2</v>
      </c>
      <c r="R7" s="161">
        <v>5</v>
      </c>
      <c r="S7" s="162">
        <v>5</v>
      </c>
      <c r="T7" s="162"/>
      <c r="U7" s="162"/>
      <c r="V7" s="162"/>
      <c r="W7" s="162"/>
      <c r="X7" s="162"/>
      <c r="Y7" s="161">
        <f t="shared" si="0"/>
        <v>5</v>
      </c>
      <c r="Z7" s="186" t="s">
        <v>298</v>
      </c>
    </row>
    <row r="8" spans="1:26" ht="42.75" customHeight="1">
      <c r="A8" s="357"/>
      <c r="B8" s="489"/>
      <c r="C8" s="357"/>
      <c r="D8" s="503"/>
      <c r="E8" s="489"/>
      <c r="F8" s="480"/>
      <c r="G8" s="448"/>
      <c r="H8" s="277" t="s">
        <v>18</v>
      </c>
      <c r="I8" s="277" t="s">
        <v>21</v>
      </c>
      <c r="J8" s="277" t="s">
        <v>20</v>
      </c>
      <c r="K8" s="319" t="s">
        <v>528</v>
      </c>
      <c r="L8" s="277" t="s">
        <v>19</v>
      </c>
      <c r="M8" s="105">
        <v>0.1</v>
      </c>
      <c r="N8" s="105">
        <v>0.2</v>
      </c>
      <c r="O8" s="105">
        <v>0.25</v>
      </c>
      <c r="P8" s="105">
        <v>0.25</v>
      </c>
      <c r="R8" s="161">
        <v>20</v>
      </c>
      <c r="S8" s="162">
        <v>20</v>
      </c>
      <c r="T8" s="162"/>
      <c r="U8" s="162"/>
      <c r="V8" s="162"/>
      <c r="W8" s="162"/>
      <c r="X8" s="162"/>
      <c r="Y8" s="161">
        <f t="shared" si="0"/>
        <v>20</v>
      </c>
      <c r="Z8" s="186" t="s">
        <v>298</v>
      </c>
    </row>
    <row r="9" spans="1:26" ht="54" customHeight="1">
      <c r="A9" s="357"/>
      <c r="B9" s="489"/>
      <c r="C9" s="357"/>
      <c r="D9" s="503"/>
      <c r="E9" s="489"/>
      <c r="F9" s="480"/>
      <c r="G9" s="448"/>
      <c r="H9" s="277" t="s">
        <v>527</v>
      </c>
      <c r="I9" s="277" t="s">
        <v>23</v>
      </c>
      <c r="J9" s="277" t="str">
        <f>H9</f>
        <v>Lograr que el 80% de las personas que lo desean continúen su preparación profesional.</v>
      </c>
      <c r="K9" s="319" t="s">
        <v>526</v>
      </c>
      <c r="L9" s="277" t="s">
        <v>22</v>
      </c>
      <c r="M9" s="105">
        <v>0.1</v>
      </c>
      <c r="N9" s="105">
        <v>0.2</v>
      </c>
      <c r="O9" s="105">
        <v>0.25</v>
      </c>
      <c r="P9" s="105">
        <v>0.25</v>
      </c>
      <c r="R9" s="161" t="s">
        <v>304</v>
      </c>
      <c r="S9" s="162"/>
      <c r="T9" s="162"/>
      <c r="U9" s="162"/>
      <c r="V9" s="162"/>
      <c r="W9" s="162"/>
      <c r="X9" s="162"/>
      <c r="Y9" s="161">
        <f t="shared" si="0"/>
        <v>0</v>
      </c>
      <c r="Z9" s="186" t="s">
        <v>298</v>
      </c>
    </row>
    <row r="10" spans="1:26" ht="38.25">
      <c r="A10" s="357"/>
      <c r="B10" s="489"/>
      <c r="C10" s="357"/>
      <c r="D10" s="503"/>
      <c r="E10" s="489"/>
      <c r="F10" s="480"/>
      <c r="G10" s="448"/>
      <c r="H10" s="277" t="s">
        <v>525</v>
      </c>
      <c r="I10" s="277" t="s">
        <v>25</v>
      </c>
      <c r="J10" s="277" t="s">
        <v>24</v>
      </c>
      <c r="K10" s="319" t="s">
        <v>524</v>
      </c>
      <c r="L10" s="277" t="s">
        <v>906</v>
      </c>
      <c r="M10" s="114">
        <v>2E-3</v>
      </c>
      <c r="N10" s="114">
        <v>2E-3</v>
      </c>
      <c r="O10" s="114">
        <v>2E-3</v>
      </c>
      <c r="P10" s="114">
        <v>2E-3</v>
      </c>
      <c r="R10" s="207">
        <v>0.5</v>
      </c>
      <c r="S10" s="208">
        <v>0.5</v>
      </c>
      <c r="T10" s="162"/>
      <c r="U10" s="162"/>
      <c r="V10" s="162"/>
      <c r="W10" s="162"/>
      <c r="X10" s="162"/>
      <c r="Y10" s="207">
        <f t="shared" si="0"/>
        <v>0.5</v>
      </c>
      <c r="Z10" s="186" t="s">
        <v>298</v>
      </c>
    </row>
    <row r="11" spans="1:26" ht="55.5" customHeight="1">
      <c r="A11" s="357"/>
      <c r="B11" s="489"/>
      <c r="C11" s="357"/>
      <c r="D11" s="503"/>
      <c r="E11" s="489"/>
      <c r="F11" s="480" t="s">
        <v>56</v>
      </c>
      <c r="G11" s="448"/>
      <c r="H11" s="277" t="s">
        <v>523</v>
      </c>
      <c r="I11" s="277" t="s">
        <v>28</v>
      </c>
      <c r="J11" s="277" t="s">
        <v>27</v>
      </c>
      <c r="K11" s="319" t="s">
        <v>26</v>
      </c>
      <c r="L11" s="277" t="s">
        <v>933</v>
      </c>
      <c r="M11" s="114">
        <v>0.92679999999999996</v>
      </c>
      <c r="N11" s="105">
        <v>0.95</v>
      </c>
      <c r="O11" s="105">
        <v>0.98</v>
      </c>
      <c r="P11" s="105">
        <v>1</v>
      </c>
      <c r="R11" s="207">
        <v>0.5</v>
      </c>
      <c r="S11" s="208">
        <v>0.5</v>
      </c>
      <c r="T11" s="162"/>
      <c r="U11" s="162"/>
      <c r="V11" s="162"/>
      <c r="W11" s="162"/>
      <c r="X11" s="162"/>
      <c r="Y11" s="207">
        <f t="shared" si="0"/>
        <v>0.5</v>
      </c>
      <c r="Z11" s="186" t="s">
        <v>298</v>
      </c>
    </row>
    <row r="12" spans="1:26" ht="77.25" customHeight="1">
      <c r="A12" s="357"/>
      <c r="B12" s="490"/>
      <c r="C12" s="357"/>
      <c r="D12" s="503"/>
      <c r="E12" s="490"/>
      <c r="F12" s="480"/>
      <c r="G12" s="448"/>
      <c r="H12" s="277" t="s">
        <v>522</v>
      </c>
      <c r="I12" s="277" t="s">
        <v>31</v>
      </c>
      <c r="J12" s="277" t="s">
        <v>30</v>
      </c>
      <c r="K12" s="319" t="s">
        <v>26</v>
      </c>
      <c r="L12" s="277" t="s">
        <v>29</v>
      </c>
      <c r="M12" s="105">
        <v>0.97</v>
      </c>
      <c r="N12" s="105">
        <v>0.98</v>
      </c>
      <c r="O12" s="105">
        <v>0.99</v>
      </c>
      <c r="P12" s="105">
        <v>1</v>
      </c>
      <c r="R12" s="161" t="s">
        <v>305</v>
      </c>
      <c r="S12" s="162"/>
      <c r="T12" s="162"/>
      <c r="U12" s="162"/>
      <c r="V12" s="162"/>
      <c r="W12" s="162"/>
      <c r="X12" s="162"/>
      <c r="Y12" s="161">
        <f t="shared" si="0"/>
        <v>0</v>
      </c>
      <c r="Z12" s="186" t="s">
        <v>298</v>
      </c>
    </row>
    <row r="13" spans="1:26" ht="63.75" customHeight="1">
      <c r="A13" s="357" t="s">
        <v>63</v>
      </c>
      <c r="B13" s="491" t="s">
        <v>488</v>
      </c>
      <c r="C13" s="339" t="s">
        <v>62</v>
      </c>
      <c r="D13" s="503" t="s">
        <v>515</v>
      </c>
      <c r="E13" s="488" t="s">
        <v>456</v>
      </c>
      <c r="F13" s="480" t="s">
        <v>57</v>
      </c>
      <c r="G13" s="456" t="s">
        <v>4</v>
      </c>
      <c r="H13" s="448" t="s">
        <v>521</v>
      </c>
      <c r="I13" s="309" t="s">
        <v>33</v>
      </c>
      <c r="J13" s="309" t="s">
        <v>32</v>
      </c>
      <c r="K13" s="449" t="s">
        <v>520</v>
      </c>
      <c r="L13" s="277" t="s">
        <v>29</v>
      </c>
      <c r="M13" s="105">
        <v>0.97</v>
      </c>
      <c r="N13" s="105">
        <v>0.98</v>
      </c>
      <c r="O13" s="105">
        <v>0.99</v>
      </c>
      <c r="P13" s="105">
        <v>1</v>
      </c>
      <c r="R13" s="161" t="s">
        <v>305</v>
      </c>
      <c r="S13" s="162"/>
      <c r="T13" s="162"/>
      <c r="U13" s="162"/>
      <c r="V13" s="162"/>
      <c r="W13" s="162"/>
      <c r="X13" s="162"/>
      <c r="Y13" s="161">
        <f t="shared" si="0"/>
        <v>0</v>
      </c>
      <c r="Z13" s="186" t="s">
        <v>298</v>
      </c>
    </row>
    <row r="14" spans="1:26" ht="126.75" customHeight="1">
      <c r="A14" s="357"/>
      <c r="B14" s="492"/>
      <c r="C14" s="340"/>
      <c r="D14" s="503"/>
      <c r="E14" s="489"/>
      <c r="F14" s="480"/>
      <c r="G14" s="457"/>
      <c r="H14" s="448"/>
      <c r="I14" s="277">
        <v>0</v>
      </c>
      <c r="J14" s="277" t="s">
        <v>12</v>
      </c>
      <c r="K14" s="449"/>
      <c r="L14" s="277" t="s">
        <v>497</v>
      </c>
      <c r="M14" s="104">
        <v>0</v>
      </c>
      <c r="N14" s="104">
        <v>200</v>
      </c>
      <c r="O14" s="104">
        <v>200</v>
      </c>
      <c r="P14" s="104">
        <v>200</v>
      </c>
      <c r="R14" s="161" t="s">
        <v>300</v>
      </c>
      <c r="S14" s="162"/>
      <c r="T14" s="162"/>
      <c r="U14" s="162"/>
      <c r="V14" s="162"/>
      <c r="W14" s="162"/>
      <c r="X14" s="162"/>
      <c r="Y14" s="161">
        <f t="shared" si="0"/>
        <v>0</v>
      </c>
      <c r="Z14" s="186" t="s">
        <v>298</v>
      </c>
    </row>
    <row r="15" spans="1:26" ht="53.25" customHeight="1">
      <c r="A15" s="357"/>
      <c r="B15" s="492"/>
      <c r="C15" s="340"/>
      <c r="D15" s="503"/>
      <c r="E15" s="489"/>
      <c r="F15" s="480" t="s">
        <v>58</v>
      </c>
      <c r="G15" s="457"/>
      <c r="H15" s="448" t="s">
        <v>519</v>
      </c>
      <c r="I15" s="277" t="s">
        <v>35</v>
      </c>
      <c r="J15" s="277" t="s">
        <v>34</v>
      </c>
      <c r="K15" s="449" t="s">
        <v>518</v>
      </c>
      <c r="L15" s="277" t="s">
        <v>953</v>
      </c>
      <c r="M15" s="104">
        <v>0</v>
      </c>
      <c r="N15" s="104">
        <v>25</v>
      </c>
      <c r="O15" s="104">
        <v>25</v>
      </c>
      <c r="P15" s="104">
        <v>0</v>
      </c>
      <c r="R15" s="450" t="s">
        <v>300</v>
      </c>
      <c r="S15" s="438"/>
      <c r="T15" s="438"/>
      <c r="U15" s="438"/>
      <c r="V15" s="438"/>
      <c r="W15" s="438"/>
      <c r="X15" s="438"/>
      <c r="Y15" s="440">
        <f t="shared" si="0"/>
        <v>0</v>
      </c>
      <c r="Z15" s="186" t="s">
        <v>298</v>
      </c>
    </row>
    <row r="16" spans="1:26" ht="63.75" customHeight="1">
      <c r="A16" s="357"/>
      <c r="B16" s="492"/>
      <c r="C16" s="340"/>
      <c r="D16" s="503"/>
      <c r="E16" s="489"/>
      <c r="F16" s="480"/>
      <c r="G16" s="457"/>
      <c r="H16" s="448"/>
      <c r="I16" s="277" t="s">
        <v>153</v>
      </c>
      <c r="J16" s="277" t="s">
        <v>37</v>
      </c>
      <c r="K16" s="449"/>
      <c r="L16" s="277" t="s">
        <v>36</v>
      </c>
      <c r="M16" s="104">
        <v>0</v>
      </c>
      <c r="N16" s="104">
        <v>25</v>
      </c>
      <c r="O16" s="104">
        <v>25</v>
      </c>
      <c r="P16" s="104">
        <v>0</v>
      </c>
      <c r="R16" s="451"/>
      <c r="S16" s="439"/>
      <c r="T16" s="439"/>
      <c r="U16" s="439"/>
      <c r="V16" s="439"/>
      <c r="W16" s="439"/>
      <c r="X16" s="439"/>
      <c r="Y16" s="441"/>
      <c r="Z16" s="186" t="s">
        <v>298</v>
      </c>
    </row>
    <row r="17" spans="1:26" ht="51.75" customHeight="1">
      <c r="A17" s="357"/>
      <c r="B17" s="492"/>
      <c r="C17" s="340"/>
      <c r="D17" s="503"/>
      <c r="E17" s="489"/>
      <c r="F17" s="480" t="s">
        <v>59</v>
      </c>
      <c r="G17" s="457"/>
      <c r="H17" s="277" t="s">
        <v>517</v>
      </c>
      <c r="I17" s="103">
        <v>0.48</v>
      </c>
      <c r="J17" s="277" t="s">
        <v>39</v>
      </c>
      <c r="K17" s="319" t="s">
        <v>516</v>
      </c>
      <c r="L17" s="277" t="s">
        <v>38</v>
      </c>
      <c r="M17" s="105">
        <v>0.55000000000000004</v>
      </c>
      <c r="N17" s="105">
        <v>0.65</v>
      </c>
      <c r="O17" s="105">
        <v>0.7</v>
      </c>
      <c r="P17" s="105">
        <v>0.75</v>
      </c>
      <c r="R17" s="161" t="s">
        <v>301</v>
      </c>
      <c r="S17" s="162"/>
      <c r="T17" s="162"/>
      <c r="U17" s="162"/>
      <c r="V17" s="162"/>
      <c r="W17" s="162"/>
      <c r="X17" s="162"/>
      <c r="Y17" s="161">
        <f t="shared" si="0"/>
        <v>0</v>
      </c>
      <c r="Z17" s="186" t="s">
        <v>298</v>
      </c>
    </row>
    <row r="18" spans="1:26" ht="74.25" customHeight="1">
      <c r="A18" s="357"/>
      <c r="B18" s="492"/>
      <c r="C18" s="340"/>
      <c r="D18" s="503"/>
      <c r="E18" s="489"/>
      <c r="F18" s="480"/>
      <c r="G18" s="457"/>
      <c r="H18" s="277" t="s">
        <v>514</v>
      </c>
      <c r="I18" s="103" t="s">
        <v>1051</v>
      </c>
      <c r="J18" s="277" t="s">
        <v>1052</v>
      </c>
      <c r="K18" s="319" t="s">
        <v>513</v>
      </c>
      <c r="L18" s="277" t="s">
        <v>201</v>
      </c>
      <c r="M18" s="105">
        <v>0.14000000000000001</v>
      </c>
      <c r="N18" s="105">
        <v>0.13</v>
      </c>
      <c r="O18" s="105">
        <v>0.12</v>
      </c>
      <c r="P18" s="105">
        <v>0.1</v>
      </c>
      <c r="R18" s="161">
        <v>18</v>
      </c>
      <c r="S18" s="162">
        <v>18</v>
      </c>
      <c r="T18" s="162"/>
      <c r="U18" s="162"/>
      <c r="V18" s="162"/>
      <c r="W18" s="162"/>
      <c r="X18" s="162"/>
      <c r="Y18" s="161">
        <f t="shared" si="0"/>
        <v>18</v>
      </c>
      <c r="Z18" s="186" t="s">
        <v>298</v>
      </c>
    </row>
    <row r="19" spans="1:26" ht="80.25" customHeight="1">
      <c r="A19" s="357"/>
      <c r="B19" s="492"/>
      <c r="C19" s="340"/>
      <c r="D19" s="503"/>
      <c r="E19" s="489"/>
      <c r="F19" s="480"/>
      <c r="G19" s="457"/>
      <c r="H19" s="277" t="s">
        <v>512</v>
      </c>
      <c r="I19" s="277" t="s">
        <v>42</v>
      </c>
      <c r="J19" s="277" t="s">
        <v>41</v>
      </c>
      <c r="K19" s="445" t="s">
        <v>511</v>
      </c>
      <c r="L19" s="277" t="s">
        <v>40</v>
      </c>
      <c r="M19" s="114">
        <v>5.0000000000000001E-3</v>
      </c>
      <c r="N19" s="114">
        <v>1.4999999999999999E-2</v>
      </c>
      <c r="O19" s="114">
        <v>0.02</v>
      </c>
      <c r="P19" s="114">
        <v>2.9000000000000001E-2</v>
      </c>
      <c r="R19" s="161">
        <v>40</v>
      </c>
      <c r="S19" s="162">
        <v>40</v>
      </c>
      <c r="T19" s="162"/>
      <c r="U19" s="162"/>
      <c r="V19" s="162"/>
      <c r="W19" s="162"/>
      <c r="X19" s="162"/>
      <c r="Y19" s="161">
        <f t="shared" si="0"/>
        <v>40</v>
      </c>
      <c r="Z19" s="186" t="s">
        <v>298</v>
      </c>
    </row>
    <row r="20" spans="1:26" ht="82.5" customHeight="1">
      <c r="A20" s="357"/>
      <c r="B20" s="492"/>
      <c r="C20" s="340"/>
      <c r="D20" s="503"/>
      <c r="E20" s="489"/>
      <c r="F20" s="480"/>
      <c r="G20" s="457"/>
      <c r="H20" s="277" t="s">
        <v>510</v>
      </c>
      <c r="I20" s="277" t="s">
        <v>44</v>
      </c>
      <c r="J20" s="277" t="str">
        <f>H20</f>
        <v>Lograr que el 80% de las familias aplique pautas de crianza si aplica y genere espacios de diálogo y convivencia familiar.</v>
      </c>
      <c r="K20" s="446"/>
      <c r="L20" s="277" t="s">
        <v>43</v>
      </c>
      <c r="M20" s="104">
        <v>45</v>
      </c>
      <c r="N20" s="104">
        <v>45</v>
      </c>
      <c r="O20" s="104">
        <v>45</v>
      </c>
      <c r="P20" s="104">
        <v>45</v>
      </c>
      <c r="R20" s="161" t="s">
        <v>302</v>
      </c>
      <c r="S20" s="162"/>
      <c r="T20" s="162"/>
      <c r="U20" s="162"/>
      <c r="V20" s="162"/>
      <c r="W20" s="162"/>
      <c r="X20" s="162"/>
      <c r="Y20" s="161">
        <f t="shared" si="0"/>
        <v>0</v>
      </c>
      <c r="Z20" s="186" t="s">
        <v>298</v>
      </c>
    </row>
    <row r="21" spans="1:26" ht="80.25" customHeight="1">
      <c r="A21" s="357"/>
      <c r="B21" s="492"/>
      <c r="C21" s="340"/>
      <c r="D21" s="503"/>
      <c r="E21" s="489"/>
      <c r="F21" s="300" t="s">
        <v>60</v>
      </c>
      <c r="G21" s="457"/>
      <c r="H21" s="277" t="s">
        <v>509</v>
      </c>
      <c r="I21" s="277" t="s">
        <v>47</v>
      </c>
      <c r="J21" s="103" t="s">
        <v>46</v>
      </c>
      <c r="K21" s="319" t="s">
        <v>508</v>
      </c>
      <c r="L21" s="277" t="s">
        <v>45</v>
      </c>
      <c r="M21" s="105">
        <v>0.01</v>
      </c>
      <c r="N21" s="105">
        <v>0.01</v>
      </c>
      <c r="O21" s="105">
        <v>0.01</v>
      </c>
      <c r="P21" s="105">
        <v>0.01</v>
      </c>
      <c r="R21" s="161">
        <v>20</v>
      </c>
      <c r="S21" s="162">
        <v>20</v>
      </c>
      <c r="T21" s="162"/>
      <c r="U21" s="162"/>
      <c r="V21" s="162"/>
      <c r="W21" s="162"/>
      <c r="X21" s="162"/>
      <c r="Y21" s="161">
        <f t="shared" si="0"/>
        <v>20</v>
      </c>
      <c r="Z21" s="186" t="s">
        <v>298</v>
      </c>
    </row>
    <row r="22" spans="1:26" ht="100.5" customHeight="1">
      <c r="A22" s="357"/>
      <c r="B22" s="493"/>
      <c r="C22" s="359"/>
      <c r="D22" s="503"/>
      <c r="E22" s="490"/>
      <c r="F22" s="300" t="s">
        <v>61</v>
      </c>
      <c r="G22" s="458"/>
      <c r="H22" s="277" t="s">
        <v>507</v>
      </c>
      <c r="I22" s="277" t="s">
        <v>48</v>
      </c>
      <c r="J22" s="277" t="str">
        <f>H22</f>
        <v>Promover que el 100% de las familias en pobreza extrema conozcan las rutas de atención de los servicios de justicia y accedan a estos de manera oportuna y eficaz.</v>
      </c>
      <c r="K22" s="319" t="s">
        <v>506</v>
      </c>
      <c r="L22" s="277" t="s">
        <v>1063</v>
      </c>
      <c r="M22" s="105">
        <v>0.3</v>
      </c>
      <c r="N22" s="105">
        <v>0.5</v>
      </c>
      <c r="O22" s="105">
        <v>0.75</v>
      </c>
      <c r="P22" s="105">
        <v>1</v>
      </c>
      <c r="R22" s="161">
        <v>0</v>
      </c>
      <c r="S22" s="162"/>
      <c r="T22" s="162"/>
      <c r="U22" s="162"/>
      <c r="V22" s="162"/>
      <c r="W22" s="162"/>
      <c r="X22" s="162"/>
      <c r="Y22" s="161">
        <f t="shared" si="0"/>
        <v>0</v>
      </c>
      <c r="Z22" s="186" t="s">
        <v>298</v>
      </c>
    </row>
    <row r="23" spans="1:26" s="3" customFormat="1" ht="61.5" customHeight="1">
      <c r="A23" s="357" t="s">
        <v>63</v>
      </c>
      <c r="B23" s="488" t="s">
        <v>488</v>
      </c>
      <c r="C23" s="339" t="s">
        <v>62</v>
      </c>
      <c r="D23" s="500" t="s">
        <v>895</v>
      </c>
      <c r="E23" s="488" t="s">
        <v>456</v>
      </c>
      <c r="F23" s="500" t="s">
        <v>1036</v>
      </c>
      <c r="G23" s="506" t="s">
        <v>887</v>
      </c>
      <c r="H23" s="380" t="s">
        <v>476</v>
      </c>
      <c r="I23" s="58">
        <v>0</v>
      </c>
      <c r="J23" s="294" t="s">
        <v>660</v>
      </c>
      <c r="K23" s="442" t="s">
        <v>288</v>
      </c>
      <c r="L23" s="294" t="s">
        <v>197</v>
      </c>
      <c r="M23" s="58">
        <v>128</v>
      </c>
      <c r="N23" s="58">
        <v>256</v>
      </c>
      <c r="O23" s="58">
        <v>256</v>
      </c>
      <c r="P23" s="58">
        <v>256</v>
      </c>
      <c r="Q23" s="118"/>
      <c r="R23" s="157">
        <v>81</v>
      </c>
      <c r="S23" s="158">
        <v>5</v>
      </c>
      <c r="T23" s="158"/>
      <c r="U23" s="158">
        <v>76</v>
      </c>
      <c r="V23" s="158"/>
      <c r="W23" s="158"/>
      <c r="X23" s="158"/>
      <c r="Y23" s="157">
        <f>SUM(S23:X23)</f>
        <v>81</v>
      </c>
      <c r="Z23" s="206" t="s">
        <v>298</v>
      </c>
    </row>
    <row r="24" spans="1:26" s="3" customFormat="1" ht="38.25">
      <c r="A24" s="357"/>
      <c r="B24" s="489"/>
      <c r="C24" s="340"/>
      <c r="D24" s="500"/>
      <c r="E24" s="489"/>
      <c r="F24" s="500"/>
      <c r="G24" s="506"/>
      <c r="H24" s="380"/>
      <c r="I24" s="128" t="s">
        <v>1040</v>
      </c>
      <c r="J24" s="294" t="s">
        <v>1042</v>
      </c>
      <c r="K24" s="443"/>
      <c r="L24" s="294" t="s">
        <v>1041</v>
      </c>
      <c r="M24" s="59">
        <v>1</v>
      </c>
      <c r="N24" s="59">
        <v>1</v>
      </c>
      <c r="O24" s="59">
        <v>1</v>
      </c>
      <c r="P24" s="59">
        <v>1</v>
      </c>
      <c r="Q24" s="118"/>
      <c r="R24" s="157"/>
      <c r="S24" s="158"/>
      <c r="T24" s="158"/>
      <c r="U24" s="158"/>
      <c r="V24" s="158"/>
      <c r="W24" s="158"/>
      <c r="X24" s="158"/>
      <c r="Y24" s="157">
        <f t="shared" ref="Y24:Y34" si="1">SUM(S24:X24)</f>
        <v>0</v>
      </c>
      <c r="Z24" s="206" t="s">
        <v>298</v>
      </c>
    </row>
    <row r="25" spans="1:26" s="3" customFormat="1" ht="34.5" customHeight="1">
      <c r="A25" s="357"/>
      <c r="B25" s="489"/>
      <c r="C25" s="340"/>
      <c r="D25" s="500"/>
      <c r="E25" s="489"/>
      <c r="F25" s="500"/>
      <c r="G25" s="506"/>
      <c r="H25" s="380"/>
      <c r="I25" s="128" t="s">
        <v>1038</v>
      </c>
      <c r="J25" s="294" t="s">
        <v>1039</v>
      </c>
      <c r="K25" s="443"/>
      <c r="L25" s="294" t="s">
        <v>1037</v>
      </c>
      <c r="M25" s="59">
        <v>0.76</v>
      </c>
      <c r="N25" s="59">
        <v>0.76</v>
      </c>
      <c r="O25" s="59">
        <v>0.76</v>
      </c>
      <c r="P25" s="59">
        <v>0.76</v>
      </c>
      <c r="Q25" s="118"/>
      <c r="R25" s="157"/>
      <c r="S25" s="158"/>
      <c r="T25" s="158"/>
      <c r="U25" s="158"/>
      <c r="V25" s="158"/>
      <c r="W25" s="158"/>
      <c r="X25" s="158"/>
      <c r="Y25" s="157">
        <f t="shared" si="1"/>
        <v>0</v>
      </c>
      <c r="Z25" s="206" t="s">
        <v>298</v>
      </c>
    </row>
    <row r="26" spans="1:26" s="3" customFormat="1" ht="25.5">
      <c r="A26" s="357"/>
      <c r="B26" s="489"/>
      <c r="C26" s="340"/>
      <c r="D26" s="500"/>
      <c r="E26" s="489"/>
      <c r="F26" s="500"/>
      <c r="G26" s="506"/>
      <c r="H26" s="380"/>
      <c r="I26" s="58">
        <v>235</v>
      </c>
      <c r="J26" s="106" t="s">
        <v>1035</v>
      </c>
      <c r="K26" s="443"/>
      <c r="L26" s="294" t="s">
        <v>1034</v>
      </c>
      <c r="M26" s="59">
        <f>235/524</f>
        <v>0.44847328244274809</v>
      </c>
      <c r="N26" s="59">
        <v>0.65</v>
      </c>
      <c r="O26" s="59">
        <v>0.8</v>
      </c>
      <c r="P26" s="59">
        <v>1</v>
      </c>
      <c r="Q26" s="118"/>
      <c r="R26" s="157"/>
      <c r="S26" s="158"/>
      <c r="T26" s="158"/>
      <c r="U26" s="158"/>
      <c r="V26" s="158"/>
      <c r="W26" s="158"/>
      <c r="X26" s="158"/>
      <c r="Y26" s="157">
        <f t="shared" si="1"/>
        <v>0</v>
      </c>
      <c r="Z26" s="206" t="s">
        <v>298</v>
      </c>
    </row>
    <row r="27" spans="1:26" s="3" customFormat="1" ht="39" customHeight="1">
      <c r="A27" s="357"/>
      <c r="B27" s="489"/>
      <c r="C27" s="340"/>
      <c r="D27" s="500"/>
      <c r="E27" s="489"/>
      <c r="F27" s="504" t="s">
        <v>203</v>
      </c>
      <c r="G27" s="452" t="s">
        <v>204</v>
      </c>
      <c r="H27" s="452" t="s">
        <v>205</v>
      </c>
      <c r="I27" s="128" t="s">
        <v>259</v>
      </c>
      <c r="J27" s="106" t="s">
        <v>258</v>
      </c>
      <c r="K27" s="443"/>
      <c r="L27" s="452" t="s">
        <v>203</v>
      </c>
      <c r="M27" s="59">
        <f>383/524</f>
        <v>0.73091603053435117</v>
      </c>
      <c r="N27" s="59">
        <v>1</v>
      </c>
      <c r="O27" s="59">
        <v>1</v>
      </c>
      <c r="P27" s="59">
        <v>1</v>
      </c>
      <c r="Q27" s="118"/>
      <c r="R27" s="415">
        <v>2040</v>
      </c>
      <c r="S27" s="417">
        <v>48</v>
      </c>
      <c r="T27" s="199"/>
      <c r="U27" s="417">
        <f>R27-S27</f>
        <v>1992</v>
      </c>
      <c r="V27" s="199"/>
      <c r="W27" s="417"/>
      <c r="X27" s="417"/>
      <c r="Y27" s="415">
        <f t="shared" si="1"/>
        <v>2040</v>
      </c>
      <c r="Z27" s="433" t="s">
        <v>298</v>
      </c>
    </row>
    <row r="28" spans="1:26" s="3" customFormat="1" ht="51.75" customHeight="1">
      <c r="A28" s="357"/>
      <c r="B28" s="489"/>
      <c r="C28" s="340"/>
      <c r="D28" s="500"/>
      <c r="E28" s="489"/>
      <c r="F28" s="505"/>
      <c r="G28" s="453"/>
      <c r="H28" s="453"/>
      <c r="I28" s="128" t="s">
        <v>260</v>
      </c>
      <c r="J28" s="106" t="s">
        <v>261</v>
      </c>
      <c r="K28" s="443"/>
      <c r="L28" s="453"/>
      <c r="M28" s="59">
        <f>1226/1876</f>
        <v>0.65351812366737738</v>
      </c>
      <c r="N28" s="59">
        <v>0.85</v>
      </c>
      <c r="O28" s="59">
        <v>0.85</v>
      </c>
      <c r="P28" s="59">
        <v>0.85</v>
      </c>
      <c r="Q28" s="118"/>
      <c r="R28" s="416"/>
      <c r="S28" s="418"/>
      <c r="T28" s="200"/>
      <c r="U28" s="418"/>
      <c r="V28" s="200"/>
      <c r="W28" s="418"/>
      <c r="X28" s="418"/>
      <c r="Y28" s="416">
        <f t="shared" si="1"/>
        <v>0</v>
      </c>
      <c r="Z28" s="434"/>
    </row>
    <row r="29" spans="1:26" s="3" customFormat="1" ht="25.5" customHeight="1">
      <c r="A29" s="357"/>
      <c r="B29" s="489"/>
      <c r="C29" s="340"/>
      <c r="D29" s="500"/>
      <c r="E29" s="489"/>
      <c r="F29" s="504" t="s">
        <v>185</v>
      </c>
      <c r="G29" s="452" t="s">
        <v>192</v>
      </c>
      <c r="H29" s="452" t="s">
        <v>191</v>
      </c>
      <c r="I29" s="58">
        <v>0</v>
      </c>
      <c r="J29" s="106" t="s">
        <v>263</v>
      </c>
      <c r="K29" s="443"/>
      <c r="L29" s="294" t="s">
        <v>262</v>
      </c>
      <c r="M29" s="59">
        <v>0.3</v>
      </c>
      <c r="N29" s="59">
        <v>0.5</v>
      </c>
      <c r="O29" s="59">
        <v>0.8</v>
      </c>
      <c r="P29" s="59">
        <v>0.8</v>
      </c>
      <c r="Q29" s="118"/>
      <c r="R29" s="157">
        <v>70</v>
      </c>
      <c r="S29" s="158">
        <v>70</v>
      </c>
      <c r="T29" s="158"/>
      <c r="U29" s="158"/>
      <c r="V29" s="158"/>
      <c r="W29" s="158"/>
      <c r="X29" s="158"/>
      <c r="Y29" s="157">
        <f t="shared" si="1"/>
        <v>70</v>
      </c>
      <c r="Z29" s="206" t="s">
        <v>298</v>
      </c>
    </row>
    <row r="30" spans="1:26" s="3" customFormat="1" ht="38.25" customHeight="1">
      <c r="A30" s="357"/>
      <c r="B30" s="489"/>
      <c r="C30" s="340"/>
      <c r="D30" s="500"/>
      <c r="E30" s="489"/>
      <c r="F30" s="507"/>
      <c r="G30" s="454"/>
      <c r="H30" s="454"/>
      <c r="I30" s="128" t="s">
        <v>505</v>
      </c>
      <c r="J30" s="106" t="s">
        <v>188</v>
      </c>
      <c r="K30" s="443"/>
      <c r="L30" s="294" t="s">
        <v>186</v>
      </c>
      <c r="M30" s="59">
        <v>0.2</v>
      </c>
      <c r="N30" s="59">
        <v>1</v>
      </c>
      <c r="O30" s="59">
        <v>1</v>
      </c>
      <c r="P30" s="59">
        <v>1</v>
      </c>
      <c r="Q30" s="118"/>
      <c r="R30" s="157">
        <v>2</v>
      </c>
      <c r="S30" s="158">
        <v>2</v>
      </c>
      <c r="T30" s="158"/>
      <c r="U30" s="158"/>
      <c r="V30" s="158"/>
      <c r="W30" s="158"/>
      <c r="X30" s="158"/>
      <c r="Y30" s="157">
        <f t="shared" si="1"/>
        <v>2</v>
      </c>
      <c r="Z30" s="206" t="s">
        <v>298</v>
      </c>
    </row>
    <row r="31" spans="1:26" s="3" customFormat="1" ht="76.5" customHeight="1">
      <c r="A31" s="357"/>
      <c r="B31" s="489"/>
      <c r="C31" s="340"/>
      <c r="D31" s="500"/>
      <c r="E31" s="489"/>
      <c r="F31" s="505"/>
      <c r="G31" s="453"/>
      <c r="H31" s="453"/>
      <c r="I31" s="276" t="s">
        <v>189</v>
      </c>
      <c r="J31" s="106" t="s">
        <v>190</v>
      </c>
      <c r="K31" s="443"/>
      <c r="L31" s="294" t="s">
        <v>187</v>
      </c>
      <c r="M31" s="59">
        <v>0.35</v>
      </c>
      <c r="N31" s="59">
        <v>0.4</v>
      </c>
      <c r="O31" s="59">
        <v>0.45</v>
      </c>
      <c r="P31" s="59">
        <v>0.5</v>
      </c>
      <c r="Q31" s="118"/>
      <c r="R31" s="157">
        <v>160</v>
      </c>
      <c r="S31" s="158">
        <v>160</v>
      </c>
      <c r="T31" s="158"/>
      <c r="U31" s="158"/>
      <c r="V31" s="158"/>
      <c r="W31" s="158"/>
      <c r="X31" s="158"/>
      <c r="Y31" s="157">
        <f t="shared" si="1"/>
        <v>160</v>
      </c>
      <c r="Z31" s="206" t="s">
        <v>298</v>
      </c>
    </row>
    <row r="32" spans="1:26" s="3" customFormat="1" ht="30" customHeight="1">
      <c r="A32" s="357"/>
      <c r="B32" s="489"/>
      <c r="C32" s="340"/>
      <c r="D32" s="500"/>
      <c r="E32" s="489"/>
      <c r="F32" s="500" t="s">
        <v>49</v>
      </c>
      <c r="G32" s="380" t="s">
        <v>50</v>
      </c>
      <c r="H32" s="380" t="s">
        <v>51</v>
      </c>
      <c r="I32" s="58">
        <v>0</v>
      </c>
      <c r="J32" s="128" t="s">
        <v>257</v>
      </c>
      <c r="K32" s="443"/>
      <c r="L32" s="294" t="s">
        <v>1047</v>
      </c>
      <c r="M32" s="59">
        <v>0.1</v>
      </c>
      <c r="N32" s="59">
        <v>0.3</v>
      </c>
      <c r="O32" s="59">
        <v>0.4</v>
      </c>
      <c r="P32" s="59">
        <v>0.2</v>
      </c>
      <c r="Q32" s="118"/>
      <c r="R32" s="157">
        <v>80</v>
      </c>
      <c r="S32" s="158">
        <v>80</v>
      </c>
      <c r="T32" s="158"/>
      <c r="U32" s="158"/>
      <c r="V32" s="158"/>
      <c r="W32" s="158"/>
      <c r="X32" s="158"/>
      <c r="Y32" s="157">
        <f t="shared" si="1"/>
        <v>80</v>
      </c>
      <c r="Z32" s="206" t="s">
        <v>298</v>
      </c>
    </row>
    <row r="33" spans="1:26" s="3" customFormat="1" ht="25.5">
      <c r="A33" s="357"/>
      <c r="B33" s="489"/>
      <c r="C33" s="340"/>
      <c r="D33" s="500"/>
      <c r="E33" s="489"/>
      <c r="F33" s="500"/>
      <c r="G33" s="380"/>
      <c r="H33" s="380"/>
      <c r="I33" s="59">
        <v>0.05</v>
      </c>
      <c r="J33" s="128" t="s">
        <v>257</v>
      </c>
      <c r="K33" s="443"/>
      <c r="L33" s="294" t="s">
        <v>1048</v>
      </c>
      <c r="M33" s="59">
        <v>0.1</v>
      </c>
      <c r="N33" s="59">
        <v>0.3</v>
      </c>
      <c r="O33" s="59">
        <v>0.4</v>
      </c>
      <c r="P33" s="59">
        <v>0.2</v>
      </c>
      <c r="Q33" s="118"/>
      <c r="R33" s="157">
        <v>40</v>
      </c>
      <c r="S33" s="158">
        <v>40</v>
      </c>
      <c r="T33" s="158"/>
      <c r="U33" s="158"/>
      <c r="V33" s="158"/>
      <c r="W33" s="158"/>
      <c r="X33" s="158"/>
      <c r="Y33" s="157">
        <f t="shared" si="1"/>
        <v>40</v>
      </c>
      <c r="Z33" s="206" t="s">
        <v>298</v>
      </c>
    </row>
    <row r="34" spans="1:26" s="3" customFormat="1" ht="36" customHeight="1">
      <c r="A34" s="357"/>
      <c r="B34" s="489"/>
      <c r="C34" s="340"/>
      <c r="D34" s="500"/>
      <c r="E34" s="489"/>
      <c r="F34" s="500"/>
      <c r="G34" s="380"/>
      <c r="H34" s="380"/>
      <c r="I34" s="58">
        <v>0</v>
      </c>
      <c r="J34" s="128" t="s">
        <v>257</v>
      </c>
      <c r="K34" s="443"/>
      <c r="L34" s="294" t="s">
        <v>193</v>
      </c>
      <c r="M34" s="59">
        <v>0.1</v>
      </c>
      <c r="N34" s="59">
        <v>0.3</v>
      </c>
      <c r="O34" s="59">
        <v>0.4</v>
      </c>
      <c r="P34" s="59">
        <v>0.2</v>
      </c>
      <c r="Q34" s="118"/>
      <c r="R34" s="157">
        <v>140</v>
      </c>
      <c r="S34" s="158">
        <v>140</v>
      </c>
      <c r="T34" s="158"/>
      <c r="U34" s="158"/>
      <c r="V34" s="158"/>
      <c r="W34" s="158"/>
      <c r="X34" s="158"/>
      <c r="Y34" s="157">
        <f t="shared" si="1"/>
        <v>140</v>
      </c>
      <c r="Z34" s="206" t="s">
        <v>298</v>
      </c>
    </row>
    <row r="35" spans="1:26" s="3" customFormat="1" ht="53.25" customHeight="1">
      <c r="A35" s="357"/>
      <c r="B35" s="489"/>
      <c r="C35" s="340"/>
      <c r="D35" s="480" t="s">
        <v>433</v>
      </c>
      <c r="E35" s="489"/>
      <c r="F35" s="494" t="s">
        <v>434</v>
      </c>
      <c r="G35" s="456" t="s">
        <v>435</v>
      </c>
      <c r="H35" s="456" t="s">
        <v>436</v>
      </c>
      <c r="I35" s="296" t="s">
        <v>264</v>
      </c>
      <c r="J35" s="277" t="s">
        <v>1044</v>
      </c>
      <c r="K35" s="443"/>
      <c r="L35" s="277" t="s">
        <v>1043</v>
      </c>
      <c r="M35" s="104">
        <v>60</v>
      </c>
      <c r="N35" s="104">
        <v>120</v>
      </c>
      <c r="O35" s="104">
        <v>180</v>
      </c>
      <c r="P35" s="104">
        <v>240</v>
      </c>
      <c r="Q35" s="118"/>
      <c r="R35" s="161">
        <v>40</v>
      </c>
      <c r="S35" s="162">
        <v>40</v>
      </c>
      <c r="T35" s="162"/>
      <c r="U35" s="162"/>
      <c r="V35" s="162"/>
      <c r="W35" s="162"/>
      <c r="X35" s="162"/>
      <c r="Y35" s="161">
        <f>SUM(S35:X35)</f>
        <v>40</v>
      </c>
      <c r="Z35" s="186" t="s">
        <v>298</v>
      </c>
    </row>
    <row r="36" spans="1:26" s="3" customFormat="1" ht="45" customHeight="1">
      <c r="A36" s="357"/>
      <c r="B36" s="489"/>
      <c r="C36" s="340"/>
      <c r="D36" s="480"/>
      <c r="E36" s="489"/>
      <c r="F36" s="495"/>
      <c r="G36" s="457"/>
      <c r="H36" s="457"/>
      <c r="I36" s="296">
        <v>0</v>
      </c>
      <c r="J36" s="277" t="s">
        <v>438</v>
      </c>
      <c r="K36" s="443"/>
      <c r="L36" s="277" t="s">
        <v>437</v>
      </c>
      <c r="M36" s="104">
        <v>0.3</v>
      </c>
      <c r="N36" s="104">
        <v>0.6</v>
      </c>
      <c r="O36" s="104">
        <v>1</v>
      </c>
      <c r="P36" s="104">
        <v>1</v>
      </c>
      <c r="Q36" s="118"/>
      <c r="R36" s="161">
        <v>30</v>
      </c>
      <c r="S36" s="162">
        <v>30</v>
      </c>
      <c r="T36" s="162"/>
      <c r="U36" s="162"/>
      <c r="V36" s="162"/>
      <c r="W36" s="162"/>
      <c r="X36" s="162"/>
      <c r="Y36" s="161">
        <f>SUM(S36:X36)</f>
        <v>30</v>
      </c>
      <c r="Z36" s="186" t="s">
        <v>298</v>
      </c>
    </row>
    <row r="37" spans="1:26" s="3" customFormat="1" ht="90.75" customHeight="1">
      <c r="A37" s="357"/>
      <c r="B37" s="489"/>
      <c r="C37" s="340"/>
      <c r="D37" s="480"/>
      <c r="E37" s="489"/>
      <c r="F37" s="496"/>
      <c r="G37" s="458"/>
      <c r="H37" s="458"/>
      <c r="I37" s="104">
        <v>0</v>
      </c>
      <c r="J37" s="277" t="s">
        <v>199</v>
      </c>
      <c r="K37" s="443"/>
      <c r="L37" s="277" t="s">
        <v>198</v>
      </c>
      <c r="M37" s="105">
        <v>0.1</v>
      </c>
      <c r="N37" s="105">
        <v>0.3</v>
      </c>
      <c r="O37" s="105">
        <v>0.6</v>
      </c>
      <c r="P37" s="105">
        <v>1</v>
      </c>
      <c r="Q37" s="118"/>
      <c r="R37" s="161">
        <v>15</v>
      </c>
      <c r="S37" s="162">
        <v>15</v>
      </c>
      <c r="T37" s="162"/>
      <c r="U37" s="162"/>
      <c r="V37" s="162"/>
      <c r="W37" s="162"/>
      <c r="X37" s="162"/>
      <c r="Y37" s="161">
        <f>SUM(S37:X37)</f>
        <v>15</v>
      </c>
      <c r="Z37" s="186" t="s">
        <v>298</v>
      </c>
    </row>
    <row r="38" spans="1:26" ht="57.75" customHeight="1">
      <c r="A38" s="357"/>
      <c r="B38" s="489"/>
      <c r="C38" s="340"/>
      <c r="D38" s="500" t="s">
        <v>889</v>
      </c>
      <c r="E38" s="489"/>
      <c r="F38" s="500" t="s">
        <v>52</v>
      </c>
      <c r="G38" s="294" t="s">
        <v>265</v>
      </c>
      <c r="H38" s="380" t="s">
        <v>266</v>
      </c>
      <c r="I38" s="455">
        <v>0</v>
      </c>
      <c r="J38" s="380" t="s">
        <v>2</v>
      </c>
      <c r="K38" s="443"/>
      <c r="L38" s="380" t="s">
        <v>267</v>
      </c>
      <c r="M38" s="447">
        <v>1</v>
      </c>
      <c r="N38" s="447">
        <v>1</v>
      </c>
      <c r="O38" s="447">
        <v>1</v>
      </c>
      <c r="P38" s="447">
        <v>1</v>
      </c>
      <c r="R38" s="415">
        <v>30</v>
      </c>
      <c r="S38" s="417">
        <v>30</v>
      </c>
      <c r="T38" s="199"/>
      <c r="U38" s="417"/>
      <c r="V38" s="199"/>
      <c r="W38" s="417"/>
      <c r="X38" s="417"/>
      <c r="Y38" s="415">
        <f>SUM(S38:X39)</f>
        <v>30</v>
      </c>
      <c r="Z38" s="433" t="s">
        <v>298</v>
      </c>
    </row>
    <row r="39" spans="1:26" ht="64.5" customHeight="1">
      <c r="A39" s="357"/>
      <c r="B39" s="490"/>
      <c r="C39" s="359"/>
      <c r="D39" s="500"/>
      <c r="E39" s="490"/>
      <c r="F39" s="500"/>
      <c r="G39" s="294" t="s">
        <v>888</v>
      </c>
      <c r="H39" s="380"/>
      <c r="I39" s="455"/>
      <c r="J39" s="380"/>
      <c r="K39" s="444"/>
      <c r="L39" s="380"/>
      <c r="M39" s="447"/>
      <c r="N39" s="447"/>
      <c r="O39" s="447"/>
      <c r="P39" s="447"/>
      <c r="R39" s="416"/>
      <c r="S39" s="418"/>
      <c r="T39" s="200"/>
      <c r="U39" s="418"/>
      <c r="V39" s="200"/>
      <c r="W39" s="418"/>
      <c r="X39" s="418"/>
      <c r="Y39" s="416"/>
      <c r="Z39" s="434"/>
    </row>
    <row r="40" spans="1:26" ht="24" customHeight="1">
      <c r="A40" s="357" t="s">
        <v>63</v>
      </c>
      <c r="B40" s="488" t="s">
        <v>488</v>
      </c>
      <c r="C40" s="339" t="s">
        <v>62</v>
      </c>
      <c r="D40" s="480" t="s">
        <v>81</v>
      </c>
      <c r="E40" s="488" t="s">
        <v>456</v>
      </c>
      <c r="F40" s="480" t="s">
        <v>53</v>
      </c>
      <c r="G40" s="448" t="s">
        <v>82</v>
      </c>
      <c r="H40" s="448" t="s">
        <v>268</v>
      </c>
      <c r="I40" s="277" t="s">
        <v>1046</v>
      </c>
      <c r="J40" s="277" t="s">
        <v>269</v>
      </c>
      <c r="K40" s="442" t="s">
        <v>288</v>
      </c>
      <c r="L40" s="277" t="s">
        <v>1045</v>
      </c>
      <c r="M40" s="105">
        <v>1</v>
      </c>
      <c r="N40" s="105">
        <v>0</v>
      </c>
      <c r="O40" s="105">
        <v>0</v>
      </c>
      <c r="P40" s="105">
        <v>0</v>
      </c>
      <c r="R40" s="161">
        <v>20</v>
      </c>
      <c r="S40" s="162">
        <v>20</v>
      </c>
      <c r="T40" s="162"/>
      <c r="U40" s="162"/>
      <c r="V40" s="162"/>
      <c r="W40" s="162"/>
      <c r="X40" s="162"/>
      <c r="Y40" s="161">
        <f>SUM(S40:X40)</f>
        <v>20</v>
      </c>
      <c r="Z40" s="186" t="s">
        <v>299</v>
      </c>
    </row>
    <row r="41" spans="1:26" ht="214.5" customHeight="1">
      <c r="A41" s="357"/>
      <c r="B41" s="489"/>
      <c r="C41" s="359"/>
      <c r="D41" s="480"/>
      <c r="E41" s="490"/>
      <c r="F41" s="480"/>
      <c r="G41" s="448"/>
      <c r="H41" s="448"/>
      <c r="I41" s="277" t="s">
        <v>270</v>
      </c>
      <c r="J41" s="277" t="s">
        <v>340</v>
      </c>
      <c r="K41" s="444"/>
      <c r="L41" s="277" t="s">
        <v>3</v>
      </c>
      <c r="M41" s="105">
        <v>0.1</v>
      </c>
      <c r="N41" s="105">
        <v>0.1</v>
      </c>
      <c r="O41" s="105">
        <v>0.05</v>
      </c>
      <c r="P41" s="105">
        <v>0.05</v>
      </c>
      <c r="R41" s="161">
        <f>4486980000/1000000*0.3-20</f>
        <v>1326.0939999999998</v>
      </c>
      <c r="S41" s="162">
        <v>80</v>
      </c>
      <c r="T41" s="162"/>
      <c r="U41" s="162">
        <f>+R41-S41</f>
        <v>1246.0939999999998</v>
      </c>
      <c r="V41" s="162"/>
      <c r="W41" s="162"/>
      <c r="X41" s="162"/>
      <c r="Y41" s="161">
        <f>SUM(S41:X41)</f>
        <v>1326.0939999999998</v>
      </c>
      <c r="Z41" s="186" t="s">
        <v>299</v>
      </c>
    </row>
    <row r="42" spans="1:26" ht="38.25">
      <c r="A42" s="357"/>
      <c r="B42" s="489"/>
      <c r="C42" s="357" t="s">
        <v>595</v>
      </c>
      <c r="D42" s="411" t="s">
        <v>924</v>
      </c>
      <c r="E42" s="484" t="s">
        <v>742</v>
      </c>
      <c r="F42" s="299" t="s">
        <v>931</v>
      </c>
      <c r="G42" s="459" t="s">
        <v>854</v>
      </c>
      <c r="H42" s="210" t="s">
        <v>934</v>
      </c>
      <c r="I42" s="210" t="s">
        <v>935</v>
      </c>
      <c r="J42" s="210" t="s">
        <v>273</v>
      </c>
      <c r="K42" s="508" t="s">
        <v>289</v>
      </c>
      <c r="L42" s="460" t="s">
        <v>933</v>
      </c>
      <c r="M42" s="115">
        <v>0.94399999999999995</v>
      </c>
      <c r="N42" s="36">
        <v>0.95</v>
      </c>
      <c r="O42" s="36">
        <v>0.96</v>
      </c>
      <c r="P42" s="36">
        <v>0.97</v>
      </c>
      <c r="Q42" s="218"/>
      <c r="R42" s="211">
        <f>9594245788/1000000</f>
        <v>9594.2457880000002</v>
      </c>
      <c r="S42" s="212">
        <v>100</v>
      </c>
      <c r="T42" s="212">
        <f>184000000/1000000</f>
        <v>184</v>
      </c>
      <c r="U42" s="212">
        <f>R42-S42-T42</f>
        <v>9310.2457880000002</v>
      </c>
      <c r="V42" s="212"/>
      <c r="W42" s="212"/>
      <c r="X42" s="212"/>
      <c r="Y42" s="211">
        <f>SUM(S42:X42)</f>
        <v>9594.2457880000002</v>
      </c>
      <c r="Z42" s="509" t="s">
        <v>432</v>
      </c>
    </row>
    <row r="43" spans="1:26" ht="38.25">
      <c r="A43" s="357"/>
      <c r="B43" s="489"/>
      <c r="C43" s="357"/>
      <c r="D43" s="411"/>
      <c r="E43" s="484"/>
      <c r="F43" s="299" t="s">
        <v>932</v>
      </c>
      <c r="G43" s="459"/>
      <c r="H43" s="210" t="s">
        <v>936</v>
      </c>
      <c r="I43" s="210" t="s">
        <v>937</v>
      </c>
      <c r="J43" s="210" t="s">
        <v>938</v>
      </c>
      <c r="K43" s="508"/>
      <c r="L43" s="460"/>
      <c r="M43" s="115">
        <v>0.55000000000000004</v>
      </c>
      <c r="N43" s="36">
        <v>0.6</v>
      </c>
      <c r="O43" s="36">
        <v>0.65</v>
      </c>
      <c r="P43" s="217">
        <v>0.7</v>
      </c>
      <c r="R43" s="213">
        <v>30</v>
      </c>
      <c r="S43" s="214">
        <v>30</v>
      </c>
      <c r="T43" s="214"/>
      <c r="U43" s="214"/>
      <c r="V43" s="214"/>
      <c r="W43" s="214"/>
      <c r="X43" s="214"/>
      <c r="Y43" s="213">
        <f t="shared" ref="Y43:Y54" si="2">SUM(S43:X43)</f>
        <v>30</v>
      </c>
      <c r="Z43" s="509"/>
    </row>
    <row r="44" spans="1:26" ht="51">
      <c r="A44" s="357"/>
      <c r="B44" s="489"/>
      <c r="C44" s="357"/>
      <c r="D44" s="411" t="s">
        <v>925</v>
      </c>
      <c r="E44" s="484"/>
      <c r="F44" s="411" t="s">
        <v>744</v>
      </c>
      <c r="G44" s="459" t="s">
        <v>855</v>
      </c>
      <c r="H44" s="459" t="s">
        <v>855</v>
      </c>
      <c r="I44" s="210" t="s">
        <v>975</v>
      </c>
      <c r="J44" s="210" t="s">
        <v>976</v>
      </c>
      <c r="K44" s="508"/>
      <c r="L44" s="210" t="s">
        <v>596</v>
      </c>
      <c r="M44" s="34">
        <v>5</v>
      </c>
      <c r="N44" s="34">
        <v>9</v>
      </c>
      <c r="O44" s="34">
        <v>9</v>
      </c>
      <c r="P44" s="34">
        <v>9</v>
      </c>
      <c r="R44" s="163">
        <v>30</v>
      </c>
      <c r="S44" s="164">
        <v>30</v>
      </c>
      <c r="T44" s="164"/>
      <c r="U44" s="164"/>
      <c r="V44" s="164"/>
      <c r="W44" s="164"/>
      <c r="X44" s="164"/>
      <c r="Y44" s="163">
        <f t="shared" si="2"/>
        <v>30</v>
      </c>
      <c r="Z44" s="509"/>
    </row>
    <row r="45" spans="1:26" ht="76.5">
      <c r="A45" s="357"/>
      <c r="B45" s="489"/>
      <c r="C45" s="357"/>
      <c r="D45" s="411"/>
      <c r="E45" s="484"/>
      <c r="F45" s="411"/>
      <c r="G45" s="459"/>
      <c r="H45" s="459"/>
      <c r="I45" s="210" t="s">
        <v>977</v>
      </c>
      <c r="J45" s="210" t="s">
        <v>978</v>
      </c>
      <c r="K45" s="508"/>
      <c r="L45" s="210" t="s">
        <v>974</v>
      </c>
      <c r="M45" s="34">
        <v>1</v>
      </c>
      <c r="N45" s="34">
        <v>1</v>
      </c>
      <c r="O45" s="34">
        <v>1</v>
      </c>
      <c r="P45" s="34">
        <v>1</v>
      </c>
      <c r="R45" s="163">
        <v>40</v>
      </c>
      <c r="S45" s="164">
        <v>40</v>
      </c>
      <c r="T45" s="164"/>
      <c r="U45" s="164"/>
      <c r="V45" s="164"/>
      <c r="W45" s="164"/>
      <c r="X45" s="164"/>
      <c r="Y45" s="163">
        <f t="shared" si="2"/>
        <v>40</v>
      </c>
      <c r="Z45" s="509"/>
    </row>
    <row r="46" spans="1:26" ht="51">
      <c r="A46" s="357"/>
      <c r="B46" s="489"/>
      <c r="C46" s="357"/>
      <c r="D46" s="299" t="s">
        <v>785</v>
      </c>
      <c r="E46" s="484"/>
      <c r="F46" s="299" t="s">
        <v>1088</v>
      </c>
      <c r="G46" s="210" t="s">
        <v>1089</v>
      </c>
      <c r="H46" s="321" t="s">
        <v>981</v>
      </c>
      <c r="I46" s="210">
        <v>0</v>
      </c>
      <c r="J46" s="210" t="s">
        <v>979</v>
      </c>
      <c r="K46" s="508"/>
      <c r="L46" s="210" t="s">
        <v>980</v>
      </c>
      <c r="M46" s="36">
        <v>0</v>
      </c>
      <c r="N46" s="36">
        <v>1</v>
      </c>
      <c r="O46" s="36">
        <v>0</v>
      </c>
      <c r="P46" s="36">
        <v>0</v>
      </c>
      <c r="R46" s="163">
        <v>24</v>
      </c>
      <c r="S46" s="164">
        <v>24</v>
      </c>
      <c r="T46" s="164"/>
      <c r="U46" s="164"/>
      <c r="V46" s="164"/>
      <c r="W46" s="164"/>
      <c r="X46" s="164"/>
      <c r="Y46" s="163">
        <f t="shared" si="2"/>
        <v>24</v>
      </c>
      <c r="Z46" s="509"/>
    </row>
    <row r="47" spans="1:26" ht="51">
      <c r="A47" s="357"/>
      <c r="B47" s="489"/>
      <c r="C47" s="357"/>
      <c r="D47" s="411" t="s">
        <v>926</v>
      </c>
      <c r="E47" s="484"/>
      <c r="F47" s="411" t="s">
        <v>743</v>
      </c>
      <c r="G47" s="484" t="s">
        <v>939</v>
      </c>
      <c r="H47" s="484" t="s">
        <v>1090</v>
      </c>
      <c r="I47" s="210" t="s">
        <v>987</v>
      </c>
      <c r="J47" s="210" t="s">
        <v>195</v>
      </c>
      <c r="K47" s="508"/>
      <c r="L47" s="301" t="s">
        <v>988</v>
      </c>
      <c r="M47" s="34">
        <f>3.9-0.5</f>
        <v>3.4</v>
      </c>
      <c r="N47" s="34">
        <f>M47-0.5</f>
        <v>2.9</v>
      </c>
      <c r="O47" s="34">
        <f>N47-0.5</f>
        <v>2.4</v>
      </c>
      <c r="P47" s="34">
        <f>O47-0.5</f>
        <v>1.9</v>
      </c>
      <c r="R47" s="163">
        <f>82000000/1000000</f>
        <v>82</v>
      </c>
      <c r="S47" s="164">
        <f>12000000/1000000</f>
        <v>12</v>
      </c>
      <c r="T47" s="164"/>
      <c r="U47" s="164">
        <f>70000000/1000000</f>
        <v>70</v>
      </c>
      <c r="V47" s="164"/>
      <c r="W47" s="164"/>
      <c r="X47" s="164"/>
      <c r="Y47" s="163">
        <f t="shared" si="2"/>
        <v>82</v>
      </c>
      <c r="Z47" s="509"/>
    </row>
    <row r="48" spans="1:26" ht="38.25" customHeight="1">
      <c r="A48" s="357"/>
      <c r="B48" s="489"/>
      <c r="C48" s="357"/>
      <c r="D48" s="411"/>
      <c r="E48" s="484"/>
      <c r="F48" s="411"/>
      <c r="G48" s="484"/>
      <c r="H48" s="484"/>
      <c r="I48" s="210" t="s">
        <v>991</v>
      </c>
      <c r="J48" s="210" t="s">
        <v>940</v>
      </c>
      <c r="K48" s="508"/>
      <c r="L48" s="484" t="s">
        <v>1091</v>
      </c>
      <c r="M48" s="34">
        <v>0</v>
      </c>
      <c r="N48" s="34">
        <v>0</v>
      </c>
      <c r="O48" s="34">
        <v>0</v>
      </c>
      <c r="P48" s="34">
        <v>0</v>
      </c>
      <c r="R48" s="435">
        <f>82000000/1000000</f>
        <v>82</v>
      </c>
      <c r="S48" s="430">
        <f>12000000/1000000</f>
        <v>12</v>
      </c>
      <c r="T48" s="430"/>
      <c r="U48" s="512">
        <f>70000000/1000000</f>
        <v>70</v>
      </c>
      <c r="V48" s="430"/>
      <c r="W48" s="430"/>
      <c r="X48" s="430"/>
      <c r="Y48" s="435">
        <f t="shared" si="2"/>
        <v>82</v>
      </c>
      <c r="Z48" s="509"/>
    </row>
    <row r="49" spans="1:26" ht="44.25" customHeight="1">
      <c r="A49" s="357"/>
      <c r="B49" s="489"/>
      <c r="C49" s="357"/>
      <c r="D49" s="411"/>
      <c r="E49" s="484"/>
      <c r="F49" s="411"/>
      <c r="G49" s="484"/>
      <c r="H49" s="484"/>
      <c r="I49" s="210" t="s">
        <v>989</v>
      </c>
      <c r="J49" s="210" t="s">
        <v>941</v>
      </c>
      <c r="K49" s="508"/>
      <c r="L49" s="484"/>
      <c r="M49" s="34">
        <v>0</v>
      </c>
      <c r="N49" s="34">
        <v>0</v>
      </c>
      <c r="O49" s="34">
        <v>0</v>
      </c>
      <c r="P49" s="34">
        <v>0</v>
      </c>
      <c r="R49" s="436"/>
      <c r="S49" s="431"/>
      <c r="T49" s="431"/>
      <c r="U49" s="513"/>
      <c r="V49" s="431"/>
      <c r="W49" s="431"/>
      <c r="X49" s="431"/>
      <c r="Y49" s="436"/>
      <c r="Z49" s="509"/>
    </row>
    <row r="50" spans="1:26" ht="71.25" customHeight="1">
      <c r="A50" s="357"/>
      <c r="B50" s="489"/>
      <c r="C50" s="357"/>
      <c r="D50" s="411"/>
      <c r="E50" s="484"/>
      <c r="F50" s="411"/>
      <c r="G50" s="484"/>
      <c r="H50" s="484"/>
      <c r="I50" s="210" t="s">
        <v>1092</v>
      </c>
      <c r="J50" s="210" t="s">
        <v>274</v>
      </c>
      <c r="K50" s="508"/>
      <c r="L50" s="484"/>
      <c r="M50" s="210" t="s">
        <v>1093</v>
      </c>
      <c r="N50" s="210" t="s">
        <v>1094</v>
      </c>
      <c r="O50" s="210" t="s">
        <v>1095</v>
      </c>
      <c r="P50" s="210" t="s">
        <v>1096</v>
      </c>
      <c r="R50" s="437"/>
      <c r="S50" s="432"/>
      <c r="T50" s="432"/>
      <c r="U50" s="514"/>
      <c r="V50" s="432"/>
      <c r="W50" s="432"/>
      <c r="X50" s="432"/>
      <c r="Y50" s="437"/>
      <c r="Z50" s="509"/>
    </row>
    <row r="51" spans="1:26" ht="106.5" customHeight="1">
      <c r="A51" s="357"/>
      <c r="B51" s="490"/>
      <c r="C51" s="357"/>
      <c r="D51" s="411"/>
      <c r="E51" s="484"/>
      <c r="F51" s="411"/>
      <c r="G51" s="484"/>
      <c r="H51" s="484"/>
      <c r="I51" s="34">
        <f>25*28</f>
        <v>700</v>
      </c>
      <c r="J51" s="210" t="s">
        <v>194</v>
      </c>
      <c r="K51" s="508"/>
      <c r="L51" s="210" t="s">
        <v>1066</v>
      </c>
      <c r="M51" s="34">
        <f>I51+I51*0.2</f>
        <v>840</v>
      </c>
      <c r="N51" s="34">
        <v>840</v>
      </c>
      <c r="O51" s="34">
        <v>840</v>
      </c>
      <c r="P51" s="34">
        <v>840</v>
      </c>
      <c r="R51" s="163">
        <f>82000000/1000000</f>
        <v>82</v>
      </c>
      <c r="S51" s="164">
        <f>12000000/1000000</f>
        <v>12</v>
      </c>
      <c r="T51" s="164"/>
      <c r="U51" s="164">
        <f>70000000/1000000</f>
        <v>70</v>
      </c>
      <c r="V51" s="164"/>
      <c r="W51" s="164"/>
      <c r="X51" s="164"/>
      <c r="Y51" s="163">
        <f t="shared" si="2"/>
        <v>82</v>
      </c>
      <c r="Z51" s="509"/>
    </row>
    <row r="52" spans="1:26" ht="114.75" customHeight="1">
      <c r="A52" s="357" t="s">
        <v>63</v>
      </c>
      <c r="B52" s="492" t="s">
        <v>488</v>
      </c>
      <c r="C52" s="359" t="s">
        <v>595</v>
      </c>
      <c r="D52" s="55" t="s">
        <v>926</v>
      </c>
      <c r="E52" s="407" t="s">
        <v>742</v>
      </c>
      <c r="F52" s="55" t="s">
        <v>743</v>
      </c>
      <c r="G52" s="484"/>
      <c r="H52" s="33" t="s">
        <v>1090</v>
      </c>
      <c r="I52" s="34">
        <f>25*28</f>
        <v>700</v>
      </c>
      <c r="J52" s="210" t="s">
        <v>170</v>
      </c>
      <c r="K52" s="508" t="s">
        <v>289</v>
      </c>
      <c r="L52" s="210" t="s">
        <v>1067</v>
      </c>
      <c r="M52" s="34">
        <v>840</v>
      </c>
      <c r="N52" s="34">
        <v>840</v>
      </c>
      <c r="O52" s="34">
        <v>840</v>
      </c>
      <c r="P52" s="34">
        <v>840</v>
      </c>
      <c r="R52" s="163">
        <f>82000000/1000000</f>
        <v>82</v>
      </c>
      <c r="S52" s="164">
        <f>12000000/1000000</f>
        <v>12</v>
      </c>
      <c r="T52" s="164"/>
      <c r="U52" s="164">
        <f>70000000/1000000</f>
        <v>70</v>
      </c>
      <c r="V52" s="164"/>
      <c r="W52" s="164"/>
      <c r="X52" s="164"/>
      <c r="Y52" s="163">
        <f t="shared" si="2"/>
        <v>82</v>
      </c>
      <c r="Z52" s="510" t="s">
        <v>432</v>
      </c>
    </row>
    <row r="53" spans="1:26" ht="63.75" customHeight="1">
      <c r="A53" s="357"/>
      <c r="B53" s="492"/>
      <c r="C53" s="357"/>
      <c r="D53" s="299" t="s">
        <v>927</v>
      </c>
      <c r="E53" s="407"/>
      <c r="F53" s="299" t="s">
        <v>1097</v>
      </c>
      <c r="G53" s="74" t="s">
        <v>929</v>
      </c>
      <c r="H53" s="210" t="s">
        <v>1098</v>
      </c>
      <c r="I53" s="210" t="s">
        <v>1070</v>
      </c>
      <c r="J53" s="210" t="s">
        <v>1069</v>
      </c>
      <c r="K53" s="508"/>
      <c r="L53" s="210" t="s">
        <v>1068</v>
      </c>
      <c r="M53" s="36">
        <v>1</v>
      </c>
      <c r="N53" s="36">
        <v>1</v>
      </c>
      <c r="O53" s="36">
        <v>1</v>
      </c>
      <c r="P53" s="36">
        <v>1</v>
      </c>
      <c r="R53" s="163">
        <f>4000000/1000000</f>
        <v>4</v>
      </c>
      <c r="S53" s="164">
        <f>4000000/1000000</f>
        <v>4</v>
      </c>
      <c r="T53" s="164"/>
      <c r="U53" s="164"/>
      <c r="V53" s="164"/>
      <c r="W53" s="164"/>
      <c r="X53" s="164"/>
      <c r="Y53" s="163">
        <f t="shared" si="2"/>
        <v>4</v>
      </c>
      <c r="Z53" s="510"/>
    </row>
    <row r="54" spans="1:26" ht="137.25" customHeight="1">
      <c r="A54" s="357"/>
      <c r="B54" s="492"/>
      <c r="C54" s="357"/>
      <c r="D54" s="299" t="s">
        <v>928</v>
      </c>
      <c r="E54" s="408"/>
      <c r="F54" s="299" t="s">
        <v>1099</v>
      </c>
      <c r="G54" s="74" t="s">
        <v>930</v>
      </c>
      <c r="H54" s="210" t="s">
        <v>1071</v>
      </c>
      <c r="I54" s="88" t="s">
        <v>1073</v>
      </c>
      <c r="J54" s="210" t="s">
        <v>1072</v>
      </c>
      <c r="K54" s="508"/>
      <c r="L54" s="210" t="s">
        <v>1100</v>
      </c>
      <c r="M54" s="36">
        <v>0.2</v>
      </c>
      <c r="N54" s="36">
        <v>0.3</v>
      </c>
      <c r="O54" s="36">
        <v>0.4</v>
      </c>
      <c r="P54" s="36">
        <v>0.5</v>
      </c>
      <c r="R54" s="163">
        <f>4000000/1000000</f>
        <v>4</v>
      </c>
      <c r="S54" s="164">
        <f>4000000/1000000</f>
        <v>4</v>
      </c>
      <c r="T54" s="164"/>
      <c r="U54" s="164"/>
      <c r="V54" s="164"/>
      <c r="W54" s="164"/>
      <c r="X54" s="164"/>
      <c r="Y54" s="163">
        <f t="shared" si="2"/>
        <v>4</v>
      </c>
      <c r="Z54" s="511"/>
    </row>
    <row r="55" spans="1:26" ht="39.75" customHeight="1">
      <c r="A55" s="357"/>
      <c r="B55" s="492"/>
      <c r="C55" s="357" t="s">
        <v>98</v>
      </c>
      <c r="D55" s="483" t="s">
        <v>1101</v>
      </c>
      <c r="E55" s="472" t="s">
        <v>455</v>
      </c>
      <c r="F55" s="358" t="s">
        <v>699</v>
      </c>
      <c r="G55" s="468" t="s">
        <v>0</v>
      </c>
      <c r="H55" s="356" t="s">
        <v>852</v>
      </c>
      <c r="I55" s="63" t="s">
        <v>1079</v>
      </c>
      <c r="J55" s="63" t="s">
        <v>1078</v>
      </c>
      <c r="K55" s="374" t="s">
        <v>99</v>
      </c>
      <c r="L55" s="356" t="s">
        <v>599</v>
      </c>
      <c r="M55" s="61">
        <v>1</v>
      </c>
      <c r="N55" s="61">
        <v>1</v>
      </c>
      <c r="O55" s="61">
        <v>1</v>
      </c>
      <c r="P55" s="61">
        <v>1</v>
      </c>
      <c r="R55" s="165">
        <f>(36433000+10000000)*4/1000000</f>
        <v>185.732</v>
      </c>
      <c r="S55" s="166">
        <f>40000000/1000000</f>
        <v>40</v>
      </c>
      <c r="T55" s="166"/>
      <c r="U55" s="166">
        <f>R55-S55</f>
        <v>145.732</v>
      </c>
      <c r="V55" s="166"/>
      <c r="W55" s="166"/>
      <c r="X55" s="166"/>
      <c r="Y55" s="165">
        <f>SUM(S55:X55)</f>
        <v>185.732</v>
      </c>
      <c r="Z55" s="515" t="s">
        <v>424</v>
      </c>
    </row>
    <row r="56" spans="1:26" ht="25.5">
      <c r="A56" s="357"/>
      <c r="B56" s="492"/>
      <c r="C56" s="357"/>
      <c r="D56" s="483"/>
      <c r="E56" s="472"/>
      <c r="F56" s="358"/>
      <c r="G56" s="469"/>
      <c r="H56" s="356"/>
      <c r="I56" s="63" t="s">
        <v>101</v>
      </c>
      <c r="J56" s="63" t="s">
        <v>100</v>
      </c>
      <c r="K56" s="375"/>
      <c r="L56" s="356"/>
      <c r="M56" s="61">
        <v>1</v>
      </c>
      <c r="N56" s="61">
        <v>1</v>
      </c>
      <c r="O56" s="61">
        <v>1</v>
      </c>
      <c r="P56" s="61">
        <v>1</v>
      </c>
      <c r="R56" s="165">
        <f>80000000/1000000</f>
        <v>80</v>
      </c>
      <c r="S56" s="166">
        <f>80000000/1000000</f>
        <v>80</v>
      </c>
      <c r="T56" s="166"/>
      <c r="U56" s="166"/>
      <c r="V56" s="166"/>
      <c r="W56" s="166"/>
      <c r="X56" s="166"/>
      <c r="Y56" s="165">
        <f t="shared" ref="Y56:Y61" si="3">SUM(S56:X56)</f>
        <v>80</v>
      </c>
      <c r="Z56" s="515"/>
    </row>
    <row r="57" spans="1:26" ht="49.5" customHeight="1">
      <c r="A57" s="357"/>
      <c r="B57" s="492"/>
      <c r="C57" s="357"/>
      <c r="D57" s="483"/>
      <c r="E57" s="472"/>
      <c r="F57" s="358"/>
      <c r="G57" s="469"/>
      <c r="H57" s="356"/>
      <c r="I57" s="63" t="s">
        <v>1077</v>
      </c>
      <c r="J57" s="63" t="s">
        <v>1076</v>
      </c>
      <c r="K57" s="375"/>
      <c r="L57" s="356" t="s">
        <v>598</v>
      </c>
      <c r="M57" s="61">
        <v>1</v>
      </c>
      <c r="N57" s="61">
        <v>1</v>
      </c>
      <c r="O57" s="61">
        <v>1</v>
      </c>
      <c r="P57" s="61">
        <v>1</v>
      </c>
      <c r="R57" s="165">
        <f>161872400/1000000</f>
        <v>161.8724</v>
      </c>
      <c r="S57" s="166">
        <v>162</v>
      </c>
      <c r="T57" s="166"/>
      <c r="U57" s="166"/>
      <c r="V57" s="166"/>
      <c r="W57" s="166"/>
      <c r="X57" s="166"/>
      <c r="Y57" s="165">
        <f t="shared" si="3"/>
        <v>162</v>
      </c>
      <c r="Z57" s="515"/>
    </row>
    <row r="58" spans="1:26" ht="50.25" customHeight="1">
      <c r="A58" s="357"/>
      <c r="B58" s="492"/>
      <c r="C58" s="357"/>
      <c r="D58" s="483"/>
      <c r="E58" s="472"/>
      <c r="F58" s="358"/>
      <c r="G58" s="469"/>
      <c r="H58" s="356"/>
      <c r="I58" s="63" t="s">
        <v>1083</v>
      </c>
      <c r="J58" s="63" t="s">
        <v>102</v>
      </c>
      <c r="K58" s="375"/>
      <c r="L58" s="356"/>
      <c r="M58" s="61">
        <v>0.03</v>
      </c>
      <c r="N58" s="61">
        <v>0.03</v>
      </c>
      <c r="O58" s="61">
        <v>0.03</v>
      </c>
      <c r="P58" s="61">
        <v>0.03</v>
      </c>
      <c r="R58" s="165">
        <f>160000000/1000000</f>
        <v>160</v>
      </c>
      <c r="S58" s="166">
        <f>160000000/1000000</f>
        <v>160</v>
      </c>
      <c r="T58" s="166"/>
      <c r="U58" s="166"/>
      <c r="V58" s="166"/>
      <c r="W58" s="166"/>
      <c r="X58" s="166"/>
      <c r="Y58" s="165">
        <f t="shared" si="3"/>
        <v>160</v>
      </c>
      <c r="Z58" s="515"/>
    </row>
    <row r="59" spans="1:26" ht="51">
      <c r="A59" s="357"/>
      <c r="B59" s="492"/>
      <c r="C59" s="357"/>
      <c r="D59" s="483"/>
      <c r="E59" s="472"/>
      <c r="F59" s="358"/>
      <c r="G59" s="469"/>
      <c r="H59" s="356"/>
      <c r="I59" s="63" t="s">
        <v>1075</v>
      </c>
      <c r="J59" s="63" t="s">
        <v>1074</v>
      </c>
      <c r="K59" s="375"/>
      <c r="L59" s="356" t="s">
        <v>597</v>
      </c>
      <c r="M59" s="61">
        <v>1</v>
      </c>
      <c r="N59" s="61">
        <v>1</v>
      </c>
      <c r="O59" s="61">
        <v>1</v>
      </c>
      <c r="P59" s="61">
        <v>1</v>
      </c>
      <c r="R59" s="165">
        <f>112000000/1000000</f>
        <v>112</v>
      </c>
      <c r="S59" s="166">
        <v>112</v>
      </c>
      <c r="T59" s="166"/>
      <c r="U59" s="166"/>
      <c r="V59" s="166"/>
      <c r="W59" s="166"/>
      <c r="X59" s="166"/>
      <c r="Y59" s="165">
        <f t="shared" si="3"/>
        <v>112</v>
      </c>
      <c r="Z59" s="515"/>
    </row>
    <row r="60" spans="1:26" ht="48" customHeight="1">
      <c r="A60" s="357"/>
      <c r="B60" s="492"/>
      <c r="C60" s="357"/>
      <c r="D60" s="483"/>
      <c r="E60" s="472"/>
      <c r="F60" s="358"/>
      <c r="G60" s="469"/>
      <c r="H60" s="356"/>
      <c r="I60" s="63" t="s">
        <v>1082</v>
      </c>
      <c r="J60" s="63" t="s">
        <v>994</v>
      </c>
      <c r="K60" s="375"/>
      <c r="L60" s="356"/>
      <c r="M60" s="61">
        <v>1</v>
      </c>
      <c r="N60" s="61">
        <v>0</v>
      </c>
      <c r="O60" s="61">
        <v>0</v>
      </c>
      <c r="P60" s="61">
        <v>0</v>
      </c>
      <c r="R60" s="165">
        <f>100000000/1000000</f>
        <v>100</v>
      </c>
      <c r="S60" s="166">
        <f>100000000/1000000</f>
        <v>100</v>
      </c>
      <c r="T60" s="166"/>
      <c r="U60" s="166"/>
      <c r="V60" s="166"/>
      <c r="W60" s="166"/>
      <c r="X60" s="166"/>
      <c r="Y60" s="165">
        <f t="shared" si="3"/>
        <v>100</v>
      </c>
      <c r="Z60" s="515"/>
    </row>
    <row r="61" spans="1:26" ht="53.25" customHeight="1">
      <c r="A61" s="357"/>
      <c r="B61" s="492"/>
      <c r="C61" s="357"/>
      <c r="D61" s="483"/>
      <c r="E61" s="472"/>
      <c r="F61" s="358"/>
      <c r="G61" s="469"/>
      <c r="H61" s="356"/>
      <c r="I61" s="124">
        <v>3.9E-2</v>
      </c>
      <c r="J61" s="63" t="s">
        <v>1084</v>
      </c>
      <c r="K61" s="375"/>
      <c r="L61" s="356" t="s">
        <v>196</v>
      </c>
      <c r="M61" s="61">
        <v>2.5000000000000001E-3</v>
      </c>
      <c r="N61" s="61">
        <v>2.5000000000000001E-3</v>
      </c>
      <c r="O61" s="61">
        <v>2.5000000000000001E-3</v>
      </c>
      <c r="P61" s="61">
        <v>2.5000000000000001E-3</v>
      </c>
      <c r="R61" s="352">
        <f>160000000/1000000</f>
        <v>160</v>
      </c>
      <c r="S61" s="476">
        <v>90</v>
      </c>
      <c r="T61" s="419"/>
      <c r="U61" s="419">
        <v>70</v>
      </c>
      <c r="V61" s="419"/>
      <c r="W61" s="419"/>
      <c r="X61" s="419"/>
      <c r="Y61" s="420">
        <f t="shared" si="3"/>
        <v>160</v>
      </c>
      <c r="Z61" s="515"/>
    </row>
    <row r="62" spans="1:26" ht="52.5" customHeight="1">
      <c r="A62" s="357"/>
      <c r="B62" s="492"/>
      <c r="C62" s="357"/>
      <c r="D62" s="483"/>
      <c r="E62" s="472"/>
      <c r="F62" s="358"/>
      <c r="G62" s="469"/>
      <c r="H62" s="356"/>
      <c r="I62" s="109" t="s">
        <v>603</v>
      </c>
      <c r="J62" s="63" t="s">
        <v>171</v>
      </c>
      <c r="K62" s="375"/>
      <c r="L62" s="356"/>
      <c r="M62" s="111">
        <v>0.98399999999999999</v>
      </c>
      <c r="N62" s="111">
        <v>0.98599999999999999</v>
      </c>
      <c r="O62" s="111">
        <v>0.98799999999999999</v>
      </c>
      <c r="P62" s="111">
        <v>0.99</v>
      </c>
      <c r="R62" s="475"/>
      <c r="S62" s="476"/>
      <c r="T62" s="419"/>
      <c r="U62" s="419"/>
      <c r="V62" s="419"/>
      <c r="W62" s="419"/>
      <c r="X62" s="419"/>
      <c r="Y62" s="420"/>
      <c r="Z62" s="515"/>
    </row>
    <row r="63" spans="1:26" ht="68.25" customHeight="1">
      <c r="A63" s="357"/>
      <c r="B63" s="492"/>
      <c r="C63" s="357"/>
      <c r="D63" s="483"/>
      <c r="E63" s="472"/>
      <c r="F63" s="358"/>
      <c r="G63" s="469"/>
      <c r="H63" s="356"/>
      <c r="I63" s="110" t="s">
        <v>602</v>
      </c>
      <c r="J63" s="63" t="s">
        <v>103</v>
      </c>
      <c r="K63" s="375"/>
      <c r="L63" s="356"/>
      <c r="M63" s="61">
        <v>0.75</v>
      </c>
      <c r="N63" s="61">
        <v>0.79</v>
      </c>
      <c r="O63" s="61">
        <v>0.83</v>
      </c>
      <c r="P63" s="61">
        <v>0.85</v>
      </c>
      <c r="R63" s="475"/>
      <c r="S63" s="476"/>
      <c r="T63" s="419"/>
      <c r="U63" s="419"/>
      <c r="V63" s="419"/>
      <c r="W63" s="419"/>
      <c r="X63" s="419"/>
      <c r="Y63" s="420"/>
      <c r="Z63" s="515"/>
    </row>
    <row r="64" spans="1:26" ht="50.25" customHeight="1">
      <c r="A64" s="357"/>
      <c r="B64" s="493"/>
      <c r="C64" s="357"/>
      <c r="D64" s="483"/>
      <c r="E64" s="472"/>
      <c r="F64" s="358"/>
      <c r="G64" s="470"/>
      <c r="H64" s="356"/>
      <c r="I64" s="110" t="s">
        <v>601</v>
      </c>
      <c r="J64" s="63" t="s">
        <v>104</v>
      </c>
      <c r="K64" s="376"/>
      <c r="L64" s="356"/>
      <c r="M64" s="61">
        <v>0.01</v>
      </c>
      <c r="N64" s="61">
        <v>0.01</v>
      </c>
      <c r="O64" s="61">
        <v>0.01</v>
      </c>
      <c r="P64" s="61">
        <v>0.01</v>
      </c>
      <c r="R64" s="353"/>
      <c r="S64" s="476"/>
      <c r="T64" s="419"/>
      <c r="U64" s="419"/>
      <c r="V64" s="419"/>
      <c r="W64" s="419"/>
      <c r="X64" s="419"/>
      <c r="Y64" s="420"/>
      <c r="Z64" s="515"/>
    </row>
    <row r="65" spans="1:30" ht="75" customHeight="1">
      <c r="A65" s="357" t="s">
        <v>63</v>
      </c>
      <c r="B65" s="491" t="s">
        <v>488</v>
      </c>
      <c r="C65" s="340" t="s">
        <v>98</v>
      </c>
      <c r="D65" s="524" t="s">
        <v>1101</v>
      </c>
      <c r="E65" s="469" t="s">
        <v>455</v>
      </c>
      <c r="F65" s="289" t="s">
        <v>698</v>
      </c>
      <c r="G65" s="469" t="s">
        <v>0</v>
      </c>
      <c r="H65" s="310" t="s">
        <v>105</v>
      </c>
      <c r="I65" s="311" t="s">
        <v>106</v>
      </c>
      <c r="J65" s="312" t="s">
        <v>20</v>
      </c>
      <c r="K65" s="374" t="s">
        <v>99</v>
      </c>
      <c r="L65" s="65" t="s">
        <v>19</v>
      </c>
      <c r="M65" s="61">
        <v>0.1</v>
      </c>
      <c r="N65" s="61">
        <v>0.2</v>
      </c>
      <c r="O65" s="61">
        <v>0.25</v>
      </c>
      <c r="P65" s="61">
        <v>0.25</v>
      </c>
      <c r="R65" s="165">
        <f>200000000/1000000</f>
        <v>200</v>
      </c>
      <c r="S65" s="166">
        <v>80</v>
      </c>
      <c r="T65" s="166"/>
      <c r="U65" s="166"/>
      <c r="V65" s="166">
        <v>120</v>
      </c>
      <c r="W65" s="166"/>
      <c r="X65" s="166"/>
      <c r="Y65" s="165">
        <f>SUM(S65:X65)</f>
        <v>200</v>
      </c>
      <c r="Z65" s="350" t="s">
        <v>424</v>
      </c>
    </row>
    <row r="66" spans="1:30" ht="75" customHeight="1">
      <c r="A66" s="357"/>
      <c r="B66" s="492"/>
      <c r="C66" s="340"/>
      <c r="D66" s="524"/>
      <c r="E66" s="469"/>
      <c r="F66" s="358" t="s">
        <v>113</v>
      </c>
      <c r="G66" s="469"/>
      <c r="H66" s="356" t="s">
        <v>853</v>
      </c>
      <c r="I66" s="110" t="s">
        <v>108</v>
      </c>
      <c r="J66" s="63" t="s">
        <v>107</v>
      </c>
      <c r="K66" s="375"/>
      <c r="L66" s="63" t="s">
        <v>1</v>
      </c>
      <c r="M66" s="61">
        <v>0.1</v>
      </c>
      <c r="N66" s="61">
        <v>0.1</v>
      </c>
      <c r="O66" s="61">
        <v>0.1</v>
      </c>
      <c r="P66" s="61">
        <v>0.1</v>
      </c>
      <c r="R66" s="165">
        <f>20000000/1000000</f>
        <v>20</v>
      </c>
      <c r="S66" s="166">
        <f>5000000/1000000</f>
        <v>5</v>
      </c>
      <c r="T66" s="166"/>
      <c r="U66" s="166"/>
      <c r="V66" s="166">
        <f>15000000/1000000</f>
        <v>15</v>
      </c>
      <c r="W66" s="166"/>
      <c r="X66" s="166"/>
      <c r="Y66" s="165">
        <f>SUM(S66:X66)</f>
        <v>20</v>
      </c>
      <c r="Z66" s="516"/>
    </row>
    <row r="67" spans="1:30" ht="40.5" customHeight="1">
      <c r="A67" s="357"/>
      <c r="B67" s="492"/>
      <c r="C67" s="340"/>
      <c r="D67" s="524"/>
      <c r="E67" s="469"/>
      <c r="F67" s="358"/>
      <c r="G67" s="469"/>
      <c r="H67" s="356"/>
      <c r="I67" s="63" t="s">
        <v>1086</v>
      </c>
      <c r="J67" s="63" t="s">
        <v>1085</v>
      </c>
      <c r="K67" s="375"/>
      <c r="L67" s="63" t="s">
        <v>600</v>
      </c>
      <c r="M67" s="60">
        <v>1</v>
      </c>
      <c r="N67" s="60">
        <v>1</v>
      </c>
      <c r="O67" s="60">
        <v>1</v>
      </c>
      <c r="P67" s="60">
        <v>1</v>
      </c>
      <c r="R67" s="165">
        <f>100000000/1000000</f>
        <v>100</v>
      </c>
      <c r="S67" s="166">
        <f>50000000/1000000</f>
        <v>50</v>
      </c>
      <c r="T67" s="166"/>
      <c r="U67" s="166"/>
      <c r="V67" s="166">
        <f>50000000/1000000</f>
        <v>50</v>
      </c>
      <c r="W67" s="166"/>
      <c r="X67" s="166"/>
      <c r="Y67" s="165">
        <f t="shared" ref="Y67:Y73" si="4">SUM(S67:X67)</f>
        <v>100</v>
      </c>
      <c r="Z67" s="516"/>
    </row>
    <row r="68" spans="1:30" ht="26.25" customHeight="1">
      <c r="A68" s="357"/>
      <c r="B68" s="492"/>
      <c r="C68" s="340"/>
      <c r="D68" s="524"/>
      <c r="E68" s="469"/>
      <c r="F68" s="358"/>
      <c r="G68" s="469"/>
      <c r="H68" s="356" t="s">
        <v>868</v>
      </c>
      <c r="I68" s="108">
        <v>0</v>
      </c>
      <c r="J68" s="66" t="s">
        <v>870</v>
      </c>
      <c r="K68" s="375"/>
      <c r="L68" s="63" t="s">
        <v>869</v>
      </c>
      <c r="M68" s="61">
        <v>1</v>
      </c>
      <c r="N68" s="61">
        <v>0</v>
      </c>
      <c r="O68" s="61">
        <v>0</v>
      </c>
      <c r="P68" s="61">
        <v>0</v>
      </c>
      <c r="R68" s="165">
        <f>80000000/1000000</f>
        <v>80</v>
      </c>
      <c r="S68" s="166">
        <f>80000000/1000000</f>
        <v>80</v>
      </c>
      <c r="T68" s="166"/>
      <c r="U68" s="166"/>
      <c r="V68" s="166"/>
      <c r="W68" s="166"/>
      <c r="X68" s="166"/>
      <c r="Y68" s="165">
        <f t="shared" si="4"/>
        <v>80</v>
      </c>
      <c r="Z68" s="516"/>
    </row>
    <row r="69" spans="1:30" ht="48" customHeight="1">
      <c r="A69" s="357"/>
      <c r="B69" s="492"/>
      <c r="C69" s="340"/>
      <c r="D69" s="524"/>
      <c r="E69" s="469"/>
      <c r="F69" s="358"/>
      <c r="G69" s="469"/>
      <c r="H69" s="356"/>
      <c r="I69" s="108" t="s">
        <v>1081</v>
      </c>
      <c r="J69" s="66" t="s">
        <v>109</v>
      </c>
      <c r="K69" s="375"/>
      <c r="L69" s="63" t="s">
        <v>1080</v>
      </c>
      <c r="M69" s="61">
        <v>0.05</v>
      </c>
      <c r="N69" s="61">
        <v>0.1</v>
      </c>
      <c r="O69" s="61">
        <v>0.05</v>
      </c>
      <c r="P69" s="61">
        <v>0</v>
      </c>
      <c r="R69" s="165">
        <f>558+777</f>
        <v>1335</v>
      </c>
      <c r="S69" s="278">
        <f>50000000/1000000+777</f>
        <v>827</v>
      </c>
      <c r="T69" s="166"/>
      <c r="U69" s="166">
        <f>320000000/1000000</f>
        <v>320</v>
      </c>
      <c r="V69" s="166">
        <f>188210800/1000000</f>
        <v>188.21080000000001</v>
      </c>
      <c r="W69" s="166"/>
      <c r="X69" s="166"/>
      <c r="Y69" s="165">
        <f t="shared" si="4"/>
        <v>1335.2108000000001</v>
      </c>
      <c r="Z69" s="516"/>
    </row>
    <row r="70" spans="1:30" ht="52.5" customHeight="1">
      <c r="A70" s="357"/>
      <c r="B70" s="492"/>
      <c r="C70" s="340"/>
      <c r="D70" s="524"/>
      <c r="E70" s="469"/>
      <c r="F70" s="358"/>
      <c r="G70" s="469"/>
      <c r="H70" s="356"/>
      <c r="I70" s="111">
        <v>7.0999999999999994E-2</v>
      </c>
      <c r="J70" s="63" t="s">
        <v>308</v>
      </c>
      <c r="K70" s="375"/>
      <c r="L70" s="356" t="s">
        <v>110</v>
      </c>
      <c r="M70" s="111">
        <v>2.5000000000000001E-3</v>
      </c>
      <c r="N70" s="111">
        <v>2.5000000000000001E-3</v>
      </c>
      <c r="O70" s="111">
        <v>2.5000000000000001E-3</v>
      </c>
      <c r="P70" s="111">
        <v>2.5000000000000001E-3</v>
      </c>
      <c r="R70" s="352">
        <f>20000000/1000000</f>
        <v>20</v>
      </c>
      <c r="S70" s="354">
        <f>20000000/1000000</f>
        <v>20</v>
      </c>
      <c r="T70" s="421"/>
      <c r="U70" s="421"/>
      <c r="V70" s="421"/>
      <c r="W70" s="421"/>
      <c r="X70" s="421"/>
      <c r="Y70" s="352">
        <f t="shared" si="4"/>
        <v>20</v>
      </c>
      <c r="Z70" s="516"/>
    </row>
    <row r="71" spans="1:30" ht="38.25" customHeight="1">
      <c r="A71" s="357"/>
      <c r="B71" s="492"/>
      <c r="C71" s="340"/>
      <c r="D71" s="524"/>
      <c r="E71" s="469"/>
      <c r="F71" s="358"/>
      <c r="G71" s="469"/>
      <c r="H71" s="356"/>
      <c r="I71" s="111">
        <v>6.0999999999999999E-2</v>
      </c>
      <c r="J71" s="63" t="s">
        <v>309</v>
      </c>
      <c r="K71" s="375"/>
      <c r="L71" s="356"/>
      <c r="M71" s="111">
        <v>2.5000000000000001E-3</v>
      </c>
      <c r="N71" s="111">
        <v>2.5000000000000001E-3</v>
      </c>
      <c r="O71" s="111">
        <v>2.5000000000000001E-3</v>
      </c>
      <c r="P71" s="111">
        <v>2.5000000000000001E-3</v>
      </c>
      <c r="R71" s="353"/>
      <c r="S71" s="355"/>
      <c r="T71" s="422"/>
      <c r="U71" s="422"/>
      <c r="V71" s="422"/>
      <c r="W71" s="422"/>
      <c r="X71" s="422"/>
      <c r="Y71" s="353"/>
      <c r="Z71" s="516"/>
    </row>
    <row r="72" spans="1:30" ht="37.5" customHeight="1">
      <c r="A72" s="357"/>
      <c r="B72" s="492"/>
      <c r="C72" s="340"/>
      <c r="D72" s="524"/>
      <c r="E72" s="469"/>
      <c r="F72" s="358"/>
      <c r="G72" s="469"/>
      <c r="H72" s="356"/>
      <c r="I72" s="110" t="s">
        <v>604</v>
      </c>
      <c r="J72" s="63" t="s">
        <v>310</v>
      </c>
      <c r="K72" s="375"/>
      <c r="L72" s="356"/>
      <c r="M72" s="216">
        <v>2</v>
      </c>
      <c r="N72" s="216">
        <v>2</v>
      </c>
      <c r="O72" s="216">
        <v>2</v>
      </c>
      <c r="P72" s="216">
        <v>2</v>
      </c>
      <c r="R72" s="215">
        <f>12000000/1000000</f>
        <v>12</v>
      </c>
      <c r="S72" s="149">
        <f>12000000/1000000</f>
        <v>12</v>
      </c>
      <c r="T72" s="215"/>
      <c r="U72" s="215"/>
      <c r="V72" s="215"/>
      <c r="W72" s="166"/>
      <c r="X72" s="166"/>
      <c r="Y72" s="165">
        <f t="shared" si="4"/>
        <v>12</v>
      </c>
      <c r="Z72" s="516"/>
    </row>
    <row r="73" spans="1:30" ht="63.75" customHeight="1">
      <c r="A73" s="357"/>
      <c r="B73" s="492"/>
      <c r="C73" s="359"/>
      <c r="D73" s="525"/>
      <c r="E73" s="470"/>
      <c r="F73" s="358"/>
      <c r="G73" s="470"/>
      <c r="H73" s="356"/>
      <c r="I73" s="63" t="s">
        <v>112</v>
      </c>
      <c r="J73" s="63" t="s">
        <v>111</v>
      </c>
      <c r="K73" s="376"/>
      <c r="L73" s="63" t="s">
        <v>127</v>
      </c>
      <c r="M73" s="61">
        <v>0.02</v>
      </c>
      <c r="N73" s="61">
        <v>0.05</v>
      </c>
      <c r="O73" s="61">
        <v>7.0000000000000007E-2</v>
      </c>
      <c r="P73" s="61">
        <v>0.1</v>
      </c>
      <c r="R73" s="165">
        <f>56000000/1000000</f>
        <v>56</v>
      </c>
      <c r="S73" s="166">
        <f>10000000/1000000</f>
        <v>10</v>
      </c>
      <c r="T73" s="166"/>
      <c r="U73" s="166"/>
      <c r="V73" s="166">
        <f>46000000/1000000</f>
        <v>46</v>
      </c>
      <c r="W73" s="166"/>
      <c r="X73" s="166"/>
      <c r="Y73" s="165">
        <f t="shared" si="4"/>
        <v>56</v>
      </c>
      <c r="Z73" s="351"/>
      <c r="AA73" s="117"/>
      <c r="AC73" s="117"/>
      <c r="AD73" s="117"/>
    </row>
    <row r="74" spans="1:30" ht="36.75" customHeight="1">
      <c r="A74" s="357"/>
      <c r="B74" s="492"/>
      <c r="C74" s="357" t="s">
        <v>581</v>
      </c>
      <c r="D74" s="520" t="s">
        <v>160</v>
      </c>
      <c r="E74" s="521" t="s">
        <v>114</v>
      </c>
      <c r="F74" s="520" t="s">
        <v>115</v>
      </c>
      <c r="G74" s="471" t="s">
        <v>161</v>
      </c>
      <c r="H74" s="471" t="s">
        <v>860</v>
      </c>
      <c r="I74" s="92">
        <v>0.2</v>
      </c>
      <c r="J74" s="92">
        <v>1</v>
      </c>
      <c r="K74" s="461" t="s">
        <v>169</v>
      </c>
      <c r="L74" s="94" t="s">
        <v>292</v>
      </c>
      <c r="M74" s="93">
        <v>0.7</v>
      </c>
      <c r="N74" s="93">
        <v>1</v>
      </c>
      <c r="O74" s="93">
        <v>1</v>
      </c>
      <c r="P74" s="93">
        <v>1</v>
      </c>
      <c r="R74" s="167">
        <v>20</v>
      </c>
      <c r="S74" s="168">
        <v>20</v>
      </c>
      <c r="T74" s="168"/>
      <c r="U74" s="168"/>
      <c r="V74" s="168"/>
      <c r="W74" s="168"/>
      <c r="X74" s="168"/>
      <c r="Y74" s="167">
        <f>SUM(S74:X74)</f>
        <v>20</v>
      </c>
      <c r="Z74" s="517" t="s">
        <v>431</v>
      </c>
    </row>
    <row r="75" spans="1:30" ht="33.75" customHeight="1">
      <c r="A75" s="357"/>
      <c r="B75" s="492"/>
      <c r="C75" s="357"/>
      <c r="D75" s="520"/>
      <c r="E75" s="521"/>
      <c r="F75" s="520"/>
      <c r="G75" s="471"/>
      <c r="H75" s="471"/>
      <c r="I75" s="90">
        <v>0</v>
      </c>
      <c r="J75" s="333" t="s">
        <v>131</v>
      </c>
      <c r="K75" s="462"/>
      <c r="L75" s="94" t="s">
        <v>130</v>
      </c>
      <c r="M75" s="92" t="s">
        <v>133</v>
      </c>
      <c r="N75" s="92" t="s">
        <v>134</v>
      </c>
      <c r="O75" s="92" t="s">
        <v>132</v>
      </c>
      <c r="P75" s="92" t="s">
        <v>135</v>
      </c>
      <c r="Q75" s="117">
        <v>30000000</v>
      </c>
      <c r="R75" s="167">
        <v>45</v>
      </c>
      <c r="S75" s="168">
        <v>45</v>
      </c>
      <c r="T75" s="168"/>
      <c r="U75" s="168"/>
      <c r="V75" s="168"/>
      <c r="W75" s="168"/>
      <c r="X75" s="168"/>
      <c r="Y75" s="167">
        <f t="shared" ref="Y75:Y81" si="5">SUM(S75:X75)</f>
        <v>45</v>
      </c>
      <c r="Z75" s="517"/>
    </row>
    <row r="76" spans="1:30" ht="75" customHeight="1">
      <c r="A76" s="357"/>
      <c r="B76" s="492"/>
      <c r="C76" s="357"/>
      <c r="D76" s="520"/>
      <c r="E76" s="521"/>
      <c r="F76" s="520"/>
      <c r="G76" s="471"/>
      <c r="H76" s="315" t="s">
        <v>857</v>
      </c>
      <c r="I76" s="90">
        <v>0</v>
      </c>
      <c r="J76" s="89" t="s">
        <v>138</v>
      </c>
      <c r="K76" s="462"/>
      <c r="L76" s="94" t="s">
        <v>137</v>
      </c>
      <c r="M76" s="94" t="s">
        <v>139</v>
      </c>
      <c r="N76" s="94" t="s">
        <v>139</v>
      </c>
      <c r="O76" s="94" t="s">
        <v>140</v>
      </c>
      <c r="P76" s="94" t="s">
        <v>140</v>
      </c>
      <c r="Q76" s="117">
        <v>65000000</v>
      </c>
      <c r="R76" s="167">
        <v>35</v>
      </c>
      <c r="S76" s="168">
        <v>35</v>
      </c>
      <c r="T76" s="168"/>
      <c r="U76" s="168"/>
      <c r="V76" s="168"/>
      <c r="W76" s="168"/>
      <c r="X76" s="168"/>
      <c r="Y76" s="167">
        <f t="shared" si="5"/>
        <v>35</v>
      </c>
      <c r="Z76" s="517"/>
    </row>
    <row r="77" spans="1:30" ht="63.75">
      <c r="A77" s="357"/>
      <c r="B77" s="492"/>
      <c r="C77" s="357"/>
      <c r="D77" s="520"/>
      <c r="E77" s="521"/>
      <c r="F77" s="520"/>
      <c r="G77" s="471"/>
      <c r="H77" s="298" t="s">
        <v>856</v>
      </c>
      <c r="I77" s="94" t="s">
        <v>112</v>
      </c>
      <c r="J77" s="91" t="s">
        <v>111</v>
      </c>
      <c r="K77" s="462"/>
      <c r="L77" s="94" t="s">
        <v>127</v>
      </c>
      <c r="M77" s="92">
        <v>0.02</v>
      </c>
      <c r="N77" s="92">
        <v>0.05</v>
      </c>
      <c r="O77" s="92">
        <v>7.0000000000000007E-2</v>
      </c>
      <c r="P77" s="92">
        <v>0.1</v>
      </c>
      <c r="Q77" s="117">
        <v>25000000</v>
      </c>
      <c r="R77" s="167">
        <v>40</v>
      </c>
      <c r="S77" s="168">
        <v>40</v>
      </c>
      <c r="T77" s="168"/>
      <c r="U77" s="168"/>
      <c r="V77" s="168"/>
      <c r="W77" s="168"/>
      <c r="X77" s="168"/>
      <c r="Y77" s="167">
        <f t="shared" si="5"/>
        <v>40</v>
      </c>
      <c r="Z77" s="517"/>
    </row>
    <row r="78" spans="1:30" ht="84" customHeight="1">
      <c r="A78" s="357"/>
      <c r="B78" s="492"/>
      <c r="C78" s="357"/>
      <c r="D78" s="520"/>
      <c r="E78" s="521"/>
      <c r="F78" s="520"/>
      <c r="G78" s="471"/>
      <c r="H78" s="464" t="s">
        <v>858</v>
      </c>
      <c r="I78" s="292">
        <v>0.1</v>
      </c>
      <c r="J78" s="314" t="s">
        <v>330</v>
      </c>
      <c r="K78" s="462"/>
      <c r="L78" s="94" t="s">
        <v>490</v>
      </c>
      <c r="M78" s="92"/>
      <c r="N78" s="92">
        <v>0.2</v>
      </c>
      <c r="O78" s="92">
        <v>0.2</v>
      </c>
      <c r="P78" s="92">
        <v>0.1</v>
      </c>
      <c r="R78" s="167">
        <f>4*2.4*12*4+35+15+3+15+10</f>
        <v>538.79999999999995</v>
      </c>
      <c r="S78" s="168">
        <v>200</v>
      </c>
      <c r="T78" s="168">
        <f>50</f>
        <v>50</v>
      </c>
      <c r="U78" s="168">
        <v>120</v>
      </c>
      <c r="V78" s="168"/>
      <c r="W78" s="168">
        <f>+R78-SUM(S78:V78)</f>
        <v>168.79999999999995</v>
      </c>
      <c r="X78" s="168"/>
      <c r="Y78" s="167">
        <f t="shared" si="5"/>
        <v>538.79999999999995</v>
      </c>
      <c r="Z78" s="517"/>
    </row>
    <row r="79" spans="1:30" ht="58.5" customHeight="1">
      <c r="A79" s="357"/>
      <c r="B79" s="493"/>
      <c r="C79" s="357"/>
      <c r="D79" s="520"/>
      <c r="E79" s="521"/>
      <c r="F79" s="520"/>
      <c r="G79" s="471"/>
      <c r="H79" s="465"/>
      <c r="I79" s="292">
        <v>0.1</v>
      </c>
      <c r="J79" s="91" t="s">
        <v>332</v>
      </c>
      <c r="K79" s="463"/>
      <c r="L79" s="94" t="s">
        <v>331</v>
      </c>
      <c r="M79" s="92"/>
      <c r="N79" s="92">
        <v>1</v>
      </c>
      <c r="O79" s="92"/>
      <c r="P79" s="92"/>
      <c r="R79" s="167">
        <v>300</v>
      </c>
      <c r="S79" s="168">
        <v>77</v>
      </c>
      <c r="T79" s="168"/>
      <c r="U79" s="168">
        <v>190</v>
      </c>
      <c r="V79" s="168"/>
      <c r="W79" s="168">
        <f>+R79-SUM(S79:V79)</f>
        <v>33</v>
      </c>
      <c r="X79" s="168"/>
      <c r="Y79" s="167">
        <f t="shared" si="5"/>
        <v>300</v>
      </c>
      <c r="Z79" s="517"/>
    </row>
    <row r="80" spans="1:30" ht="98.25" customHeight="1">
      <c r="A80" s="357" t="s">
        <v>63</v>
      </c>
      <c r="B80" s="488" t="s">
        <v>488</v>
      </c>
      <c r="C80" s="357" t="s">
        <v>581</v>
      </c>
      <c r="D80" s="501" t="s">
        <v>160</v>
      </c>
      <c r="E80" s="522" t="s">
        <v>114</v>
      </c>
      <c r="F80" s="501" t="s">
        <v>115</v>
      </c>
      <c r="G80" s="467" t="s">
        <v>161</v>
      </c>
      <c r="H80" s="320" t="s">
        <v>858</v>
      </c>
      <c r="I80" s="316">
        <v>3007</v>
      </c>
      <c r="J80" s="313" t="s">
        <v>136</v>
      </c>
      <c r="K80" s="461" t="s">
        <v>169</v>
      </c>
      <c r="L80" s="317" t="s">
        <v>128</v>
      </c>
      <c r="M80" s="92">
        <v>0.02</v>
      </c>
      <c r="N80" s="92">
        <v>0.05</v>
      </c>
      <c r="O80" s="92">
        <v>7.0000000000000007E-2</v>
      </c>
      <c r="P80" s="92">
        <v>0.1</v>
      </c>
      <c r="Q80" s="117">
        <v>82000000</v>
      </c>
      <c r="R80" s="167">
        <v>72</v>
      </c>
      <c r="S80" s="168">
        <v>72</v>
      </c>
      <c r="T80" s="168"/>
      <c r="U80" s="168"/>
      <c r="V80" s="168"/>
      <c r="W80" s="168"/>
      <c r="X80" s="168"/>
      <c r="Y80" s="167">
        <f t="shared" si="5"/>
        <v>72</v>
      </c>
      <c r="Z80" s="518" t="s">
        <v>431</v>
      </c>
    </row>
    <row r="81" spans="1:33" ht="51">
      <c r="A81" s="357"/>
      <c r="B81" s="489"/>
      <c r="C81" s="357"/>
      <c r="D81" s="502"/>
      <c r="E81" s="523"/>
      <c r="F81" s="502"/>
      <c r="G81" s="465"/>
      <c r="H81" s="298" t="s">
        <v>859</v>
      </c>
      <c r="I81" s="90">
        <v>0</v>
      </c>
      <c r="J81" s="89" t="s">
        <v>162</v>
      </c>
      <c r="K81" s="463"/>
      <c r="L81" s="94" t="s">
        <v>312</v>
      </c>
      <c r="M81" s="94" t="s">
        <v>141</v>
      </c>
      <c r="N81" s="94" t="s">
        <v>142</v>
      </c>
      <c r="O81" s="94" t="s">
        <v>144</v>
      </c>
      <c r="P81" s="94" t="s">
        <v>143</v>
      </c>
      <c r="Q81" s="117">
        <v>23000000</v>
      </c>
      <c r="R81" s="167">
        <v>45</v>
      </c>
      <c r="S81" s="168">
        <v>45</v>
      </c>
      <c r="T81" s="168"/>
      <c r="U81" s="168"/>
      <c r="V81" s="168"/>
      <c r="W81" s="168"/>
      <c r="X81" s="168"/>
      <c r="Y81" s="167">
        <f t="shared" si="5"/>
        <v>45</v>
      </c>
      <c r="Z81" s="519"/>
    </row>
    <row r="82" spans="1:33" ht="54.75" customHeight="1">
      <c r="A82" s="357"/>
      <c r="B82" s="489"/>
      <c r="C82" s="357" t="s">
        <v>605</v>
      </c>
      <c r="D82" s="483" t="s">
        <v>164</v>
      </c>
      <c r="E82" s="473" t="s">
        <v>163</v>
      </c>
      <c r="F82" s="483" t="s">
        <v>158</v>
      </c>
      <c r="G82" s="468" t="s">
        <v>861</v>
      </c>
      <c r="H82" s="82" t="s">
        <v>76</v>
      </c>
      <c r="I82" s="107">
        <v>0</v>
      </c>
      <c r="J82" s="82" t="s">
        <v>152</v>
      </c>
      <c r="K82" s="485" t="s">
        <v>168</v>
      </c>
      <c r="L82" s="82" t="s">
        <v>155</v>
      </c>
      <c r="M82" s="107" t="s">
        <v>306</v>
      </c>
      <c r="N82" s="107" t="s">
        <v>150</v>
      </c>
      <c r="O82" s="107" t="s">
        <v>151</v>
      </c>
      <c r="P82" s="107" t="s">
        <v>149</v>
      </c>
      <c r="R82" s="169">
        <v>40</v>
      </c>
      <c r="S82" s="170">
        <v>40</v>
      </c>
      <c r="T82" s="170"/>
      <c r="U82" s="170"/>
      <c r="V82" s="170"/>
      <c r="W82" s="170"/>
      <c r="X82" s="170"/>
      <c r="Y82" s="169">
        <f>SUM(S82:X82)</f>
        <v>40</v>
      </c>
      <c r="Z82" s="423" t="s">
        <v>430</v>
      </c>
    </row>
    <row r="83" spans="1:33" ht="51">
      <c r="A83" s="357"/>
      <c r="B83" s="489"/>
      <c r="C83" s="357"/>
      <c r="D83" s="483"/>
      <c r="E83" s="473"/>
      <c r="F83" s="483"/>
      <c r="G83" s="469"/>
      <c r="H83" s="472" t="s">
        <v>156</v>
      </c>
      <c r="I83" s="107">
        <v>0</v>
      </c>
      <c r="J83" s="82" t="s">
        <v>165</v>
      </c>
      <c r="K83" s="486"/>
      <c r="L83" s="82" t="s">
        <v>291</v>
      </c>
      <c r="M83" s="107">
        <v>1</v>
      </c>
      <c r="N83" s="107">
        <v>1</v>
      </c>
      <c r="O83" s="107">
        <v>1</v>
      </c>
      <c r="P83" s="107">
        <v>1</v>
      </c>
      <c r="R83" s="169">
        <v>40</v>
      </c>
      <c r="S83" s="170">
        <v>40</v>
      </c>
      <c r="T83" s="170"/>
      <c r="U83" s="170"/>
      <c r="V83" s="170"/>
      <c r="W83" s="170"/>
      <c r="X83" s="170"/>
      <c r="Y83" s="169">
        <f>SUM(S83:X83)</f>
        <v>40</v>
      </c>
      <c r="Z83" s="424"/>
    </row>
    <row r="84" spans="1:33" ht="65.25" customHeight="1">
      <c r="A84" s="357"/>
      <c r="B84" s="489"/>
      <c r="C84" s="357"/>
      <c r="D84" s="483"/>
      <c r="E84" s="473"/>
      <c r="F84" s="483"/>
      <c r="G84" s="470"/>
      <c r="H84" s="472"/>
      <c r="I84" s="107">
        <v>0</v>
      </c>
      <c r="J84" s="82" t="s">
        <v>166</v>
      </c>
      <c r="K84" s="486"/>
      <c r="L84" s="82" t="s">
        <v>307</v>
      </c>
      <c r="M84" s="107">
        <v>1</v>
      </c>
      <c r="N84" s="107">
        <v>1</v>
      </c>
      <c r="O84" s="107">
        <v>1</v>
      </c>
      <c r="P84" s="107">
        <v>1</v>
      </c>
      <c r="R84" s="169">
        <v>48</v>
      </c>
      <c r="S84" s="170">
        <v>48</v>
      </c>
      <c r="T84" s="170"/>
      <c r="U84" s="170"/>
      <c r="V84" s="170"/>
      <c r="W84" s="170"/>
      <c r="X84" s="170"/>
      <c r="Y84" s="169">
        <f>SUM(S84:X84)</f>
        <v>48</v>
      </c>
      <c r="Z84" s="424"/>
    </row>
    <row r="85" spans="1:33" ht="80.25" customHeight="1">
      <c r="A85" s="357"/>
      <c r="B85" s="489"/>
      <c r="C85" s="357"/>
      <c r="D85" s="483"/>
      <c r="E85" s="473"/>
      <c r="F85" s="121" t="s">
        <v>159</v>
      </c>
      <c r="G85" s="497" t="s">
        <v>862</v>
      </c>
      <c r="H85" s="119" t="s">
        <v>147</v>
      </c>
      <c r="I85" s="119" t="s">
        <v>145</v>
      </c>
      <c r="J85" s="119" t="s">
        <v>334</v>
      </c>
      <c r="K85" s="486"/>
      <c r="L85" s="122" t="s">
        <v>333</v>
      </c>
      <c r="M85" s="123">
        <v>0.2</v>
      </c>
      <c r="N85" s="123">
        <v>0.3</v>
      </c>
      <c r="O85" s="123">
        <v>0.3</v>
      </c>
      <c r="P85" s="123">
        <v>0.2</v>
      </c>
      <c r="R85" s="171">
        <v>1490</v>
      </c>
      <c r="S85" s="172">
        <f>300-56</f>
        <v>244</v>
      </c>
      <c r="T85" s="172"/>
      <c r="U85" s="172">
        <v>200</v>
      </c>
      <c r="V85" s="172">
        <v>400</v>
      </c>
      <c r="W85" s="172">
        <f>+R85-SUM(S85:V85)</f>
        <v>646</v>
      </c>
      <c r="X85" s="172"/>
      <c r="Y85" s="171">
        <f>SUM(S85:X85)</f>
        <v>1490</v>
      </c>
      <c r="Z85" s="424"/>
    </row>
    <row r="86" spans="1:33" ht="93" customHeight="1">
      <c r="A86" s="357"/>
      <c r="B86" s="489"/>
      <c r="C86" s="357"/>
      <c r="D86" s="483"/>
      <c r="E86" s="473"/>
      <c r="F86" s="474" t="s">
        <v>157</v>
      </c>
      <c r="G86" s="498"/>
      <c r="H86" s="466" t="s">
        <v>491</v>
      </c>
      <c r="I86" s="120">
        <v>668</v>
      </c>
      <c r="J86" s="119" t="s">
        <v>146</v>
      </c>
      <c r="K86" s="486"/>
      <c r="L86" s="466" t="s">
        <v>606</v>
      </c>
      <c r="M86" s="120">
        <f>ROUND(668+I86*0.05-1,0)</f>
        <v>700</v>
      </c>
      <c r="N86" s="120">
        <f>ROUND(668+M86*0.1-1,0)</f>
        <v>737</v>
      </c>
      <c r="O86" s="120">
        <f>ROUND(668+N86*0.15-1,0)</f>
        <v>778</v>
      </c>
      <c r="P86" s="120">
        <f>ROUND(668+O86*0.2-1,0)</f>
        <v>823</v>
      </c>
      <c r="R86" s="428">
        <v>115</v>
      </c>
      <c r="S86" s="478">
        <v>50</v>
      </c>
      <c r="T86" s="481">
        <v>65</v>
      </c>
      <c r="U86" s="426"/>
      <c r="V86" s="426"/>
      <c r="W86" s="426"/>
      <c r="X86" s="426"/>
      <c r="Y86" s="428">
        <f>SUM(S86:X86)</f>
        <v>115</v>
      </c>
      <c r="Z86" s="424"/>
      <c r="AB86" s="117"/>
    </row>
    <row r="87" spans="1:33" ht="126" customHeight="1">
      <c r="A87" s="357"/>
      <c r="B87" s="489"/>
      <c r="C87" s="357"/>
      <c r="D87" s="483"/>
      <c r="E87" s="473"/>
      <c r="F87" s="474"/>
      <c r="G87" s="498"/>
      <c r="H87" s="466"/>
      <c r="I87" s="120">
        <v>0</v>
      </c>
      <c r="J87" s="122" t="s">
        <v>492</v>
      </c>
      <c r="K87" s="486"/>
      <c r="L87" s="466"/>
      <c r="M87" s="120">
        <v>1</v>
      </c>
      <c r="N87" s="120">
        <v>1</v>
      </c>
      <c r="O87" s="120">
        <v>1</v>
      </c>
      <c r="P87" s="120">
        <v>1</v>
      </c>
      <c r="R87" s="477"/>
      <c r="S87" s="479"/>
      <c r="T87" s="482"/>
      <c r="U87" s="427"/>
      <c r="V87" s="427"/>
      <c r="W87" s="427"/>
      <c r="X87" s="427"/>
      <c r="Y87" s="429"/>
      <c r="Z87" s="424"/>
    </row>
    <row r="88" spans="1:33" ht="126.75" customHeight="1">
      <c r="A88" s="357"/>
      <c r="B88" s="489"/>
      <c r="C88" s="357"/>
      <c r="D88" s="483"/>
      <c r="E88" s="473"/>
      <c r="F88" s="474" t="s">
        <v>504</v>
      </c>
      <c r="G88" s="498"/>
      <c r="H88" s="466" t="s">
        <v>782</v>
      </c>
      <c r="I88" s="119" t="s">
        <v>313</v>
      </c>
      <c r="J88" s="122" t="s">
        <v>148</v>
      </c>
      <c r="K88" s="486"/>
      <c r="L88" s="119" t="s">
        <v>167</v>
      </c>
      <c r="M88" s="120">
        <v>5</v>
      </c>
      <c r="N88" s="120">
        <v>5</v>
      </c>
      <c r="O88" s="120">
        <v>5</v>
      </c>
      <c r="P88" s="120">
        <v>5</v>
      </c>
      <c r="R88" s="171">
        <v>100</v>
      </c>
      <c r="S88" s="172">
        <v>100</v>
      </c>
      <c r="T88" s="172"/>
      <c r="U88" s="172"/>
      <c r="V88" s="172"/>
      <c r="W88" s="172"/>
      <c r="X88" s="172"/>
      <c r="Y88" s="171">
        <f>SUM(S88:X88)</f>
        <v>100</v>
      </c>
      <c r="Z88" s="424"/>
    </row>
    <row r="89" spans="1:33" ht="38.25">
      <c r="A89" s="357"/>
      <c r="B89" s="490"/>
      <c r="C89" s="357"/>
      <c r="D89" s="483"/>
      <c r="E89" s="473"/>
      <c r="F89" s="474"/>
      <c r="G89" s="499"/>
      <c r="H89" s="466"/>
      <c r="I89" s="123">
        <v>0.8</v>
      </c>
      <c r="J89" s="119" t="s">
        <v>154</v>
      </c>
      <c r="K89" s="487"/>
      <c r="L89" s="122" t="s">
        <v>1087</v>
      </c>
      <c r="M89" s="123">
        <v>0.2</v>
      </c>
      <c r="N89" s="123">
        <v>0.2</v>
      </c>
      <c r="O89" s="123">
        <v>0.2</v>
      </c>
      <c r="P89" s="123">
        <v>0.2</v>
      </c>
      <c r="R89" s="171">
        <v>60</v>
      </c>
      <c r="S89" s="172">
        <v>60</v>
      </c>
      <c r="T89" s="172"/>
      <c r="U89" s="172"/>
      <c r="V89" s="172"/>
      <c r="W89" s="172"/>
      <c r="X89" s="172"/>
      <c r="Y89" s="171">
        <f>SUM(S89:X89)</f>
        <v>60</v>
      </c>
      <c r="Z89" s="425"/>
      <c r="AA89" s="117"/>
      <c r="AB89" s="117"/>
      <c r="AC89" s="117"/>
      <c r="AD89" s="117"/>
      <c r="AE89" s="117"/>
      <c r="AF89" s="117"/>
      <c r="AG89" s="117"/>
    </row>
    <row r="90" spans="1:33">
      <c r="A90" s="1"/>
      <c r="C90" s="129"/>
      <c r="D90" s="52"/>
      <c r="F90" s="53"/>
      <c r="I90" s="39"/>
      <c r="J90" s="39"/>
      <c r="M90" s="39"/>
      <c r="N90" s="39"/>
      <c r="O90" s="39"/>
      <c r="P90" s="39"/>
      <c r="Q90" s="180">
        <f>SUM(Q68:Q89)</f>
        <v>225000000</v>
      </c>
      <c r="R90" s="180">
        <f>SUM(R3:R89)</f>
        <v>20014.244188000001</v>
      </c>
      <c r="S90" s="180">
        <f t="shared" ref="S90:X90" si="6">SUM(S3:S89)</f>
        <v>4098.5</v>
      </c>
      <c r="T90" s="180">
        <f t="shared" si="6"/>
        <v>299</v>
      </c>
      <c r="U90" s="180">
        <f t="shared" si="6"/>
        <v>13950.071788000001</v>
      </c>
      <c r="V90" s="180">
        <f t="shared" si="6"/>
        <v>819.21080000000006</v>
      </c>
      <c r="W90" s="180">
        <f t="shared" si="6"/>
        <v>847.8</v>
      </c>
      <c r="X90" s="180">
        <f t="shared" si="6"/>
        <v>0</v>
      </c>
      <c r="Y90" s="180">
        <f>SUM(Y3:Y89)-1</f>
        <v>20013.582588000001</v>
      </c>
      <c r="Z90" s="67"/>
      <c r="AG90" s="117"/>
    </row>
    <row r="92" spans="1:33">
      <c r="AG92" s="117"/>
    </row>
  </sheetData>
  <mergeCells count="199">
    <mergeCell ref="C74:C79"/>
    <mergeCell ref="C80:C81"/>
    <mergeCell ref="D47:D51"/>
    <mergeCell ref="E42:E51"/>
    <mergeCell ref="E52:E54"/>
    <mergeCell ref="F47:F51"/>
    <mergeCell ref="D42:D43"/>
    <mergeCell ref="C42:C51"/>
    <mergeCell ref="C52:C54"/>
    <mergeCell ref="D74:D79"/>
    <mergeCell ref="E74:E79"/>
    <mergeCell ref="E80:E81"/>
    <mergeCell ref="F74:F79"/>
    <mergeCell ref="F80:F81"/>
    <mergeCell ref="H47:H51"/>
    <mergeCell ref="D55:D64"/>
    <mergeCell ref="D65:D73"/>
    <mergeCell ref="E55:E64"/>
    <mergeCell ref="E65:E73"/>
    <mergeCell ref="Z55:Z64"/>
    <mergeCell ref="Z65:Z73"/>
    <mergeCell ref="Z74:Z79"/>
    <mergeCell ref="Z80:Z81"/>
    <mergeCell ref="E3:E12"/>
    <mergeCell ref="E13:E22"/>
    <mergeCell ref="E23:E39"/>
    <mergeCell ref="E40:E41"/>
    <mergeCell ref="Z52:Z54"/>
    <mergeCell ref="L48:L50"/>
    <mergeCell ref="R48:R50"/>
    <mergeCell ref="S48:S50"/>
    <mergeCell ref="T48:T50"/>
    <mergeCell ref="U48:U50"/>
    <mergeCell ref="G23:G26"/>
    <mergeCell ref="F38:F39"/>
    <mergeCell ref="F13:F14"/>
    <mergeCell ref="F4:F5"/>
    <mergeCell ref="F6:F10"/>
    <mergeCell ref="F11:F12"/>
    <mergeCell ref="F15:F16"/>
    <mergeCell ref="F17:F20"/>
    <mergeCell ref="F29:F31"/>
    <mergeCell ref="C55:C64"/>
    <mergeCell ref="C65:C73"/>
    <mergeCell ref="D3:D12"/>
    <mergeCell ref="D13:D22"/>
    <mergeCell ref="G3:G12"/>
    <mergeCell ref="G13:G22"/>
    <mergeCell ref="D23:D34"/>
    <mergeCell ref="G32:G34"/>
    <mergeCell ref="F23:F26"/>
    <mergeCell ref="F32:F34"/>
    <mergeCell ref="F55:F64"/>
    <mergeCell ref="F66:F73"/>
    <mergeCell ref="C82:C89"/>
    <mergeCell ref="D38:D39"/>
    <mergeCell ref="D35:D37"/>
    <mergeCell ref="C3:C12"/>
    <mergeCell ref="C13:C22"/>
    <mergeCell ref="C23:C39"/>
    <mergeCell ref="C40:C41"/>
    <mergeCell ref="D80:D81"/>
    <mergeCell ref="A3:A12"/>
    <mergeCell ref="A13:A22"/>
    <mergeCell ref="A23:A39"/>
    <mergeCell ref="A40:A51"/>
    <mergeCell ref="G35:G37"/>
    <mergeCell ref="F35:F37"/>
    <mergeCell ref="G42:G43"/>
    <mergeCell ref="G29:G31"/>
    <mergeCell ref="G27:G28"/>
    <mergeCell ref="F27:F28"/>
    <mergeCell ref="A52:A64"/>
    <mergeCell ref="A65:A79"/>
    <mergeCell ref="A80:A89"/>
    <mergeCell ref="B3:B12"/>
    <mergeCell ref="B13:B22"/>
    <mergeCell ref="B23:B39"/>
    <mergeCell ref="B40:B51"/>
    <mergeCell ref="B52:B64"/>
    <mergeCell ref="B65:B79"/>
    <mergeCell ref="B80:B89"/>
    <mergeCell ref="T86:T87"/>
    <mergeCell ref="D44:D45"/>
    <mergeCell ref="G44:G45"/>
    <mergeCell ref="F44:F45"/>
    <mergeCell ref="D82:D89"/>
    <mergeCell ref="G47:G52"/>
    <mergeCell ref="L86:L87"/>
    <mergeCell ref="L70:L72"/>
    <mergeCell ref="K82:K89"/>
    <mergeCell ref="H88:H89"/>
    <mergeCell ref="R86:R87"/>
    <mergeCell ref="S86:S87"/>
    <mergeCell ref="D40:D41"/>
    <mergeCell ref="G40:G41"/>
    <mergeCell ref="F40:F41"/>
    <mergeCell ref="H40:H41"/>
    <mergeCell ref="G82:G84"/>
    <mergeCell ref="G85:G89"/>
    <mergeCell ref="F82:F84"/>
    <mergeCell ref="F88:F89"/>
    <mergeCell ref="H74:H75"/>
    <mergeCell ref="G74:G79"/>
    <mergeCell ref="H83:H84"/>
    <mergeCell ref="T61:T64"/>
    <mergeCell ref="E82:E89"/>
    <mergeCell ref="L59:L60"/>
    <mergeCell ref="L61:L64"/>
    <mergeCell ref="F86:F87"/>
    <mergeCell ref="R61:R64"/>
    <mergeCell ref="S61:S64"/>
    <mergeCell ref="K80:K81"/>
    <mergeCell ref="H78:H79"/>
    <mergeCell ref="K40:K41"/>
    <mergeCell ref="K65:K73"/>
    <mergeCell ref="H86:H87"/>
    <mergeCell ref="G80:G81"/>
    <mergeCell ref="G55:G64"/>
    <mergeCell ref="G65:G73"/>
    <mergeCell ref="H66:H67"/>
    <mergeCell ref="H68:H73"/>
    <mergeCell ref="U61:U64"/>
    <mergeCell ref="R70:R71"/>
    <mergeCell ref="S70:S71"/>
    <mergeCell ref="T70:T71"/>
    <mergeCell ref="U70:U71"/>
    <mergeCell ref="K74:K79"/>
    <mergeCell ref="H27:H28"/>
    <mergeCell ref="H32:H34"/>
    <mergeCell ref="L38:L39"/>
    <mergeCell ref="H55:H64"/>
    <mergeCell ref="L55:L56"/>
    <mergeCell ref="L57:L58"/>
    <mergeCell ref="H44:H45"/>
    <mergeCell ref="L42:L43"/>
    <mergeCell ref="K42:K51"/>
    <mergeCell ref="K52:K54"/>
    <mergeCell ref="H38:H39"/>
    <mergeCell ref="H29:H31"/>
    <mergeCell ref="K55:K64"/>
    <mergeCell ref="J38:J39"/>
    <mergeCell ref="I38:I39"/>
    <mergeCell ref="M38:M39"/>
    <mergeCell ref="H35:H37"/>
    <mergeCell ref="H13:H14"/>
    <mergeCell ref="K13:K14"/>
    <mergeCell ref="R27:R28"/>
    <mergeCell ref="S27:S28"/>
    <mergeCell ref="R15:R16"/>
    <mergeCell ref="S15:S16"/>
    <mergeCell ref="H23:H26"/>
    <mergeCell ref="H15:H16"/>
    <mergeCell ref="K15:K16"/>
    <mergeCell ref="L27:L28"/>
    <mergeCell ref="K23:K39"/>
    <mergeCell ref="K19:K20"/>
    <mergeCell ref="U27:U28"/>
    <mergeCell ref="W27:W28"/>
    <mergeCell ref="O38:O39"/>
    <mergeCell ref="P38:P39"/>
    <mergeCell ref="U38:U39"/>
    <mergeCell ref="N38:N39"/>
    <mergeCell ref="Z38:Z39"/>
    <mergeCell ref="Z27:Z28"/>
    <mergeCell ref="Y48:Y50"/>
    <mergeCell ref="Y27:Y28"/>
    <mergeCell ref="V15:V16"/>
    <mergeCell ref="W15:W16"/>
    <mergeCell ref="X15:X16"/>
    <mergeCell ref="Y15:Y16"/>
    <mergeCell ref="Z42:Z51"/>
    <mergeCell ref="I1:J1"/>
    <mergeCell ref="Z82:Z89"/>
    <mergeCell ref="U86:U87"/>
    <mergeCell ref="V86:V87"/>
    <mergeCell ref="W86:W87"/>
    <mergeCell ref="X86:X87"/>
    <mergeCell ref="Y86:Y87"/>
    <mergeCell ref="V48:V50"/>
    <mergeCell ref="W48:W50"/>
    <mergeCell ref="X48:X50"/>
    <mergeCell ref="V61:V64"/>
    <mergeCell ref="W61:W64"/>
    <mergeCell ref="X61:X64"/>
    <mergeCell ref="Y61:Y64"/>
    <mergeCell ref="V70:V71"/>
    <mergeCell ref="W70:W71"/>
    <mergeCell ref="X70:X71"/>
    <mergeCell ref="Y70:Y71"/>
    <mergeCell ref="S1:Y1"/>
    <mergeCell ref="R38:R39"/>
    <mergeCell ref="S38:S39"/>
    <mergeCell ref="W38:W39"/>
    <mergeCell ref="X38:X39"/>
    <mergeCell ref="X27:X28"/>
    <mergeCell ref="Y38:Y39"/>
    <mergeCell ref="T15:T16"/>
    <mergeCell ref="U15:U16"/>
  </mergeCells>
  <phoneticPr fontId="0" type="noConversion"/>
  <pageMargins left="0.32" right="0.118110236220472" top="0.34" bottom="0.37" header="0.12" footer="0.2"/>
  <pageSetup scale="68" orientation="landscape" horizontalDpi="90" verticalDpi="90" r:id="rId1"/>
  <headerFooter>
    <oddFooter>&amp;CMATRIZ ESTRATEGICA SOCIO CULTURAL&amp;RPágina &amp;P de &amp;N</oddFooter>
  </headerFooter>
  <rowBreaks count="4" manualBreakCount="4">
    <brk id="39" max="11" man="1"/>
    <brk id="51" max="11" man="1"/>
    <brk id="64" max="11" man="1"/>
    <brk id="79" max="11" man="1"/>
  </rowBreaks>
  <colBreaks count="1" manualBreakCount="1">
    <brk id="14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="90" zoomScaleNormal="81" zoomScaleSheetLayoutView="90" workbookViewId="0">
      <pane ySplit="2280" topLeftCell="A37" activePane="bottomLeft"/>
      <selection activeCell="K43" sqref="K43"/>
      <selection pane="bottomLeft" activeCell="J43" sqref="J43"/>
    </sheetView>
  </sheetViews>
  <sheetFormatPr baseColWidth="10" defaultRowHeight="12.75"/>
  <cols>
    <col min="1" max="1" width="10.5703125" style="1" customWidth="1"/>
    <col min="2" max="2" width="4.28515625" style="1" hidden="1" customWidth="1"/>
    <col min="3" max="3" width="8.85546875" style="1" customWidth="1"/>
    <col min="4" max="4" width="15" style="52" customWidth="1"/>
    <col min="5" max="5" width="19.85546875" style="1" customWidth="1"/>
    <col min="6" max="6" width="14.140625" style="53" customWidth="1"/>
    <col min="7" max="7" width="16.140625" style="1" customWidth="1"/>
    <col min="8" max="8" width="19.7109375" style="1" customWidth="1"/>
    <col min="9" max="9" width="18.140625" style="1" customWidth="1"/>
    <col min="10" max="10" width="18.7109375" style="1" customWidth="1"/>
    <col min="11" max="11" width="18.5703125" style="1" customWidth="1"/>
    <col min="12" max="12" width="23.28515625" style="53" customWidth="1"/>
    <col min="13" max="15" width="7.28515625" style="1" bestFit="1" customWidth="1"/>
    <col min="16" max="16" width="7" style="1" bestFit="1" customWidth="1"/>
    <col min="17" max="17" width="10.28515625" style="146" customWidth="1"/>
    <col min="18" max="18" width="9.5703125" style="117" bestFit="1" customWidth="1"/>
    <col min="19" max="19" width="9" style="117" customWidth="1"/>
    <col min="20" max="20" width="7.42578125" style="117" bestFit="1" customWidth="1"/>
    <col min="21" max="21" width="11.140625" style="117" customWidth="1"/>
    <col min="22" max="22" width="7.140625" style="117" bestFit="1" customWidth="1"/>
    <col min="23" max="23" width="6.85546875" style="117" bestFit="1" customWidth="1"/>
    <col min="24" max="24" width="8.42578125" style="146" customWidth="1"/>
    <col min="25" max="25" width="12.7109375" style="117" customWidth="1"/>
    <col min="26" max="16384" width="11.42578125" style="1"/>
  </cols>
  <sheetData>
    <row r="1" spans="1:25" ht="15.75">
      <c r="I1" s="342" t="s">
        <v>731</v>
      </c>
      <c r="J1" s="342"/>
      <c r="Q1" s="142"/>
      <c r="R1" s="343" t="s">
        <v>220</v>
      </c>
      <c r="S1" s="344"/>
      <c r="T1" s="345"/>
      <c r="U1" s="345"/>
      <c r="V1" s="345"/>
      <c r="W1" s="345"/>
      <c r="X1" s="346"/>
      <c r="Y1" s="137"/>
    </row>
    <row r="2" spans="1:25" s="2" customFormat="1" ht="89.25">
      <c r="A2" s="50" t="s">
        <v>547</v>
      </c>
      <c r="B2" s="50" t="s">
        <v>546</v>
      </c>
      <c r="C2" s="50" t="s">
        <v>545</v>
      </c>
      <c r="D2" s="50" t="s">
        <v>543</v>
      </c>
      <c r="E2" s="50" t="s">
        <v>544</v>
      </c>
      <c r="F2" s="50" t="s">
        <v>541</v>
      </c>
      <c r="G2" s="50" t="s">
        <v>542</v>
      </c>
      <c r="H2" s="50" t="s">
        <v>540</v>
      </c>
      <c r="I2" s="4" t="s">
        <v>537</v>
      </c>
      <c r="J2" s="50" t="s">
        <v>459</v>
      </c>
      <c r="K2" s="50" t="s">
        <v>539</v>
      </c>
      <c r="L2" s="50" t="s">
        <v>538</v>
      </c>
      <c r="M2" s="4">
        <v>2012</v>
      </c>
      <c r="N2" s="4">
        <v>2013</v>
      </c>
      <c r="O2" s="4">
        <v>2014</v>
      </c>
      <c r="P2" s="4">
        <v>2015</v>
      </c>
      <c r="Q2" s="138" t="s">
        <v>215</v>
      </c>
      <c r="R2" s="138" t="s">
        <v>233</v>
      </c>
      <c r="S2" s="138" t="s">
        <v>282</v>
      </c>
      <c r="T2" s="138" t="s">
        <v>234</v>
      </c>
      <c r="U2" s="138" t="s">
        <v>235</v>
      </c>
      <c r="V2" s="138" t="s">
        <v>216</v>
      </c>
      <c r="W2" s="138" t="s">
        <v>217</v>
      </c>
      <c r="X2" s="138" t="s">
        <v>218</v>
      </c>
      <c r="Y2" s="138" t="s">
        <v>219</v>
      </c>
    </row>
    <row r="3" spans="1:25" s="3" customFormat="1" ht="81.75" customHeight="1">
      <c r="A3" s="357" t="s">
        <v>586</v>
      </c>
      <c r="B3" s="381" t="s">
        <v>457</v>
      </c>
      <c r="C3" s="306" t="s">
        <v>77</v>
      </c>
      <c r="D3" s="262" t="s">
        <v>227</v>
      </c>
      <c r="E3" s="261" t="s">
        <v>446</v>
      </c>
      <c r="F3" s="263" t="s">
        <v>228</v>
      </c>
      <c r="G3" s="261" t="s">
        <v>444</v>
      </c>
      <c r="H3" s="182" t="s">
        <v>445</v>
      </c>
      <c r="I3" s="191">
        <v>0.3</v>
      </c>
      <c r="J3" s="261" t="s">
        <v>335</v>
      </c>
      <c r="K3" s="261" t="s">
        <v>290</v>
      </c>
      <c r="L3" s="262" t="s">
        <v>229</v>
      </c>
      <c r="M3" s="191">
        <v>0.4</v>
      </c>
      <c r="N3" s="191">
        <v>0.5</v>
      </c>
      <c r="O3" s="191">
        <v>0.65</v>
      </c>
      <c r="P3" s="191">
        <v>0.8</v>
      </c>
      <c r="Q3" s="185">
        <f>10*29</f>
        <v>290</v>
      </c>
      <c r="R3" s="189">
        <f>80+150</f>
        <v>230</v>
      </c>
      <c r="S3" s="189"/>
      <c r="T3" s="189">
        <f>+Q3-R3</f>
        <v>60</v>
      </c>
      <c r="U3" s="189"/>
      <c r="V3" s="189"/>
      <c r="W3" s="189"/>
      <c r="X3" s="185">
        <f>SUM(R3:W3)</f>
        <v>290</v>
      </c>
      <c r="Y3" s="272" t="s">
        <v>425</v>
      </c>
    </row>
    <row r="4" spans="1:25" s="3" customFormat="1" ht="39" customHeight="1">
      <c r="A4" s="357"/>
      <c r="B4" s="381"/>
      <c r="C4" s="585" t="s">
        <v>877</v>
      </c>
      <c r="D4" s="550" t="s">
        <v>87</v>
      </c>
      <c r="E4" s="561" t="s">
        <v>86</v>
      </c>
      <c r="F4" s="550" t="s">
        <v>1049</v>
      </c>
      <c r="G4" s="561" t="s">
        <v>876</v>
      </c>
      <c r="H4" s="538" t="s">
        <v>1050</v>
      </c>
      <c r="I4" s="130">
        <v>0</v>
      </c>
      <c r="J4" s="192" t="s">
        <v>254</v>
      </c>
      <c r="K4" s="538" t="s">
        <v>88</v>
      </c>
      <c r="L4" s="98" t="s">
        <v>85</v>
      </c>
      <c r="M4" s="130">
        <v>250</v>
      </c>
      <c r="N4" s="130">
        <v>250</v>
      </c>
      <c r="O4" s="130">
        <v>250</v>
      </c>
      <c r="P4" s="130">
        <v>250</v>
      </c>
      <c r="Q4" s="177">
        <v>15</v>
      </c>
      <c r="R4" s="173">
        <v>5</v>
      </c>
      <c r="S4" s="173"/>
      <c r="T4" s="173">
        <v>10</v>
      </c>
      <c r="U4" s="173"/>
      <c r="V4" s="173"/>
      <c r="W4" s="173"/>
      <c r="X4" s="177">
        <f>SUM(R4:W4)</f>
        <v>15</v>
      </c>
      <c r="Y4" s="544" t="s">
        <v>426</v>
      </c>
    </row>
    <row r="5" spans="1:25" s="3" customFormat="1" ht="39.75" customHeight="1">
      <c r="A5" s="357"/>
      <c r="B5" s="381"/>
      <c r="C5" s="585"/>
      <c r="D5" s="551"/>
      <c r="E5" s="562"/>
      <c r="F5" s="551"/>
      <c r="G5" s="562"/>
      <c r="H5" s="539"/>
      <c r="I5" s="136" t="s">
        <v>1051</v>
      </c>
      <c r="J5" s="56" t="s">
        <v>223</v>
      </c>
      <c r="K5" s="539"/>
      <c r="L5" s="98" t="s">
        <v>224</v>
      </c>
      <c r="M5" s="131">
        <v>0.14000000000000001</v>
      </c>
      <c r="N5" s="131">
        <v>0.13</v>
      </c>
      <c r="O5" s="131">
        <v>0.12</v>
      </c>
      <c r="P5" s="131">
        <v>0.1</v>
      </c>
      <c r="Q5" s="177">
        <v>30</v>
      </c>
      <c r="R5" s="173">
        <v>10</v>
      </c>
      <c r="S5" s="173"/>
      <c r="T5" s="173">
        <v>20</v>
      </c>
      <c r="U5" s="173"/>
      <c r="V5" s="173"/>
      <c r="W5" s="173"/>
      <c r="X5" s="177">
        <f t="shared" ref="X5:X10" si="0">SUM(R5:W5)</f>
        <v>30</v>
      </c>
      <c r="Y5" s="545"/>
    </row>
    <row r="6" spans="1:25" s="3" customFormat="1" ht="78.75" customHeight="1">
      <c r="A6" s="357"/>
      <c r="B6" s="381"/>
      <c r="C6" s="585"/>
      <c r="D6" s="551"/>
      <c r="E6" s="562"/>
      <c r="F6" s="552"/>
      <c r="G6" s="562"/>
      <c r="H6" s="539"/>
      <c r="I6" s="136" t="s">
        <v>1053</v>
      </c>
      <c r="J6" s="80" t="s">
        <v>1054</v>
      </c>
      <c r="K6" s="539"/>
      <c r="L6" s="98" t="s">
        <v>200</v>
      </c>
      <c r="M6" s="131">
        <v>0.11</v>
      </c>
      <c r="N6" s="131">
        <v>0.1</v>
      </c>
      <c r="O6" s="131">
        <v>0.09</v>
      </c>
      <c r="P6" s="131">
        <v>0.08</v>
      </c>
      <c r="Q6" s="177">
        <v>15</v>
      </c>
      <c r="R6" s="173">
        <v>15</v>
      </c>
      <c r="S6" s="173"/>
      <c r="T6" s="173"/>
      <c r="U6" s="173"/>
      <c r="V6" s="173"/>
      <c r="W6" s="173"/>
      <c r="X6" s="177">
        <f t="shared" si="0"/>
        <v>15</v>
      </c>
      <c r="Y6" s="545"/>
    </row>
    <row r="7" spans="1:25" s="3" customFormat="1" ht="25.5">
      <c r="A7" s="357"/>
      <c r="B7" s="381"/>
      <c r="C7" s="585"/>
      <c r="D7" s="551"/>
      <c r="E7" s="562"/>
      <c r="F7" s="550" t="s">
        <v>202</v>
      </c>
      <c r="G7" s="562"/>
      <c r="H7" s="538" t="s">
        <v>1055</v>
      </c>
      <c r="I7" s="136" t="s">
        <v>1057</v>
      </c>
      <c r="J7" s="80" t="s">
        <v>1058</v>
      </c>
      <c r="K7" s="539"/>
      <c r="L7" s="302" t="s">
        <v>1056</v>
      </c>
      <c r="M7" s="131">
        <v>0.1</v>
      </c>
      <c r="N7" s="131">
        <v>0.08</v>
      </c>
      <c r="O7" s="131">
        <v>0.06</v>
      </c>
      <c r="P7" s="131">
        <v>0.04</v>
      </c>
      <c r="Q7" s="177">
        <v>15</v>
      </c>
      <c r="R7" s="173">
        <v>15</v>
      </c>
      <c r="S7" s="173"/>
      <c r="T7" s="173"/>
      <c r="U7" s="173"/>
      <c r="V7" s="173"/>
      <c r="W7" s="173"/>
      <c r="X7" s="177">
        <f t="shared" si="0"/>
        <v>15</v>
      </c>
      <c r="Y7" s="545"/>
    </row>
    <row r="8" spans="1:25" s="3" customFormat="1" ht="90" customHeight="1">
      <c r="A8" s="357"/>
      <c r="B8" s="381"/>
      <c r="C8" s="585"/>
      <c r="D8" s="551"/>
      <c r="E8" s="562"/>
      <c r="F8" s="551"/>
      <c r="G8" s="562"/>
      <c r="H8" s="539"/>
      <c r="I8" s="131">
        <v>0.3</v>
      </c>
      <c r="J8" s="80" t="s">
        <v>80</v>
      </c>
      <c r="K8" s="539"/>
      <c r="L8" s="302" t="s">
        <v>503</v>
      </c>
      <c r="M8" s="131">
        <v>0.3</v>
      </c>
      <c r="N8" s="131">
        <v>0.3</v>
      </c>
      <c r="O8" s="131">
        <v>0.6</v>
      </c>
      <c r="P8" s="131">
        <v>1</v>
      </c>
      <c r="Q8" s="177">
        <v>350</v>
      </c>
      <c r="R8" s="173">
        <v>30</v>
      </c>
      <c r="S8" s="173"/>
      <c r="T8" s="173">
        <v>320</v>
      </c>
      <c r="U8" s="173"/>
      <c r="V8" s="173"/>
      <c r="W8" s="173"/>
      <c r="X8" s="177">
        <f t="shared" si="0"/>
        <v>350</v>
      </c>
      <c r="Y8" s="545"/>
    </row>
    <row r="9" spans="1:25" s="3" customFormat="1" ht="90" customHeight="1">
      <c r="A9" s="357"/>
      <c r="B9" s="381"/>
      <c r="C9" s="585"/>
      <c r="D9" s="551"/>
      <c r="E9" s="562"/>
      <c r="F9" s="551"/>
      <c r="G9" s="562"/>
      <c r="H9" s="539"/>
      <c r="I9" s="131">
        <v>0.1</v>
      </c>
      <c r="J9" s="80" t="s">
        <v>336</v>
      </c>
      <c r="K9" s="539"/>
      <c r="L9" s="302" t="s">
        <v>477</v>
      </c>
      <c r="M9" s="131">
        <v>0.2</v>
      </c>
      <c r="N9" s="131">
        <v>0.2</v>
      </c>
      <c r="O9" s="131">
        <v>0.4</v>
      </c>
      <c r="P9" s="131">
        <v>1</v>
      </c>
      <c r="Q9" s="177">
        <v>100</v>
      </c>
      <c r="R9" s="173">
        <v>15</v>
      </c>
      <c r="S9" s="173"/>
      <c r="T9" s="173">
        <v>85</v>
      </c>
      <c r="U9" s="173"/>
      <c r="V9" s="173"/>
      <c r="W9" s="173"/>
      <c r="X9" s="177">
        <f t="shared" si="0"/>
        <v>100</v>
      </c>
      <c r="Y9" s="545"/>
    </row>
    <row r="10" spans="1:25" s="3" customFormat="1" ht="51">
      <c r="A10" s="357"/>
      <c r="B10" s="381"/>
      <c r="C10" s="585"/>
      <c r="D10" s="551"/>
      <c r="E10" s="562"/>
      <c r="F10" s="551"/>
      <c r="G10" s="562"/>
      <c r="H10" s="539"/>
      <c r="I10" s="136" t="s">
        <v>1062</v>
      </c>
      <c r="J10" s="80" t="s">
        <v>1061</v>
      </c>
      <c r="K10" s="540"/>
      <c r="L10" s="98" t="s">
        <v>1059</v>
      </c>
      <c r="M10" s="130">
        <v>0</v>
      </c>
      <c r="N10" s="130">
        <v>0</v>
      </c>
      <c r="O10" s="130">
        <v>0</v>
      </c>
      <c r="P10" s="130">
        <v>0</v>
      </c>
      <c r="Q10" s="177">
        <v>15</v>
      </c>
      <c r="R10" s="173">
        <v>15</v>
      </c>
      <c r="S10" s="173"/>
      <c r="T10" s="173"/>
      <c r="U10" s="173"/>
      <c r="V10" s="173"/>
      <c r="W10" s="173"/>
      <c r="X10" s="177">
        <f t="shared" si="0"/>
        <v>15</v>
      </c>
      <c r="Y10" s="546"/>
    </row>
    <row r="11" spans="1:25" s="3" customFormat="1" ht="38.25">
      <c r="A11" s="357"/>
      <c r="B11" s="381"/>
      <c r="C11" s="339" t="s">
        <v>879</v>
      </c>
      <c r="D11" s="586" t="s">
        <v>84</v>
      </c>
      <c r="E11" s="565" t="s">
        <v>90</v>
      </c>
      <c r="F11" s="588" t="s">
        <v>91</v>
      </c>
      <c r="G11" s="591" t="s">
        <v>878</v>
      </c>
      <c r="H11" s="565" t="s">
        <v>255</v>
      </c>
      <c r="I11" s="135" t="s">
        <v>1060</v>
      </c>
      <c r="J11" s="71" t="s">
        <v>1061</v>
      </c>
      <c r="K11" s="565" t="s">
        <v>89</v>
      </c>
      <c r="L11" s="95" t="s">
        <v>1056</v>
      </c>
      <c r="M11" s="132">
        <v>0</v>
      </c>
      <c r="N11" s="132">
        <v>0</v>
      </c>
      <c r="O11" s="132">
        <v>0</v>
      </c>
      <c r="P11" s="132">
        <v>0</v>
      </c>
      <c r="Q11" s="178">
        <v>96</v>
      </c>
      <c r="R11" s="174">
        <v>96</v>
      </c>
      <c r="S11" s="174"/>
      <c r="T11" s="174"/>
      <c r="U11" s="174"/>
      <c r="V11" s="174"/>
      <c r="W11" s="174"/>
      <c r="X11" s="178">
        <f t="shared" ref="X11:X25" si="1">SUM(R11:W11)</f>
        <v>96</v>
      </c>
      <c r="Y11" s="541" t="s">
        <v>426</v>
      </c>
    </row>
    <row r="12" spans="1:25" s="3" customFormat="1" ht="25.5">
      <c r="A12" s="357"/>
      <c r="B12" s="381"/>
      <c r="C12" s="340"/>
      <c r="D12" s="586"/>
      <c r="E12" s="566"/>
      <c r="F12" s="574"/>
      <c r="G12" s="576"/>
      <c r="H12" s="566"/>
      <c r="I12" s="132">
        <v>0</v>
      </c>
      <c r="J12" s="81">
        <v>1</v>
      </c>
      <c r="K12" s="566"/>
      <c r="L12" s="95" t="s">
        <v>1064</v>
      </c>
      <c r="M12" s="133">
        <v>1</v>
      </c>
      <c r="N12" s="133">
        <v>1</v>
      </c>
      <c r="O12" s="133">
        <v>1</v>
      </c>
      <c r="P12" s="133">
        <v>1</v>
      </c>
      <c r="Q12" s="178">
        <v>20</v>
      </c>
      <c r="R12" s="174">
        <v>10</v>
      </c>
      <c r="S12" s="174"/>
      <c r="T12" s="174">
        <v>10</v>
      </c>
      <c r="U12" s="174"/>
      <c r="V12" s="174"/>
      <c r="W12" s="174"/>
      <c r="X12" s="178">
        <f t="shared" si="1"/>
        <v>20</v>
      </c>
      <c r="Y12" s="542"/>
    </row>
    <row r="13" spans="1:25" s="3" customFormat="1" ht="25.5">
      <c r="A13" s="357"/>
      <c r="B13" s="381"/>
      <c r="C13" s="340"/>
      <c r="D13" s="586"/>
      <c r="E13" s="566"/>
      <c r="F13" s="574"/>
      <c r="G13" s="576"/>
      <c r="H13" s="566"/>
      <c r="I13" s="132">
        <v>0</v>
      </c>
      <c r="J13" s="81">
        <v>1</v>
      </c>
      <c r="K13" s="566"/>
      <c r="L13" s="95" t="s">
        <v>256</v>
      </c>
      <c r="M13" s="133">
        <v>0</v>
      </c>
      <c r="N13" s="133">
        <v>1</v>
      </c>
      <c r="O13" s="133">
        <v>1</v>
      </c>
      <c r="P13" s="133">
        <v>1</v>
      </c>
      <c r="Q13" s="178">
        <v>20</v>
      </c>
      <c r="R13" s="174">
        <v>10</v>
      </c>
      <c r="S13" s="174"/>
      <c r="T13" s="174">
        <v>10</v>
      </c>
      <c r="U13" s="174"/>
      <c r="V13" s="174"/>
      <c r="W13" s="174"/>
      <c r="X13" s="178">
        <f t="shared" si="1"/>
        <v>20</v>
      </c>
      <c r="Y13" s="542"/>
    </row>
    <row r="14" spans="1:25" s="3" customFormat="1" ht="25.5">
      <c r="A14" s="357"/>
      <c r="B14" s="381"/>
      <c r="C14" s="359"/>
      <c r="D14" s="586"/>
      <c r="E14" s="567"/>
      <c r="F14" s="575"/>
      <c r="G14" s="577"/>
      <c r="H14" s="567"/>
      <c r="I14" s="132">
        <v>0</v>
      </c>
      <c r="J14" s="81">
        <v>1</v>
      </c>
      <c r="K14" s="567"/>
      <c r="L14" s="95" t="s">
        <v>1065</v>
      </c>
      <c r="M14" s="133">
        <v>0</v>
      </c>
      <c r="N14" s="133">
        <v>0</v>
      </c>
      <c r="O14" s="133">
        <v>0</v>
      </c>
      <c r="P14" s="133">
        <v>1</v>
      </c>
      <c r="Q14" s="178">
        <v>20</v>
      </c>
      <c r="R14" s="174">
        <v>10</v>
      </c>
      <c r="S14" s="174"/>
      <c r="T14" s="174">
        <v>10</v>
      </c>
      <c r="U14" s="174"/>
      <c r="V14" s="174"/>
      <c r="W14" s="174"/>
      <c r="X14" s="178">
        <f t="shared" si="1"/>
        <v>20</v>
      </c>
      <c r="Y14" s="543"/>
    </row>
    <row r="15" spans="1:25" s="3" customFormat="1" ht="129.75" customHeight="1">
      <c r="A15" s="357" t="s">
        <v>586</v>
      </c>
      <c r="B15" s="595" t="s">
        <v>457</v>
      </c>
      <c r="C15" s="357" t="s">
        <v>880</v>
      </c>
      <c r="D15" s="494" t="s">
        <v>593</v>
      </c>
      <c r="E15" s="456" t="s">
        <v>443</v>
      </c>
      <c r="F15" s="557" t="s">
        <v>441</v>
      </c>
      <c r="G15" s="592" t="s">
        <v>222</v>
      </c>
      <c r="H15" s="72" t="s">
        <v>594</v>
      </c>
      <c r="I15" s="296" t="s">
        <v>252</v>
      </c>
      <c r="J15" s="277" t="s">
        <v>318</v>
      </c>
      <c r="K15" s="456" t="s">
        <v>226</v>
      </c>
      <c r="L15" s="99" t="s">
        <v>317</v>
      </c>
      <c r="M15" s="105">
        <v>0.4</v>
      </c>
      <c r="N15" s="105">
        <v>0.2</v>
      </c>
      <c r="O15" s="105">
        <v>0.2</v>
      </c>
      <c r="P15" s="105">
        <v>0.2</v>
      </c>
      <c r="Q15" s="161">
        <v>120</v>
      </c>
      <c r="R15" s="162">
        <v>120</v>
      </c>
      <c r="S15" s="162"/>
      <c r="T15" s="162"/>
      <c r="U15" s="162"/>
      <c r="V15" s="162"/>
      <c r="W15" s="162"/>
      <c r="X15" s="161">
        <f t="shared" si="1"/>
        <v>120</v>
      </c>
      <c r="Y15" s="547" t="s">
        <v>427</v>
      </c>
    </row>
    <row r="16" spans="1:25" s="3" customFormat="1" ht="78" customHeight="1">
      <c r="A16" s="357"/>
      <c r="B16" s="596"/>
      <c r="C16" s="357"/>
      <c r="D16" s="495"/>
      <c r="E16" s="457"/>
      <c r="F16" s="558"/>
      <c r="G16" s="593"/>
      <c r="H16" s="72" t="s">
        <v>1028</v>
      </c>
      <c r="I16" s="456" t="s">
        <v>276</v>
      </c>
      <c r="J16" s="456" t="s">
        <v>275</v>
      </c>
      <c r="K16" s="457"/>
      <c r="L16" s="494" t="s">
        <v>251</v>
      </c>
      <c r="M16" s="563">
        <v>0.5</v>
      </c>
      <c r="N16" s="563">
        <v>1</v>
      </c>
      <c r="O16" s="563">
        <v>1</v>
      </c>
      <c r="P16" s="563">
        <v>1</v>
      </c>
      <c r="Q16" s="440">
        <v>200</v>
      </c>
      <c r="R16" s="536">
        <v>50</v>
      </c>
      <c r="S16" s="536"/>
      <c r="T16" s="536">
        <v>150</v>
      </c>
      <c r="U16" s="536"/>
      <c r="V16" s="536"/>
      <c r="W16" s="536"/>
      <c r="X16" s="440">
        <f t="shared" si="1"/>
        <v>200</v>
      </c>
      <c r="Y16" s="548"/>
    </row>
    <row r="17" spans="1:25" s="3" customFormat="1" ht="38.25">
      <c r="A17" s="357"/>
      <c r="B17" s="596"/>
      <c r="C17" s="357"/>
      <c r="D17" s="495"/>
      <c r="E17" s="457"/>
      <c r="F17" s="558"/>
      <c r="G17" s="593"/>
      <c r="H17" s="72" t="s">
        <v>250</v>
      </c>
      <c r="I17" s="458"/>
      <c r="J17" s="458"/>
      <c r="K17" s="457"/>
      <c r="L17" s="496"/>
      <c r="M17" s="564"/>
      <c r="N17" s="564"/>
      <c r="O17" s="564"/>
      <c r="P17" s="564"/>
      <c r="Q17" s="441"/>
      <c r="R17" s="537"/>
      <c r="S17" s="537"/>
      <c r="T17" s="537"/>
      <c r="U17" s="537"/>
      <c r="V17" s="537"/>
      <c r="W17" s="537"/>
      <c r="X17" s="441">
        <f t="shared" si="1"/>
        <v>0</v>
      </c>
      <c r="Y17" s="548"/>
    </row>
    <row r="18" spans="1:25" s="3" customFormat="1" ht="123" customHeight="1">
      <c r="A18" s="357"/>
      <c r="B18" s="596"/>
      <c r="C18" s="357"/>
      <c r="D18" s="495"/>
      <c r="E18" s="457"/>
      <c r="F18" s="559"/>
      <c r="G18" s="594"/>
      <c r="H18" s="72" t="s">
        <v>1029</v>
      </c>
      <c r="I18" s="104">
        <v>0</v>
      </c>
      <c r="J18" s="297" t="s">
        <v>277</v>
      </c>
      <c r="K18" s="457"/>
      <c r="L18" s="193" t="s">
        <v>129</v>
      </c>
      <c r="M18" s="194">
        <v>0.5</v>
      </c>
      <c r="N18" s="194">
        <v>1</v>
      </c>
      <c r="O18" s="194">
        <v>1</v>
      </c>
      <c r="P18" s="194">
        <v>1</v>
      </c>
      <c r="Q18" s="161">
        <v>100</v>
      </c>
      <c r="R18" s="162">
        <v>40</v>
      </c>
      <c r="S18" s="162"/>
      <c r="T18" s="162"/>
      <c r="U18" s="162"/>
      <c r="V18" s="162">
        <v>60</v>
      </c>
      <c r="W18" s="162"/>
      <c r="X18" s="161">
        <f t="shared" si="1"/>
        <v>100</v>
      </c>
      <c r="Y18" s="548"/>
    </row>
    <row r="19" spans="1:25" s="3" customFormat="1" ht="66.75" customHeight="1">
      <c r="A19" s="357"/>
      <c r="B19" s="596"/>
      <c r="C19" s="357"/>
      <c r="D19" s="496"/>
      <c r="E19" s="458"/>
      <c r="F19" s="101" t="s">
        <v>279</v>
      </c>
      <c r="G19" s="72" t="s">
        <v>881</v>
      </c>
      <c r="H19" s="72" t="s">
        <v>1030</v>
      </c>
      <c r="I19" s="104">
        <v>0</v>
      </c>
      <c r="J19" s="296" t="s">
        <v>278</v>
      </c>
      <c r="K19" s="458"/>
      <c r="L19" s="195" t="s">
        <v>253</v>
      </c>
      <c r="M19" s="196">
        <v>2</v>
      </c>
      <c r="N19" s="196">
        <v>1</v>
      </c>
      <c r="O19" s="196">
        <v>1</v>
      </c>
      <c r="P19" s="196">
        <v>1</v>
      </c>
      <c r="Q19" s="161">
        <v>100</v>
      </c>
      <c r="R19" s="162">
        <v>49</v>
      </c>
      <c r="S19" s="162"/>
      <c r="T19" s="162"/>
      <c r="U19" s="162"/>
      <c r="V19" s="162">
        <v>51</v>
      </c>
      <c r="W19" s="162"/>
      <c r="X19" s="161">
        <f t="shared" si="1"/>
        <v>100</v>
      </c>
      <c r="Y19" s="549"/>
    </row>
    <row r="20" spans="1:25" s="3" customFormat="1" ht="38.25" customHeight="1">
      <c r="A20" s="357"/>
      <c r="B20" s="596"/>
      <c r="C20" s="357" t="s">
        <v>206</v>
      </c>
      <c r="D20" s="580" t="s">
        <v>209</v>
      </c>
      <c r="E20" s="528" t="s">
        <v>458</v>
      </c>
      <c r="F20" s="589" t="s">
        <v>95</v>
      </c>
      <c r="G20" s="532" t="s">
        <v>882</v>
      </c>
      <c r="H20" s="532" t="s">
        <v>464</v>
      </c>
      <c r="I20" s="37">
        <v>0</v>
      </c>
      <c r="J20" s="97" t="s">
        <v>92</v>
      </c>
      <c r="K20" s="531" t="s">
        <v>225</v>
      </c>
      <c r="L20" s="100" t="s">
        <v>590</v>
      </c>
      <c r="M20" s="37">
        <v>0</v>
      </c>
      <c r="N20" s="38">
        <v>0.2</v>
      </c>
      <c r="O20" s="38">
        <v>0.4</v>
      </c>
      <c r="P20" s="38">
        <v>0.6</v>
      </c>
      <c r="Q20" s="155">
        <v>150</v>
      </c>
      <c r="R20" s="156">
        <v>115</v>
      </c>
      <c r="S20" s="156"/>
      <c r="T20" s="156">
        <v>35</v>
      </c>
      <c r="U20" s="156"/>
      <c r="V20" s="156"/>
      <c r="W20" s="156"/>
      <c r="X20" s="155">
        <f t="shared" si="1"/>
        <v>150</v>
      </c>
      <c r="Y20" s="600" t="s">
        <v>428</v>
      </c>
    </row>
    <row r="21" spans="1:25" s="3" customFormat="1" ht="49.5" customHeight="1">
      <c r="A21" s="357"/>
      <c r="B21" s="596"/>
      <c r="C21" s="357"/>
      <c r="D21" s="581"/>
      <c r="E21" s="529"/>
      <c r="F21" s="590"/>
      <c r="G21" s="533"/>
      <c r="H21" s="533"/>
      <c r="I21" s="127" t="s">
        <v>93</v>
      </c>
      <c r="J21" s="97" t="s">
        <v>94</v>
      </c>
      <c r="K21" s="532"/>
      <c r="L21" s="100" t="s">
        <v>591</v>
      </c>
      <c r="M21" s="38">
        <v>1</v>
      </c>
      <c r="N21" s="38">
        <v>1</v>
      </c>
      <c r="O21" s="38">
        <v>1</v>
      </c>
      <c r="P21" s="38">
        <v>1</v>
      </c>
      <c r="Q21" s="155">
        <v>120</v>
      </c>
      <c r="R21" s="156">
        <v>120</v>
      </c>
      <c r="S21" s="156"/>
      <c r="T21" s="156"/>
      <c r="U21" s="156"/>
      <c r="V21" s="156"/>
      <c r="W21" s="156"/>
      <c r="X21" s="155">
        <f t="shared" si="1"/>
        <v>120</v>
      </c>
      <c r="Y21" s="601"/>
    </row>
    <row r="22" spans="1:25" s="3" customFormat="1" ht="87" customHeight="1">
      <c r="A22" s="357"/>
      <c r="B22" s="587"/>
      <c r="C22" s="357"/>
      <c r="D22" s="582"/>
      <c r="E22" s="530"/>
      <c r="F22" s="100" t="s">
        <v>241</v>
      </c>
      <c r="G22" s="97" t="s">
        <v>884</v>
      </c>
      <c r="H22" s="97" t="s">
        <v>465</v>
      </c>
      <c r="I22" s="127" t="s">
        <v>236</v>
      </c>
      <c r="J22" s="97" t="s">
        <v>238</v>
      </c>
      <c r="K22" s="533"/>
      <c r="L22" s="100" t="s">
        <v>237</v>
      </c>
      <c r="M22" s="38" t="s">
        <v>240</v>
      </c>
      <c r="N22" s="38" t="s">
        <v>239</v>
      </c>
      <c r="O22" s="38" t="s">
        <v>239</v>
      </c>
      <c r="P22" s="38" t="s">
        <v>239</v>
      </c>
      <c r="Q22" s="155">
        <v>120</v>
      </c>
      <c r="R22" s="156">
        <v>40</v>
      </c>
      <c r="S22" s="156"/>
      <c r="T22" s="156"/>
      <c r="U22" s="156"/>
      <c r="V22" s="156">
        <v>80</v>
      </c>
      <c r="W22" s="156"/>
      <c r="X22" s="155">
        <f t="shared" si="1"/>
        <v>120</v>
      </c>
      <c r="Y22" s="601"/>
    </row>
    <row r="23" spans="1:25" s="3" customFormat="1" ht="64.5" customHeight="1">
      <c r="A23" s="359" t="s">
        <v>586</v>
      </c>
      <c r="B23" s="587" t="s">
        <v>457</v>
      </c>
      <c r="C23" s="359" t="s">
        <v>206</v>
      </c>
      <c r="D23" s="581" t="s">
        <v>209</v>
      </c>
      <c r="E23" s="529" t="s">
        <v>458</v>
      </c>
      <c r="F23" s="328" t="s">
        <v>462</v>
      </c>
      <c r="G23" s="327" t="s">
        <v>463</v>
      </c>
      <c r="H23" s="327" t="s">
        <v>466</v>
      </c>
      <c r="I23" s="329">
        <v>0</v>
      </c>
      <c r="J23" s="327" t="s">
        <v>467</v>
      </c>
      <c r="K23" s="534" t="s">
        <v>225</v>
      </c>
      <c r="L23" s="328" t="s">
        <v>440</v>
      </c>
      <c r="M23" s="38">
        <v>0.25</v>
      </c>
      <c r="N23" s="38">
        <v>0.5</v>
      </c>
      <c r="O23" s="38">
        <v>0.75</v>
      </c>
      <c r="P23" s="38">
        <v>1</v>
      </c>
      <c r="Q23" s="155">
        <v>16</v>
      </c>
      <c r="R23" s="156">
        <v>16</v>
      </c>
      <c r="S23" s="156"/>
      <c r="T23" s="156"/>
      <c r="U23" s="156"/>
      <c r="V23" s="156"/>
      <c r="W23" s="156"/>
      <c r="X23" s="155">
        <f t="shared" si="1"/>
        <v>16</v>
      </c>
      <c r="Y23" s="601" t="s">
        <v>428</v>
      </c>
    </row>
    <row r="24" spans="1:25" s="3" customFormat="1" ht="52.9" customHeight="1">
      <c r="A24" s="357"/>
      <c r="B24" s="381"/>
      <c r="C24" s="357"/>
      <c r="D24" s="582"/>
      <c r="E24" s="529"/>
      <c r="F24" s="184" t="s">
        <v>96</v>
      </c>
      <c r="G24" s="97" t="s">
        <v>883</v>
      </c>
      <c r="H24" s="97" t="s">
        <v>502</v>
      </c>
      <c r="I24" s="37">
        <v>0</v>
      </c>
      <c r="J24" s="97" t="s">
        <v>97</v>
      </c>
      <c r="K24" s="535"/>
      <c r="L24" s="100" t="s">
        <v>592</v>
      </c>
      <c r="M24" s="37">
        <v>1</v>
      </c>
      <c r="N24" s="37">
        <v>1</v>
      </c>
      <c r="O24" s="37">
        <v>1</v>
      </c>
      <c r="P24" s="37">
        <v>1</v>
      </c>
      <c r="Q24" s="155">
        <v>20</v>
      </c>
      <c r="R24" s="156">
        <v>20</v>
      </c>
      <c r="S24" s="156"/>
      <c r="T24" s="156"/>
      <c r="U24" s="156"/>
      <c r="V24" s="156"/>
      <c r="W24" s="156"/>
      <c r="X24" s="155">
        <f t="shared" si="1"/>
        <v>20</v>
      </c>
      <c r="Y24" s="601"/>
    </row>
    <row r="25" spans="1:25" s="3" customFormat="1" ht="36">
      <c r="A25" s="357"/>
      <c r="B25" s="381"/>
      <c r="C25" s="357"/>
      <c r="D25" s="571" t="s">
        <v>439</v>
      </c>
      <c r="E25" s="529"/>
      <c r="F25" s="555" t="s">
        <v>173</v>
      </c>
      <c r="G25" s="555" t="s">
        <v>172</v>
      </c>
      <c r="H25" s="554" t="s">
        <v>461</v>
      </c>
      <c r="I25" s="126" t="s">
        <v>175</v>
      </c>
      <c r="J25" s="330" t="s">
        <v>64</v>
      </c>
      <c r="K25" s="555" t="s">
        <v>214</v>
      </c>
      <c r="L25" s="183" t="s">
        <v>174</v>
      </c>
      <c r="M25" s="41">
        <v>0.78</v>
      </c>
      <c r="N25" s="41">
        <v>0.8</v>
      </c>
      <c r="O25" s="41">
        <v>0.75</v>
      </c>
      <c r="P25" s="41">
        <v>0.7</v>
      </c>
      <c r="Q25" s="153">
        <v>60</v>
      </c>
      <c r="R25" s="154">
        <v>60</v>
      </c>
      <c r="S25" s="154"/>
      <c r="T25" s="154"/>
      <c r="U25" s="154"/>
      <c r="V25" s="154"/>
      <c r="W25" s="154"/>
      <c r="X25" s="153">
        <f t="shared" si="1"/>
        <v>60</v>
      </c>
      <c r="Y25" s="601"/>
    </row>
    <row r="26" spans="1:25" s="293" customFormat="1" ht="60.75" customHeight="1">
      <c r="A26" s="357"/>
      <c r="B26" s="381"/>
      <c r="C26" s="357"/>
      <c r="D26" s="572"/>
      <c r="E26" s="529"/>
      <c r="F26" s="556"/>
      <c r="G26" s="556"/>
      <c r="H26" s="554"/>
      <c r="I26" s="126" t="s">
        <v>244</v>
      </c>
      <c r="J26" s="330" t="s">
        <v>66</v>
      </c>
      <c r="K26" s="556"/>
      <c r="L26" s="331" t="s">
        <v>448</v>
      </c>
      <c r="M26" s="16">
        <v>0.15</v>
      </c>
      <c r="N26" s="16">
        <v>0.15</v>
      </c>
      <c r="O26" s="16">
        <v>0.18</v>
      </c>
      <c r="P26" s="16">
        <v>0.2</v>
      </c>
      <c r="Q26" s="159">
        <v>50</v>
      </c>
      <c r="R26" s="202">
        <v>50</v>
      </c>
      <c r="S26" s="202"/>
      <c r="T26" s="202"/>
      <c r="U26" s="202"/>
      <c r="V26" s="202"/>
      <c r="W26" s="202"/>
      <c r="X26" s="159">
        <f t="shared" ref="X26:X35" si="2">SUM(R26:W26)</f>
        <v>50</v>
      </c>
      <c r="Y26" s="601"/>
    </row>
    <row r="27" spans="1:25" s="3" customFormat="1" ht="27" customHeight="1">
      <c r="A27" s="357"/>
      <c r="B27" s="381"/>
      <c r="C27" s="357"/>
      <c r="D27" s="572"/>
      <c r="E27" s="529"/>
      <c r="F27" s="556"/>
      <c r="G27" s="556"/>
      <c r="H27" s="554"/>
      <c r="I27" s="6">
        <v>63.7</v>
      </c>
      <c r="J27" s="330" t="s">
        <v>177</v>
      </c>
      <c r="K27" s="556"/>
      <c r="L27" s="568" t="s">
        <v>176</v>
      </c>
      <c r="M27" s="190">
        <v>65</v>
      </c>
      <c r="N27" s="190">
        <v>70</v>
      </c>
      <c r="O27" s="190">
        <v>70</v>
      </c>
      <c r="P27" s="190">
        <v>75</v>
      </c>
      <c r="Q27" s="526">
        <v>55</v>
      </c>
      <c r="R27" s="597">
        <f>Q27</f>
        <v>55</v>
      </c>
      <c r="S27" s="597"/>
      <c r="T27" s="597"/>
      <c r="U27" s="597"/>
      <c r="V27" s="597"/>
      <c r="W27" s="597"/>
      <c r="X27" s="526">
        <f t="shared" si="2"/>
        <v>55</v>
      </c>
      <c r="Y27" s="601"/>
    </row>
    <row r="28" spans="1:25" s="3" customFormat="1" ht="44.25" customHeight="1">
      <c r="A28" s="357"/>
      <c r="B28" s="381"/>
      <c r="C28" s="357"/>
      <c r="D28" s="572"/>
      <c r="E28" s="529"/>
      <c r="F28" s="556"/>
      <c r="G28" s="556"/>
      <c r="H28" s="554"/>
      <c r="I28" s="126" t="s">
        <v>249</v>
      </c>
      <c r="J28" s="330" t="s">
        <v>248</v>
      </c>
      <c r="K28" s="556"/>
      <c r="L28" s="569"/>
      <c r="M28" s="41">
        <v>1</v>
      </c>
      <c r="N28" s="41">
        <v>1</v>
      </c>
      <c r="O28" s="41">
        <v>1</v>
      </c>
      <c r="P28" s="41">
        <v>1</v>
      </c>
      <c r="Q28" s="527"/>
      <c r="R28" s="598"/>
      <c r="S28" s="598"/>
      <c r="T28" s="598"/>
      <c r="U28" s="598"/>
      <c r="V28" s="598"/>
      <c r="W28" s="598"/>
      <c r="X28" s="527"/>
      <c r="Y28" s="601"/>
    </row>
    <row r="29" spans="1:25" s="3" customFormat="1" ht="25.5">
      <c r="A29" s="357"/>
      <c r="B29" s="381"/>
      <c r="C29" s="357"/>
      <c r="D29" s="572"/>
      <c r="E29" s="529"/>
      <c r="F29" s="556"/>
      <c r="G29" s="556"/>
      <c r="H29" s="554"/>
      <c r="I29" s="305" t="s">
        <v>245</v>
      </c>
      <c r="J29" s="330" t="s">
        <v>246</v>
      </c>
      <c r="K29" s="556"/>
      <c r="L29" s="183" t="s">
        <v>178</v>
      </c>
      <c r="M29" s="41">
        <v>1</v>
      </c>
      <c r="N29" s="41">
        <v>1</v>
      </c>
      <c r="O29" s="41">
        <v>1</v>
      </c>
      <c r="P29" s="41">
        <v>1</v>
      </c>
      <c r="Q29" s="153">
        <v>40</v>
      </c>
      <c r="R29" s="154">
        <v>40</v>
      </c>
      <c r="S29" s="175"/>
      <c r="T29" s="175"/>
      <c r="U29" s="175"/>
      <c r="V29" s="175"/>
      <c r="W29" s="175"/>
      <c r="X29" s="153">
        <f t="shared" si="2"/>
        <v>40</v>
      </c>
      <c r="Y29" s="601"/>
    </row>
    <row r="30" spans="1:25" s="3" customFormat="1" ht="39" customHeight="1">
      <c r="A30" s="357"/>
      <c r="B30" s="381"/>
      <c r="C30" s="357"/>
      <c r="D30" s="572"/>
      <c r="E30" s="529"/>
      <c r="F30" s="556"/>
      <c r="G30" s="556"/>
      <c r="H30" s="554"/>
      <c r="I30" s="126" t="s">
        <v>242</v>
      </c>
      <c r="J30" s="332" t="s">
        <v>243</v>
      </c>
      <c r="K30" s="556"/>
      <c r="L30" s="568" t="s">
        <v>179</v>
      </c>
      <c r="M30" s="41">
        <v>0.03</v>
      </c>
      <c r="N30" s="41">
        <v>0.05</v>
      </c>
      <c r="O30" s="41">
        <v>0.08</v>
      </c>
      <c r="P30" s="41">
        <v>0.1</v>
      </c>
      <c r="Q30" s="153">
        <v>0</v>
      </c>
      <c r="R30" s="154">
        <v>0</v>
      </c>
      <c r="S30" s="154"/>
      <c r="T30" s="154"/>
      <c r="U30" s="154"/>
      <c r="V30" s="154"/>
      <c r="W30" s="154"/>
      <c r="X30" s="153">
        <f t="shared" si="2"/>
        <v>0</v>
      </c>
      <c r="Y30" s="601"/>
    </row>
    <row r="31" spans="1:25" s="3" customFormat="1" ht="29.25" customHeight="1">
      <c r="A31" s="357"/>
      <c r="B31" s="381"/>
      <c r="C31" s="357"/>
      <c r="D31" s="572"/>
      <c r="E31" s="529"/>
      <c r="F31" s="556"/>
      <c r="G31" s="556"/>
      <c r="H31" s="554"/>
      <c r="I31" s="6">
        <v>0</v>
      </c>
      <c r="J31" s="330" t="s">
        <v>65</v>
      </c>
      <c r="K31" s="556"/>
      <c r="L31" s="569"/>
      <c r="M31" s="41">
        <v>1</v>
      </c>
      <c r="N31" s="41">
        <v>1</v>
      </c>
      <c r="O31" s="41">
        <v>1</v>
      </c>
      <c r="P31" s="41">
        <v>1</v>
      </c>
      <c r="Q31" s="153">
        <v>0</v>
      </c>
      <c r="R31" s="154">
        <v>0</v>
      </c>
      <c r="S31" s="154"/>
      <c r="T31" s="154"/>
      <c r="U31" s="154"/>
      <c r="V31" s="154"/>
      <c r="W31" s="154"/>
      <c r="X31" s="153"/>
      <c r="Y31" s="601"/>
    </row>
    <row r="32" spans="1:25" s="3" customFormat="1" ht="60" customHeight="1">
      <c r="A32" s="357"/>
      <c r="B32" s="381"/>
      <c r="C32" s="357"/>
      <c r="D32" s="572"/>
      <c r="E32" s="529"/>
      <c r="F32" s="583" t="s">
        <v>181</v>
      </c>
      <c r="G32" s="555" t="s">
        <v>180</v>
      </c>
      <c r="H32" s="554" t="s">
        <v>460</v>
      </c>
      <c r="I32" s="6">
        <v>0</v>
      </c>
      <c r="J32" s="330" t="s">
        <v>67</v>
      </c>
      <c r="K32" s="556"/>
      <c r="L32" s="568" t="s">
        <v>182</v>
      </c>
      <c r="M32" s="6">
        <v>2</v>
      </c>
      <c r="N32" s="6">
        <v>2</v>
      </c>
      <c r="O32" s="6">
        <v>2</v>
      </c>
      <c r="P32" s="6">
        <v>2</v>
      </c>
      <c r="Q32" s="153">
        <v>4</v>
      </c>
      <c r="R32" s="154">
        <v>4</v>
      </c>
      <c r="S32" s="154"/>
      <c r="T32" s="154"/>
      <c r="U32" s="154"/>
      <c r="V32" s="154"/>
      <c r="W32" s="154"/>
      <c r="X32" s="153">
        <f t="shared" si="2"/>
        <v>4</v>
      </c>
      <c r="Y32" s="601"/>
    </row>
    <row r="33" spans="1:25" s="3" customFormat="1" ht="47.25" customHeight="1">
      <c r="A33" s="357"/>
      <c r="B33" s="381"/>
      <c r="C33" s="357"/>
      <c r="D33" s="572"/>
      <c r="E33" s="529"/>
      <c r="F33" s="584"/>
      <c r="G33" s="556"/>
      <c r="H33" s="560"/>
      <c r="I33" s="126" t="s">
        <v>183</v>
      </c>
      <c r="J33" s="330" t="s">
        <v>68</v>
      </c>
      <c r="K33" s="556"/>
      <c r="L33" s="599"/>
      <c r="M33" s="190">
        <v>65</v>
      </c>
      <c r="N33" s="190">
        <v>70</v>
      </c>
      <c r="O33" s="190">
        <v>75</v>
      </c>
      <c r="P33" s="190">
        <v>80</v>
      </c>
      <c r="Q33" s="153">
        <v>0</v>
      </c>
      <c r="R33" s="154">
        <v>0</v>
      </c>
      <c r="S33" s="154"/>
      <c r="T33" s="154"/>
      <c r="U33" s="154"/>
      <c r="V33" s="154"/>
      <c r="W33" s="154"/>
      <c r="X33" s="153">
        <f t="shared" si="2"/>
        <v>0</v>
      </c>
      <c r="Y33" s="601"/>
    </row>
    <row r="34" spans="1:25" s="3" customFormat="1" ht="51.75" customHeight="1">
      <c r="A34" s="357"/>
      <c r="B34" s="381"/>
      <c r="C34" s="357"/>
      <c r="D34" s="572"/>
      <c r="E34" s="529"/>
      <c r="F34" s="584"/>
      <c r="G34" s="556"/>
      <c r="H34" s="560"/>
      <c r="I34" s="126" t="s">
        <v>184</v>
      </c>
      <c r="J34" s="330" t="s">
        <v>311</v>
      </c>
      <c r="K34" s="556"/>
      <c r="L34" s="599"/>
      <c r="M34" s="190">
        <v>35</v>
      </c>
      <c r="N34" s="190">
        <v>65</v>
      </c>
      <c r="O34" s="190">
        <v>75</v>
      </c>
      <c r="P34" s="190">
        <v>85</v>
      </c>
      <c r="Q34" s="153">
        <v>30</v>
      </c>
      <c r="R34" s="154">
        <v>30</v>
      </c>
      <c r="S34" s="154"/>
      <c r="T34" s="154"/>
      <c r="U34" s="154"/>
      <c r="V34" s="154"/>
      <c r="W34" s="154"/>
      <c r="X34" s="153">
        <f t="shared" si="2"/>
        <v>30</v>
      </c>
      <c r="Y34" s="601"/>
    </row>
    <row r="35" spans="1:25" s="3" customFormat="1" ht="106.5" customHeight="1">
      <c r="A35" s="357"/>
      <c r="B35" s="381"/>
      <c r="C35" s="357"/>
      <c r="D35" s="573"/>
      <c r="E35" s="530"/>
      <c r="F35" s="584"/>
      <c r="G35" s="570"/>
      <c r="H35" s="560"/>
      <c r="I35" s="6">
        <v>0</v>
      </c>
      <c r="J35" s="330" t="s">
        <v>247</v>
      </c>
      <c r="K35" s="570"/>
      <c r="L35" s="569"/>
      <c r="M35" s="6">
        <v>1</v>
      </c>
      <c r="N35" s="6">
        <v>1</v>
      </c>
      <c r="O35" s="6">
        <v>1</v>
      </c>
      <c r="P35" s="6">
        <v>1</v>
      </c>
      <c r="Q35" s="153">
        <v>8</v>
      </c>
      <c r="R35" s="154">
        <v>8</v>
      </c>
      <c r="S35" s="154"/>
      <c r="T35" s="154"/>
      <c r="U35" s="154"/>
      <c r="V35" s="154"/>
      <c r="W35" s="154"/>
      <c r="X35" s="153">
        <f t="shared" si="2"/>
        <v>8</v>
      </c>
      <c r="Y35" s="602"/>
    </row>
    <row r="36" spans="1:25" s="3" customFormat="1" ht="89.25">
      <c r="A36" s="359" t="s">
        <v>586</v>
      </c>
      <c r="B36" s="587" t="s">
        <v>457</v>
      </c>
      <c r="C36" s="359" t="s">
        <v>206</v>
      </c>
      <c r="D36" s="574" t="s">
        <v>124</v>
      </c>
      <c r="E36" s="322"/>
      <c r="F36" s="303" t="s">
        <v>125</v>
      </c>
      <c r="G36" s="576" t="s">
        <v>885</v>
      </c>
      <c r="H36" s="304" t="s">
        <v>74</v>
      </c>
      <c r="I36" s="324">
        <v>0</v>
      </c>
      <c r="J36" s="325" t="s">
        <v>329</v>
      </c>
      <c r="K36" s="576" t="s">
        <v>213</v>
      </c>
      <c r="L36" s="326" t="s">
        <v>116</v>
      </c>
      <c r="M36" s="132">
        <v>2</v>
      </c>
      <c r="N36" s="132">
        <v>2</v>
      </c>
      <c r="O36" s="132">
        <v>2</v>
      </c>
      <c r="P36" s="132">
        <v>2</v>
      </c>
      <c r="Q36" s="178">
        <v>15</v>
      </c>
      <c r="R36" s="174">
        <v>15</v>
      </c>
      <c r="S36" s="174"/>
      <c r="T36" s="174"/>
      <c r="U36" s="174"/>
      <c r="V36" s="174"/>
      <c r="W36" s="174"/>
      <c r="X36" s="178">
        <f>SUM(R36:W36)</f>
        <v>15</v>
      </c>
      <c r="Y36" s="541" t="s">
        <v>429</v>
      </c>
    </row>
    <row r="37" spans="1:25" s="3" customFormat="1" ht="25.5">
      <c r="A37" s="357"/>
      <c r="B37" s="381"/>
      <c r="C37" s="357"/>
      <c r="D37" s="574"/>
      <c r="E37" s="322"/>
      <c r="F37" s="553" t="s">
        <v>126</v>
      </c>
      <c r="G37" s="576"/>
      <c r="H37" s="578" t="s">
        <v>75</v>
      </c>
      <c r="I37" s="133">
        <v>0</v>
      </c>
      <c r="J37" s="96" t="s">
        <v>69</v>
      </c>
      <c r="K37" s="576"/>
      <c r="L37" s="95" t="s">
        <v>337</v>
      </c>
      <c r="M37" s="133">
        <v>1</v>
      </c>
      <c r="N37" s="133">
        <v>1</v>
      </c>
      <c r="O37" s="133">
        <v>1</v>
      </c>
      <c r="P37" s="133">
        <v>1</v>
      </c>
      <c r="Q37" s="178"/>
      <c r="R37" s="174"/>
      <c r="S37" s="174"/>
      <c r="T37" s="174"/>
      <c r="U37" s="174"/>
      <c r="V37" s="174"/>
      <c r="W37" s="174"/>
      <c r="X37" s="178">
        <f t="shared" ref="X37:X42" si="3">SUM(R37:W37)</f>
        <v>0</v>
      </c>
      <c r="Y37" s="542"/>
    </row>
    <row r="38" spans="1:25" s="3" customFormat="1" ht="25.5">
      <c r="A38" s="357"/>
      <c r="B38" s="381"/>
      <c r="C38" s="357"/>
      <c r="D38" s="574"/>
      <c r="E38" s="322"/>
      <c r="F38" s="553"/>
      <c r="G38" s="576"/>
      <c r="H38" s="579"/>
      <c r="I38" s="133">
        <v>0.5</v>
      </c>
      <c r="J38" s="96" t="s">
        <v>70</v>
      </c>
      <c r="K38" s="576"/>
      <c r="L38" s="95" t="s">
        <v>117</v>
      </c>
      <c r="M38" s="133">
        <v>1</v>
      </c>
      <c r="N38" s="133">
        <v>1</v>
      </c>
      <c r="O38" s="133">
        <v>1</v>
      </c>
      <c r="P38" s="133">
        <v>1</v>
      </c>
      <c r="Q38" s="178">
        <v>5</v>
      </c>
      <c r="R38" s="174">
        <v>5</v>
      </c>
      <c r="S38" s="174"/>
      <c r="T38" s="174"/>
      <c r="U38" s="174"/>
      <c r="V38" s="174"/>
      <c r="W38" s="174"/>
      <c r="X38" s="178">
        <f t="shared" si="3"/>
        <v>5</v>
      </c>
      <c r="Y38" s="542"/>
    </row>
    <row r="39" spans="1:25" s="3" customFormat="1" ht="25.5">
      <c r="A39" s="357"/>
      <c r="B39" s="381"/>
      <c r="C39" s="357"/>
      <c r="D39" s="574"/>
      <c r="E39" s="322"/>
      <c r="F39" s="553"/>
      <c r="G39" s="576"/>
      <c r="H39" s="579"/>
      <c r="I39" s="133">
        <v>0.1</v>
      </c>
      <c r="J39" s="96" t="s">
        <v>71</v>
      </c>
      <c r="K39" s="576"/>
      <c r="L39" s="95" t="s">
        <v>118</v>
      </c>
      <c r="M39" s="133">
        <v>0.5</v>
      </c>
      <c r="N39" s="133">
        <v>1</v>
      </c>
      <c r="O39" s="133">
        <v>1</v>
      </c>
      <c r="P39" s="133">
        <v>1</v>
      </c>
      <c r="Q39" s="178">
        <v>40</v>
      </c>
      <c r="R39" s="174">
        <v>40</v>
      </c>
      <c r="S39" s="174"/>
      <c r="T39" s="174"/>
      <c r="U39" s="174"/>
      <c r="V39" s="174"/>
      <c r="W39" s="174"/>
      <c r="X39" s="178">
        <f t="shared" si="3"/>
        <v>40</v>
      </c>
      <c r="Y39" s="542"/>
    </row>
    <row r="40" spans="1:25" s="3" customFormat="1" ht="78" customHeight="1">
      <c r="A40" s="357"/>
      <c r="B40" s="381"/>
      <c r="C40" s="357"/>
      <c r="D40" s="574"/>
      <c r="E40" s="322"/>
      <c r="F40" s="553"/>
      <c r="G40" s="576"/>
      <c r="H40" s="579"/>
      <c r="I40" s="135" t="s">
        <v>123</v>
      </c>
      <c r="J40" s="96" t="s">
        <v>72</v>
      </c>
      <c r="K40" s="576"/>
      <c r="L40" s="95" t="s">
        <v>119</v>
      </c>
      <c r="M40" s="133">
        <v>0.5</v>
      </c>
      <c r="N40" s="133">
        <v>1</v>
      </c>
      <c r="O40" s="133">
        <v>1</v>
      </c>
      <c r="P40" s="133">
        <v>1</v>
      </c>
      <c r="Q40" s="178">
        <v>20</v>
      </c>
      <c r="R40" s="174">
        <v>20</v>
      </c>
      <c r="S40" s="174"/>
      <c r="T40" s="174"/>
      <c r="U40" s="174"/>
      <c r="V40" s="174"/>
      <c r="W40" s="174"/>
      <c r="X40" s="178">
        <f t="shared" si="3"/>
        <v>20</v>
      </c>
      <c r="Y40" s="542"/>
    </row>
    <row r="41" spans="1:25" s="3" customFormat="1" ht="48.75" customHeight="1">
      <c r="A41" s="357"/>
      <c r="B41" s="381"/>
      <c r="C41" s="357"/>
      <c r="D41" s="574"/>
      <c r="E41" s="322"/>
      <c r="F41" s="553"/>
      <c r="G41" s="576"/>
      <c r="H41" s="579"/>
      <c r="I41" s="132">
        <v>0</v>
      </c>
      <c r="J41" s="96" t="s">
        <v>122</v>
      </c>
      <c r="K41" s="576"/>
      <c r="L41" s="95" t="s">
        <v>120</v>
      </c>
      <c r="M41" s="132">
        <v>1</v>
      </c>
      <c r="N41" s="132">
        <v>1</v>
      </c>
      <c r="O41" s="132">
        <v>1</v>
      </c>
      <c r="P41" s="132">
        <v>1</v>
      </c>
      <c r="Q41" s="178">
        <v>10</v>
      </c>
      <c r="R41" s="174">
        <v>10</v>
      </c>
      <c r="S41" s="174"/>
      <c r="T41" s="174"/>
      <c r="U41" s="174"/>
      <c r="V41" s="174"/>
      <c r="W41" s="174"/>
      <c r="X41" s="178">
        <f t="shared" si="3"/>
        <v>10</v>
      </c>
      <c r="Y41" s="542"/>
    </row>
    <row r="42" spans="1:25" s="3" customFormat="1" ht="39.75" customHeight="1">
      <c r="A42" s="357"/>
      <c r="B42" s="381"/>
      <c r="C42" s="357"/>
      <c r="D42" s="575"/>
      <c r="E42" s="322"/>
      <c r="F42" s="553"/>
      <c r="G42" s="577"/>
      <c r="H42" s="579"/>
      <c r="I42" s="132">
        <v>0</v>
      </c>
      <c r="J42" s="96" t="s">
        <v>73</v>
      </c>
      <c r="K42" s="577"/>
      <c r="L42" s="95" t="s">
        <v>121</v>
      </c>
      <c r="M42" s="132">
        <v>0</v>
      </c>
      <c r="N42" s="133">
        <v>1</v>
      </c>
      <c r="O42" s="133">
        <v>1</v>
      </c>
      <c r="P42" s="133">
        <v>1</v>
      </c>
      <c r="Q42" s="178">
        <v>40</v>
      </c>
      <c r="R42" s="174">
        <v>40</v>
      </c>
      <c r="S42" s="174"/>
      <c r="T42" s="174"/>
      <c r="U42" s="174"/>
      <c r="V42" s="174"/>
      <c r="W42" s="174"/>
      <c r="X42" s="178">
        <f t="shared" si="3"/>
        <v>40</v>
      </c>
      <c r="Y42" s="543"/>
    </row>
    <row r="43" spans="1:25" ht="129" customHeight="1">
      <c r="A43" s="357"/>
      <c r="B43" s="381"/>
      <c r="C43" s="357"/>
      <c r="D43" s="183" t="s">
        <v>210</v>
      </c>
      <c r="E43" s="323"/>
      <c r="F43" s="183" t="s">
        <v>211</v>
      </c>
      <c r="G43" s="83" t="s">
        <v>886</v>
      </c>
      <c r="H43" s="83"/>
      <c r="I43" s="83" t="s">
        <v>496</v>
      </c>
      <c r="J43" s="83" t="s">
        <v>208</v>
      </c>
      <c r="K43" s="83" t="s">
        <v>212</v>
      </c>
      <c r="L43" s="183" t="s">
        <v>207</v>
      </c>
      <c r="M43" s="134">
        <v>0.4</v>
      </c>
      <c r="N43" s="134">
        <v>0.7</v>
      </c>
      <c r="O43" s="134">
        <v>1</v>
      </c>
      <c r="P43" s="134">
        <v>1</v>
      </c>
      <c r="Q43" s="179">
        <v>200</v>
      </c>
      <c r="R43" s="176">
        <v>50</v>
      </c>
      <c r="S43" s="176"/>
      <c r="T43" s="176"/>
      <c r="U43" s="176"/>
      <c r="V43" s="176">
        <v>150</v>
      </c>
      <c r="W43" s="176"/>
      <c r="X43" s="179">
        <f>SUM(R43:W43)</f>
        <v>200</v>
      </c>
      <c r="Y43" s="273" t="s">
        <v>295</v>
      </c>
    </row>
    <row r="44" spans="1:25">
      <c r="C44" s="129"/>
      <c r="I44" s="39"/>
      <c r="J44" s="39"/>
      <c r="L44" s="1"/>
      <c r="M44" s="39"/>
      <c r="N44" s="39"/>
      <c r="O44" s="39"/>
      <c r="P44" s="39"/>
      <c r="Q44" s="180">
        <f t="shared" ref="Q44:X44" si="4">SUM(Q3:Q43)</f>
        <v>2509</v>
      </c>
      <c r="R44" s="180">
        <f t="shared" si="4"/>
        <v>1458</v>
      </c>
      <c r="S44" s="180">
        <f t="shared" si="4"/>
        <v>0</v>
      </c>
      <c r="T44" s="180">
        <f t="shared" si="4"/>
        <v>710</v>
      </c>
      <c r="U44" s="180">
        <f t="shared" si="4"/>
        <v>0</v>
      </c>
      <c r="V44" s="180">
        <f t="shared" si="4"/>
        <v>341</v>
      </c>
      <c r="W44" s="180">
        <f t="shared" si="4"/>
        <v>0</v>
      </c>
      <c r="X44" s="180">
        <f t="shared" si="4"/>
        <v>2509</v>
      </c>
      <c r="Y44" s="188"/>
    </row>
  </sheetData>
  <mergeCells count="89">
    <mergeCell ref="Y20:Y22"/>
    <mergeCell ref="Y23:Y35"/>
    <mergeCell ref="A36:A43"/>
    <mergeCell ref="B36:B43"/>
    <mergeCell ref="C20:C22"/>
    <mergeCell ref="C23:C35"/>
    <mergeCell ref="C36:C43"/>
    <mergeCell ref="T27:T28"/>
    <mergeCell ref="U27:U28"/>
    <mergeCell ref="V27:V28"/>
    <mergeCell ref="A3:A14"/>
    <mergeCell ref="B3:B14"/>
    <mergeCell ref="A15:A22"/>
    <mergeCell ref="B15:B22"/>
    <mergeCell ref="W27:W28"/>
    <mergeCell ref="L32:L35"/>
    <mergeCell ref="L30:L31"/>
    <mergeCell ref="R27:R28"/>
    <mergeCell ref="S27:S28"/>
    <mergeCell ref="Q27:Q28"/>
    <mergeCell ref="A23:A35"/>
    <mergeCell ref="B23:B35"/>
    <mergeCell ref="N16:N17"/>
    <mergeCell ref="F11:F14"/>
    <mergeCell ref="H11:H14"/>
    <mergeCell ref="F25:F31"/>
    <mergeCell ref="H20:H21"/>
    <mergeCell ref="F20:F21"/>
    <mergeCell ref="G11:G14"/>
    <mergeCell ref="G15:G18"/>
    <mergeCell ref="G32:G35"/>
    <mergeCell ref="C15:C19"/>
    <mergeCell ref="D15:D19"/>
    <mergeCell ref="E15:E19"/>
    <mergeCell ref="D4:D10"/>
    <mergeCell ref="C4:C10"/>
    <mergeCell ref="E4:E10"/>
    <mergeCell ref="C11:C14"/>
    <mergeCell ref="E11:E14"/>
    <mergeCell ref="D11:D14"/>
    <mergeCell ref="K25:K35"/>
    <mergeCell ref="D25:D35"/>
    <mergeCell ref="D36:D42"/>
    <mergeCell ref="Q16:Q17"/>
    <mergeCell ref="K36:K42"/>
    <mergeCell ref="H37:H42"/>
    <mergeCell ref="G36:G42"/>
    <mergeCell ref="D20:D22"/>
    <mergeCell ref="D23:D24"/>
    <mergeCell ref="F32:F35"/>
    <mergeCell ref="H4:H6"/>
    <mergeCell ref="I16:I17"/>
    <mergeCell ref="M16:M17"/>
    <mergeCell ref="K11:K14"/>
    <mergeCell ref="K15:K19"/>
    <mergeCell ref="P16:P17"/>
    <mergeCell ref="L16:L17"/>
    <mergeCell ref="J16:J17"/>
    <mergeCell ref="O16:O17"/>
    <mergeCell ref="F4:F6"/>
    <mergeCell ref="F7:F10"/>
    <mergeCell ref="F37:F42"/>
    <mergeCell ref="H25:H31"/>
    <mergeCell ref="G25:G31"/>
    <mergeCell ref="F15:F18"/>
    <mergeCell ref="H7:H10"/>
    <mergeCell ref="G20:G21"/>
    <mergeCell ref="H32:H35"/>
    <mergeCell ref="G4:G10"/>
    <mergeCell ref="R1:X1"/>
    <mergeCell ref="K4:K10"/>
    <mergeCell ref="I1:J1"/>
    <mergeCell ref="Y36:Y42"/>
    <mergeCell ref="Y4:Y10"/>
    <mergeCell ref="Y11:Y14"/>
    <mergeCell ref="Y15:Y19"/>
    <mergeCell ref="X16:X17"/>
    <mergeCell ref="R16:R17"/>
    <mergeCell ref="S16:S17"/>
    <mergeCell ref="X27:X28"/>
    <mergeCell ref="E20:E22"/>
    <mergeCell ref="E23:E35"/>
    <mergeCell ref="K20:K22"/>
    <mergeCell ref="K23:K24"/>
    <mergeCell ref="V16:V17"/>
    <mergeCell ref="W16:W17"/>
    <mergeCell ref="T16:T17"/>
    <mergeCell ref="U16:U17"/>
    <mergeCell ref="L27:L28"/>
  </mergeCells>
  <phoneticPr fontId="0" type="noConversion"/>
  <pageMargins left="0.15748031496063" right="0.118110236220472" top="0.56999999999999995" bottom="0.55000000000000004" header="0.31496062992126" footer="0.28999999999999998"/>
  <pageSetup scale="75" orientation="landscape" horizontalDpi="90" verticalDpi="90" r:id="rId1"/>
  <headerFooter>
    <oddFooter>&amp;CMATRIZ ESTRATEGICA POLITICO INSTITUCIONAL&amp;RPágina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view="pageBreakPreview" zoomScale="80" zoomScaleSheetLayoutView="80" workbookViewId="0">
      <pane ySplit="4" topLeftCell="A5" activePane="bottomLeft" state="frozen"/>
      <selection pane="bottomLeft" activeCell="C14" sqref="C14"/>
    </sheetView>
  </sheetViews>
  <sheetFormatPr baseColWidth="10" defaultRowHeight="12.75"/>
  <cols>
    <col min="1" max="1" width="10.7109375" style="1" bestFit="1" customWidth="1"/>
    <col min="2" max="2" width="33.140625" style="225" customWidth="1"/>
    <col min="3" max="3" width="10.140625" style="144" customWidth="1"/>
    <col min="4" max="4" width="10.5703125" style="139" bestFit="1" customWidth="1"/>
    <col min="5" max="5" width="8.7109375" style="139" customWidth="1"/>
    <col min="6" max="6" width="8.5703125" style="139" bestFit="1" customWidth="1"/>
    <col min="7" max="7" width="9.85546875" style="139" customWidth="1"/>
    <col min="8" max="8" width="7.85546875" style="139" bestFit="1" customWidth="1"/>
    <col min="9" max="9" width="7.42578125" style="139" customWidth="1"/>
    <col min="10" max="10" width="9.28515625" style="144" bestFit="1" customWidth="1"/>
    <col min="11" max="11" width="12.42578125" style="139" bestFit="1" customWidth="1"/>
    <col min="12" max="12" width="11" style="255" bestFit="1" customWidth="1"/>
    <col min="13" max="13" width="7.85546875" style="219" bestFit="1" customWidth="1"/>
    <col min="14" max="16384" width="11.42578125" style="1"/>
  </cols>
  <sheetData>
    <row r="1" spans="1:14" ht="18.75">
      <c r="A1" s="611" t="s">
        <v>478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3" spans="1:14" ht="15.75">
      <c r="B3" s="291"/>
      <c r="C3" s="142"/>
      <c r="D3" s="343" t="s">
        <v>220</v>
      </c>
      <c r="E3" s="344"/>
      <c r="F3" s="345"/>
      <c r="G3" s="345"/>
      <c r="H3" s="345"/>
      <c r="I3" s="345"/>
      <c r="J3" s="346"/>
      <c r="K3" s="137"/>
    </row>
    <row r="4" spans="1:14" s="69" customFormat="1" ht="40.5" customHeight="1">
      <c r="A4" s="69" t="s">
        <v>419</v>
      </c>
      <c r="B4" s="266" t="s">
        <v>421</v>
      </c>
      <c r="C4" s="226" t="s">
        <v>215</v>
      </c>
      <c r="D4" s="226" t="s">
        <v>233</v>
      </c>
      <c r="E4" s="226" t="s">
        <v>282</v>
      </c>
      <c r="F4" s="226" t="s">
        <v>234</v>
      </c>
      <c r="G4" s="226" t="s">
        <v>235</v>
      </c>
      <c r="H4" s="226" t="s">
        <v>216</v>
      </c>
      <c r="I4" s="226" t="s">
        <v>217</v>
      </c>
      <c r="J4" s="226" t="s">
        <v>218</v>
      </c>
      <c r="K4" s="226" t="s">
        <v>219</v>
      </c>
      <c r="L4" s="226" t="s">
        <v>395</v>
      </c>
      <c r="M4" s="226" t="s">
        <v>398</v>
      </c>
    </row>
    <row r="5" spans="1:14" s="3" customFormat="1" ht="38.25" customHeight="1">
      <c r="A5" s="609" t="s">
        <v>328</v>
      </c>
      <c r="B5" s="265" t="str">
        <f>AMBIENTAL!D3</f>
        <v>Gestión Ambiental Integrada y Compartida</v>
      </c>
      <c r="C5" s="198">
        <f>AMBIENTAL!Q3+AMBIENTAL!Q4+AMBIENTAL!Q5+AMBIENTAL!Q6+AMBIENTAL!Q7+AMBIENTAL!Q8+AMBIENTAL!Q9+AMBIENTAL!Q10</f>
        <v>1695</v>
      </c>
      <c r="D5" s="201">
        <f>AMBIENTAL!R3+AMBIENTAL!R4+AMBIENTAL!R5+AMBIENTAL!R6+AMBIENTAL!R7+AMBIENTAL!R8+AMBIENTAL!R9+AMBIENTAL!R10</f>
        <v>418</v>
      </c>
      <c r="E5" s="201">
        <f>AMBIENTAL!S3+AMBIENTAL!S4+AMBIENTAL!S5+AMBIENTAL!S6+AMBIENTAL!S7+AMBIENTAL!S8+AMBIENTAL!S9+AMBIENTAL!S10</f>
        <v>0</v>
      </c>
      <c r="F5" s="201">
        <f>AMBIENTAL!T3+AMBIENTAL!T4+AMBIENTAL!T5+AMBIENTAL!T6+AMBIENTAL!T7+AMBIENTAL!T8+AMBIENTAL!T9+AMBIENTAL!T10</f>
        <v>750</v>
      </c>
      <c r="G5" s="201">
        <f>AMBIENTAL!U3+AMBIENTAL!U4+AMBIENTAL!U5+AMBIENTAL!U6+AMBIENTAL!U7+AMBIENTAL!U8+AMBIENTAL!U9+AMBIENTAL!U10</f>
        <v>527</v>
      </c>
      <c r="H5" s="201">
        <f>AMBIENTAL!V3+AMBIENTAL!V4+AMBIENTAL!V5+AMBIENTAL!V6+AMBIENTAL!V7+AMBIENTAL!V8+AMBIENTAL!V9+AMBIENTAL!V10</f>
        <v>0</v>
      </c>
      <c r="I5" s="201">
        <f>AMBIENTAL!W3+AMBIENTAL!W4+AMBIENTAL!W5+AMBIENTAL!W6+AMBIENTAL!W7+AMBIENTAL!W8+AMBIENTAL!W9+AMBIENTAL!W10</f>
        <v>0</v>
      </c>
      <c r="J5" s="198">
        <f t="shared" ref="J5:J14" si="0">SUM(D5:I5)</f>
        <v>1695</v>
      </c>
      <c r="K5" s="612" t="s">
        <v>281</v>
      </c>
      <c r="L5" s="201">
        <f>+Pto!G52/1000000</f>
        <v>418.36270000000002</v>
      </c>
      <c r="M5" s="201">
        <f>+L5-D5</f>
        <v>0.36270000000001801</v>
      </c>
    </row>
    <row r="6" spans="1:14" s="3" customFormat="1" ht="38.25" customHeight="1">
      <c r="A6" s="610"/>
      <c r="B6" s="264" t="str">
        <f>AMBIENTAL!D11</f>
        <v>Gestión del riesgo</v>
      </c>
      <c r="C6" s="198">
        <f>+AMBIENTAL!Q11+AMBIENTAL!Q12+AMBIENTAL!Q13</f>
        <v>680</v>
      </c>
      <c r="D6" s="201">
        <f>+AMBIENTAL!R11+AMBIENTAL!R12+AMBIENTAL!R13</f>
        <v>335</v>
      </c>
      <c r="E6" s="201">
        <f>+AMBIENTAL!S11+AMBIENTAL!S12+AMBIENTAL!S13</f>
        <v>225</v>
      </c>
      <c r="F6" s="201">
        <f>+AMBIENTAL!T11+AMBIENTAL!T12+AMBIENTAL!T13</f>
        <v>70</v>
      </c>
      <c r="G6" s="201">
        <f>+AMBIENTAL!U11+AMBIENTAL!U12+AMBIENTAL!U13</f>
        <v>50</v>
      </c>
      <c r="H6" s="201">
        <f>+AMBIENTAL!V11+AMBIENTAL!V12+AMBIENTAL!V13</f>
        <v>0</v>
      </c>
      <c r="I6" s="201">
        <f>+AMBIENTAL!W11+AMBIENTAL!W12+AMBIENTAL!W13</f>
        <v>0</v>
      </c>
      <c r="J6" s="198">
        <f t="shared" si="0"/>
        <v>680</v>
      </c>
      <c r="K6" s="613"/>
      <c r="L6" s="201">
        <f>+Pto!G55/1000000</f>
        <v>334.84495419900003</v>
      </c>
      <c r="M6" s="201">
        <f t="shared" ref="M6:M23" si="1">+L6-D6</f>
        <v>-0.15504580099997156</v>
      </c>
      <c r="N6" s="260"/>
    </row>
    <row r="7" spans="1:14" s="3" customFormat="1" ht="38.25" customHeight="1">
      <c r="A7" s="605" t="s">
        <v>327</v>
      </c>
      <c r="B7" s="257" t="str">
        <f>'CONSTRUIDA URBANO REGIONAL'!C3</f>
        <v>AGUA POTABLE Y SANEAMIENTO BASICO</v>
      </c>
      <c r="C7" s="222">
        <f>SUM('CONSTRUIDA URBANO REGIONAL'!Q3:Q12)</f>
        <v>7826</v>
      </c>
      <c r="D7" s="267">
        <f>SUM('CONSTRUIDA URBANO REGIONAL'!R3:R12)</f>
        <v>3080</v>
      </c>
      <c r="E7" s="267">
        <f>SUM('CONSTRUIDA URBANO REGIONAL'!S3:S12)</f>
        <v>0</v>
      </c>
      <c r="F7" s="267">
        <f>SUM('CONSTRUIDA URBANO REGIONAL'!T3:T12)</f>
        <v>1690</v>
      </c>
      <c r="G7" s="267">
        <f>SUM('CONSTRUIDA URBANO REGIONAL'!U3:U12)</f>
        <v>0</v>
      </c>
      <c r="H7" s="267">
        <f>SUM('CONSTRUIDA URBANO REGIONAL'!V3:V12)</f>
        <v>3056</v>
      </c>
      <c r="I7" s="267">
        <f>SUM('CONSTRUIDA URBANO REGIONAL'!W3:W12)</f>
        <v>0</v>
      </c>
      <c r="J7" s="222">
        <f t="shared" si="0"/>
        <v>7826</v>
      </c>
      <c r="K7" s="614" t="s">
        <v>408</v>
      </c>
      <c r="L7" s="267">
        <f>+Pto!G28/1000000</f>
        <v>3079.760281542</v>
      </c>
      <c r="M7" s="267">
        <f>+L7-D7</f>
        <v>-0.23971845799997027</v>
      </c>
    </row>
    <row r="8" spans="1:14" s="3" customFormat="1" ht="38.25" customHeight="1">
      <c r="A8" s="605"/>
      <c r="B8" s="257" t="str">
        <f>'CONSTRUIDA URBANO REGIONAL'!C13</f>
        <v>VÍAS</v>
      </c>
      <c r="C8" s="222">
        <f>SUM('CONSTRUIDA URBANO REGIONAL'!Q13:Q18)</f>
        <v>4355</v>
      </c>
      <c r="D8" s="267">
        <f>SUM('CONSTRUIDA URBANO REGIONAL'!R13:R18)</f>
        <v>1171</v>
      </c>
      <c r="E8" s="267">
        <f>SUM('CONSTRUIDA URBANO REGIONAL'!S13:S18)</f>
        <v>425</v>
      </c>
      <c r="F8" s="267">
        <f>SUM('CONSTRUIDA URBANO REGIONAL'!T13:T18)</f>
        <v>480</v>
      </c>
      <c r="G8" s="267">
        <f>SUM('CONSTRUIDA URBANO REGIONAL'!U13:U18)</f>
        <v>320</v>
      </c>
      <c r="H8" s="267">
        <f>SUM('CONSTRUIDA URBANO REGIONAL'!V13:V18)</f>
        <v>1600</v>
      </c>
      <c r="I8" s="267">
        <f>SUM('CONSTRUIDA URBANO REGIONAL'!W13:W18)</f>
        <v>359</v>
      </c>
      <c r="J8" s="222">
        <f t="shared" si="0"/>
        <v>4355</v>
      </c>
      <c r="K8" s="615"/>
      <c r="L8" s="267">
        <f>+Pto!G49/1000000</f>
        <v>1171.4155599999999</v>
      </c>
      <c r="M8" s="267">
        <f t="shared" si="1"/>
        <v>0.415559999999914</v>
      </c>
    </row>
    <row r="9" spans="1:14" s="3" customFormat="1" ht="38.25" customHeight="1">
      <c r="A9" s="605"/>
      <c r="B9" s="257" t="str">
        <f>'CONSTRUIDA URBANO REGIONAL'!C19</f>
        <v>VIVIENDA</v>
      </c>
      <c r="C9" s="222">
        <f>SUM('CONSTRUIDA URBANO REGIONAL'!Q19:Q24)</f>
        <v>3170</v>
      </c>
      <c r="D9" s="267">
        <f>SUM('CONSTRUIDA URBANO REGIONAL'!R19:R24)</f>
        <v>523</v>
      </c>
      <c r="E9" s="267">
        <f>SUM('CONSTRUIDA URBANO REGIONAL'!S19:S24)</f>
        <v>0</v>
      </c>
      <c r="F9" s="267">
        <f>SUM('CONSTRUIDA URBANO REGIONAL'!T19:T24)</f>
        <v>2197</v>
      </c>
      <c r="G9" s="267">
        <f>SUM('CONSTRUIDA URBANO REGIONAL'!U19:U24)</f>
        <v>450</v>
      </c>
      <c r="H9" s="267">
        <f>SUM('CONSTRUIDA URBANO REGIONAL'!V19:V24)</f>
        <v>0</v>
      </c>
      <c r="I9" s="267">
        <f>SUM('CONSTRUIDA URBANO REGIONAL'!W19:W24)</f>
        <v>0</v>
      </c>
      <c r="J9" s="222">
        <f t="shared" si="0"/>
        <v>3170</v>
      </c>
      <c r="K9" s="615"/>
      <c r="L9" s="267">
        <f>+Pto!G43/1000000</f>
        <v>522.95337500000005</v>
      </c>
      <c r="M9" s="267">
        <f t="shared" si="1"/>
        <v>-4.6624999999949068E-2</v>
      </c>
    </row>
    <row r="10" spans="1:14" s="3" customFormat="1" ht="38.25" customHeight="1">
      <c r="A10" s="605"/>
      <c r="B10" s="257" t="str">
        <f>'CONSTRUIDA URBANO REGIONAL'!C25</f>
        <v>ELECTRIFICACIÓN</v>
      </c>
      <c r="C10" s="222">
        <f>SUM('CONSTRUIDA URBANO REGIONAL'!Q25:Q27)</f>
        <v>1750</v>
      </c>
      <c r="D10" s="267">
        <f>SUM('CONSTRUIDA URBANO REGIONAL'!R25:R27)</f>
        <v>753</v>
      </c>
      <c r="E10" s="267">
        <f>SUM('CONSTRUIDA URBANO REGIONAL'!S25:S27)</f>
        <v>0</v>
      </c>
      <c r="F10" s="267">
        <f>SUM('CONSTRUIDA URBANO REGIONAL'!T25:T27)</f>
        <v>0</v>
      </c>
      <c r="G10" s="267">
        <f>SUM('CONSTRUIDA URBANO REGIONAL'!U25:U27)</f>
        <v>190</v>
      </c>
      <c r="H10" s="267">
        <f>SUM('CONSTRUIDA URBANO REGIONAL'!V25:V27)</f>
        <v>807</v>
      </c>
      <c r="I10" s="267">
        <f>SUM('CONSTRUIDA URBANO REGIONAL'!W25:W27)</f>
        <v>0</v>
      </c>
      <c r="J10" s="222">
        <f t="shared" si="0"/>
        <v>1750</v>
      </c>
      <c r="K10" s="615"/>
      <c r="L10" s="267">
        <f>+Pto!G40/1000000</f>
        <v>753.05286000000001</v>
      </c>
      <c r="M10" s="267">
        <f t="shared" si="1"/>
        <v>5.2860000000009677E-2</v>
      </c>
    </row>
    <row r="11" spans="1:14" s="3" customFormat="1" ht="38.25" customHeight="1">
      <c r="A11" s="605"/>
      <c r="B11" s="257" t="str">
        <f>'CONSTRUIDA URBANO REGIONAL'!C28</f>
        <v>EQUIPAMIENTO MUNICIPAL</v>
      </c>
      <c r="C11" s="222">
        <f>SUM('CONSTRUIDA URBANO REGIONAL'!Q28:Q35)</f>
        <v>1580</v>
      </c>
      <c r="D11" s="267">
        <f>SUM('CONSTRUIDA URBANO REGIONAL'!R28:R35)</f>
        <v>653</v>
      </c>
      <c r="E11" s="267">
        <f>SUM('CONSTRUIDA URBANO REGIONAL'!S28:S35)</f>
        <v>0</v>
      </c>
      <c r="F11" s="267">
        <f>SUM('CONSTRUIDA URBANO REGIONAL'!T28:T35)</f>
        <v>567</v>
      </c>
      <c r="G11" s="267">
        <f>SUM('CONSTRUIDA URBANO REGIONAL'!U28:U35)</f>
        <v>0</v>
      </c>
      <c r="H11" s="267">
        <f>SUM('CONSTRUIDA URBANO REGIONAL'!V28:V35)</f>
        <v>360</v>
      </c>
      <c r="I11" s="267">
        <f>SUM('CONSTRUIDA URBANO REGIONAL'!W28:W35)</f>
        <v>0</v>
      </c>
      <c r="J11" s="222">
        <f t="shared" si="0"/>
        <v>1580</v>
      </c>
      <c r="K11" s="616"/>
      <c r="L11" s="267">
        <f>+Pto!G63/1000000</f>
        <v>652.64581199999998</v>
      </c>
      <c r="M11" s="267">
        <f t="shared" si="1"/>
        <v>-0.35418800000002193</v>
      </c>
      <c r="N11" s="260"/>
    </row>
    <row r="12" spans="1:14" s="3" customFormat="1" ht="38.25" customHeight="1">
      <c r="A12" s="608" t="s">
        <v>326</v>
      </c>
      <c r="B12" s="258" t="str">
        <f>'ECONOMICO PRODUCTIVA'!C3</f>
        <v>AGRICULTURA Y DESARROLLO RURAL</v>
      </c>
      <c r="C12" s="223">
        <f>SUM('ECONOMICO PRODUCTIVA'!Q3:Q17)</f>
        <v>7170</v>
      </c>
      <c r="D12" s="268">
        <f>SUM('ECONOMICO PRODUCTIVA'!R3:R17)</f>
        <v>792</v>
      </c>
      <c r="E12" s="268">
        <f>SUM('ECONOMICO PRODUCTIVA'!S3:S17)</f>
        <v>90</v>
      </c>
      <c r="F12" s="268">
        <f>SUM('ECONOMICO PRODUCTIVA'!T3:T17)</f>
        <v>1290</v>
      </c>
      <c r="G12" s="268">
        <f>SUM('ECONOMICO PRODUCTIVA'!U3:U17)</f>
        <v>2680</v>
      </c>
      <c r="H12" s="268">
        <f>SUM('ECONOMICO PRODUCTIVA'!V3:V17)</f>
        <v>2318</v>
      </c>
      <c r="I12" s="268">
        <f>SUM('ECONOMICO PRODUCTIVA'!W3:W17)</f>
        <v>0</v>
      </c>
      <c r="J12" s="223">
        <f t="shared" si="0"/>
        <v>7170</v>
      </c>
      <c r="K12" s="617" t="s">
        <v>281</v>
      </c>
      <c r="L12" s="268">
        <f>Pto!G46/1000000</f>
        <v>962.23420999999996</v>
      </c>
      <c r="M12" s="268">
        <f>+L12-D12-D13</f>
        <v>0.23420999999996184</v>
      </c>
    </row>
    <row r="13" spans="1:14" s="3" customFormat="1" ht="38.25" customHeight="1">
      <c r="A13" s="608"/>
      <c r="B13" s="258" t="str">
        <f>'ECONOMICO PRODUCTIVA'!C18</f>
        <v>ECONOMICO</v>
      </c>
      <c r="C13" s="223">
        <f>SUM('ECONOMICO PRODUCTIVA'!Q18:Q21)</f>
        <v>1010</v>
      </c>
      <c r="D13" s="268">
        <f>SUM('ECONOMICO PRODUCTIVA'!R18:R21)</f>
        <v>170</v>
      </c>
      <c r="E13" s="268">
        <f>SUM('ECONOMICO PRODUCTIVA'!S18:S21)</f>
        <v>50</v>
      </c>
      <c r="F13" s="268">
        <f>SUM('ECONOMICO PRODUCTIVA'!T18:T21)</f>
        <v>50</v>
      </c>
      <c r="G13" s="268">
        <f>SUM('ECONOMICO PRODUCTIVA'!U18:U21)</f>
        <v>290</v>
      </c>
      <c r="H13" s="268">
        <f>SUM('ECONOMICO PRODUCTIVA'!V18:V21)</f>
        <v>450</v>
      </c>
      <c r="I13" s="268">
        <f>SUM('ECONOMICO PRODUCTIVA'!W18:W21)</f>
        <v>0</v>
      </c>
      <c r="J13" s="223">
        <f t="shared" si="0"/>
        <v>1010</v>
      </c>
      <c r="K13" s="618"/>
      <c r="L13" s="268"/>
      <c r="M13" s="268"/>
    </row>
    <row r="14" spans="1:14" s="3" customFormat="1" ht="38.25" customHeight="1">
      <c r="A14" s="607" t="s">
        <v>63</v>
      </c>
      <c r="B14" s="259" t="str">
        <f>'SOCIO CULTURAL'!C3</f>
        <v>GESTIÓN SOCIAL</v>
      </c>
      <c r="C14" s="224">
        <f>SUM('SOCIO CULTURAL'!R3:R41)</f>
        <v>4188.5940000000001</v>
      </c>
      <c r="D14" s="269">
        <f>SUM('SOCIO CULTURAL'!S3:S41)</f>
        <v>874.5</v>
      </c>
      <c r="E14" s="269">
        <f>SUM('SOCIO CULTURAL'!T3:T41)</f>
        <v>0</v>
      </c>
      <c r="F14" s="269">
        <f>SUM('SOCIO CULTURAL'!U3:U41)</f>
        <v>3314.0940000000001</v>
      </c>
      <c r="G14" s="269">
        <f>SUM('SOCIO CULTURAL'!V3:V41)</f>
        <v>0</v>
      </c>
      <c r="H14" s="269">
        <f>SUM('SOCIO CULTURAL'!W3:W41)</f>
        <v>0</v>
      </c>
      <c r="I14" s="269">
        <f>SUM('SOCIO CULTURAL'!X3:X41)</f>
        <v>0</v>
      </c>
      <c r="J14" s="224">
        <f t="shared" si="0"/>
        <v>4188.5940000000001</v>
      </c>
      <c r="K14" s="206" t="s">
        <v>409</v>
      </c>
      <c r="L14" s="269">
        <f>+Pto!G59/1000000</f>
        <v>874.37804300000005</v>
      </c>
      <c r="M14" s="269">
        <f t="shared" si="1"/>
        <v>-0.12195699999995213</v>
      </c>
    </row>
    <row r="15" spans="1:14" s="3" customFormat="1" ht="38.25" customHeight="1">
      <c r="A15" s="607"/>
      <c r="B15" s="259" t="str">
        <f>'SOCIO CULTURAL'!C42</f>
        <v>SALUD</v>
      </c>
      <c r="C15" s="224">
        <f>SUM('SOCIO CULTURAL'!R42:R54)</f>
        <v>10054.245788</v>
      </c>
      <c r="D15" s="269">
        <f>SUM('SOCIO CULTURAL'!S42:S54)+9570</f>
        <v>9850</v>
      </c>
      <c r="E15" s="269">
        <f>SUM('SOCIO CULTURAL'!T42:T54)</f>
        <v>184</v>
      </c>
      <c r="F15" s="269"/>
      <c r="G15" s="269">
        <f>SUM('SOCIO CULTURAL'!V42:V54)</f>
        <v>0</v>
      </c>
      <c r="H15" s="269">
        <f>SUM('SOCIO CULTURAL'!W42:W54)</f>
        <v>0</v>
      </c>
      <c r="I15" s="269">
        <f>SUM('SOCIO CULTURAL'!X42:X54)</f>
        <v>0</v>
      </c>
      <c r="J15" s="224">
        <f t="shared" ref="J15:J23" si="2">SUM(D15:I15)</f>
        <v>10034</v>
      </c>
      <c r="K15" s="206" t="s">
        <v>410</v>
      </c>
      <c r="L15" s="271">
        <f>+Pto!G19/1000000</f>
        <v>9850.4173370760491</v>
      </c>
      <c r="M15" s="269">
        <f>L15-D15-F15</f>
        <v>0.41733707604907977</v>
      </c>
    </row>
    <row r="16" spans="1:14" s="3" customFormat="1" ht="38.25" customHeight="1">
      <c r="A16" s="607"/>
      <c r="B16" s="259" t="str">
        <f>'SOCIO CULTURAL'!C55</f>
        <v xml:space="preserve">EDUCACION </v>
      </c>
      <c r="C16" s="224">
        <f>SUM('SOCIO CULTURAL'!R55:R73)</f>
        <v>2782.6044000000002</v>
      </c>
      <c r="D16" s="269">
        <f>SUM('SOCIO CULTURAL'!S55:S73)</f>
        <v>1828</v>
      </c>
      <c r="E16" s="269">
        <f>SUM('SOCIO CULTURAL'!T55:T73)</f>
        <v>0</v>
      </c>
      <c r="F16" s="269">
        <f>SUM('SOCIO CULTURAL'!U55:U73)</f>
        <v>535.73199999999997</v>
      </c>
      <c r="G16" s="269">
        <f>SUM('SOCIO CULTURAL'!V55:V73)</f>
        <v>419.21080000000001</v>
      </c>
      <c r="H16" s="269">
        <f>SUM('SOCIO CULTURAL'!W55:W73)</f>
        <v>0</v>
      </c>
      <c r="I16" s="269">
        <f>SUM('SOCIO CULTURAL'!X55:X73)</f>
        <v>0</v>
      </c>
      <c r="J16" s="224">
        <f t="shared" si="2"/>
        <v>2782.9427999999998</v>
      </c>
      <c r="K16" s="206" t="s">
        <v>411</v>
      </c>
      <c r="L16" s="269">
        <f>+Pto!G15/1000000</f>
        <v>1828.1989791029998</v>
      </c>
      <c r="M16" s="269">
        <f t="shared" si="1"/>
        <v>0.19897910299982868</v>
      </c>
    </row>
    <row r="17" spans="1:14" s="3" customFormat="1" ht="38.25" customHeight="1">
      <c r="A17" s="607"/>
      <c r="B17" s="259" t="str">
        <f>'SOCIO CULTURAL'!C74</f>
        <v>CULTURA</v>
      </c>
      <c r="C17" s="224">
        <f>SUM('SOCIO CULTURAL'!R74:R81)</f>
        <v>1095.8</v>
      </c>
      <c r="D17" s="269">
        <f>SUM('SOCIO CULTURAL'!S74:S81)</f>
        <v>534</v>
      </c>
      <c r="E17" s="269">
        <f>SUM('SOCIO CULTURAL'!T74:T81)</f>
        <v>50</v>
      </c>
      <c r="F17" s="269">
        <f>SUM('SOCIO CULTURAL'!U74:U81)</f>
        <v>310</v>
      </c>
      <c r="G17" s="269">
        <f>SUM('SOCIO CULTURAL'!V74:V81)</f>
        <v>0</v>
      </c>
      <c r="H17" s="269">
        <f>SUM('SOCIO CULTURAL'!W74:W81)</f>
        <v>201.79999999999995</v>
      </c>
      <c r="I17" s="269">
        <f>SUM('SOCIO CULTURAL'!X74:X81)</f>
        <v>0</v>
      </c>
      <c r="J17" s="224">
        <f t="shared" si="2"/>
        <v>1095.8</v>
      </c>
      <c r="K17" s="206" t="s">
        <v>412</v>
      </c>
      <c r="L17" s="269">
        <f>+Pto!G36/1000000</f>
        <v>534.48345101199993</v>
      </c>
      <c r="M17" s="269">
        <f t="shared" si="1"/>
        <v>0.48345101199993223</v>
      </c>
    </row>
    <row r="18" spans="1:14" s="3" customFormat="1" ht="38.25" customHeight="1">
      <c r="A18" s="607"/>
      <c r="B18" s="259" t="str">
        <f>'SOCIO CULTURAL'!C82</f>
        <v>DEPORTE</v>
      </c>
      <c r="C18" s="224">
        <f>SUM('SOCIO CULTURAL'!R82:R89)</f>
        <v>1893</v>
      </c>
      <c r="D18" s="269">
        <f>SUM('SOCIO CULTURAL'!S82:S89)</f>
        <v>582</v>
      </c>
      <c r="E18" s="269">
        <f>SUM('SOCIO CULTURAL'!T82:T89)</f>
        <v>65</v>
      </c>
      <c r="F18" s="269">
        <f>SUM('SOCIO CULTURAL'!U82:U89)</f>
        <v>200</v>
      </c>
      <c r="G18" s="269">
        <f>SUM('SOCIO CULTURAL'!V82:V89)</f>
        <v>400</v>
      </c>
      <c r="H18" s="269">
        <f>SUM('SOCIO CULTURAL'!W82:W89)</f>
        <v>646</v>
      </c>
      <c r="I18" s="269">
        <f>SUM('SOCIO CULTURAL'!X82:X89)</f>
        <v>0</v>
      </c>
      <c r="J18" s="224">
        <f>SUM(D18:I18)</f>
        <v>1893</v>
      </c>
      <c r="K18" s="206" t="s">
        <v>413</v>
      </c>
      <c r="L18" s="269">
        <f>+Pto!G31/1000000</f>
        <v>581.55762201599998</v>
      </c>
      <c r="M18" s="269">
        <f t="shared" si="1"/>
        <v>-0.44237798400001793</v>
      </c>
      <c r="N18" s="260"/>
    </row>
    <row r="19" spans="1:14" s="3" customFormat="1" ht="38.25" customHeight="1">
      <c r="A19" s="606" t="s">
        <v>407</v>
      </c>
      <c r="B19" s="283" t="str">
        <f>'POLITICO INSTITUCIONAL'!C3</f>
        <v>Tecnologia, imnovación y cienca - TIC</v>
      </c>
      <c r="C19" s="284">
        <f>SUM('POLITICO INSTITUCIONAL'!Q3:Q3)</f>
        <v>290</v>
      </c>
      <c r="D19" s="270">
        <f>SUM('POLITICO INSTITUCIONAL'!R3:R3)</f>
        <v>230</v>
      </c>
      <c r="E19" s="270">
        <f>SUM('POLITICO INSTITUCIONAL'!S3:S3)</f>
        <v>0</v>
      </c>
      <c r="F19" s="270">
        <f>SUM('POLITICO INSTITUCIONAL'!T3:T3)</f>
        <v>60</v>
      </c>
      <c r="G19" s="270">
        <f>SUM('POLITICO INSTITUCIONAL'!U3:U3)</f>
        <v>0</v>
      </c>
      <c r="H19" s="270">
        <f>SUM('POLITICO INSTITUCIONAL'!V3:V3)</f>
        <v>0</v>
      </c>
      <c r="I19" s="270">
        <f>SUM('POLITICO INSTITUCIONAL'!W3:W3)</f>
        <v>0</v>
      </c>
      <c r="J19" s="284">
        <f t="shared" si="2"/>
        <v>290</v>
      </c>
      <c r="K19" s="285" t="s">
        <v>297</v>
      </c>
      <c r="L19" s="270">
        <f>+Pto!G57/1000000</f>
        <v>230.09948499999999</v>
      </c>
      <c r="M19" s="269">
        <f t="shared" si="1"/>
        <v>9.9484999999987167E-2</v>
      </c>
    </row>
    <row r="20" spans="1:14" s="3" customFormat="1" ht="38.25" customHeight="1">
      <c r="A20" s="606"/>
      <c r="B20" s="283" t="str">
        <f>'POLITICO INSTITUCIONAL'!C4</f>
        <v>SEGURIDAD CIUDADANA</v>
      </c>
      <c r="C20" s="284">
        <f>SUM('POLITICO INSTITUCIONAL'!Q4:Q10)</f>
        <v>540</v>
      </c>
      <c r="D20" s="270">
        <f>SUM('POLITICO INSTITUCIONAL'!R4:R10)</f>
        <v>105</v>
      </c>
      <c r="E20" s="270">
        <f>SUM('POLITICO INSTITUCIONAL'!S4:S10)</f>
        <v>0</v>
      </c>
      <c r="F20" s="270">
        <f>SUM('POLITICO INSTITUCIONAL'!T4:T10)</f>
        <v>435</v>
      </c>
      <c r="G20" s="270">
        <f>SUM('POLITICO INSTITUCIONAL'!U4:U10)</f>
        <v>0</v>
      </c>
      <c r="H20" s="270">
        <f>SUM('POLITICO INSTITUCIONAL'!V4:V10)</f>
        <v>0</v>
      </c>
      <c r="I20" s="270">
        <f>SUM('POLITICO INSTITUCIONAL'!W4:W10)</f>
        <v>0</v>
      </c>
      <c r="J20" s="284">
        <f t="shared" si="2"/>
        <v>540</v>
      </c>
      <c r="K20" s="603" t="s">
        <v>414</v>
      </c>
      <c r="L20" s="270">
        <f>Pto!H74/1000000</f>
        <v>104.590675</v>
      </c>
      <c r="M20" s="269">
        <f t="shared" si="1"/>
        <v>-0.4093249999999955</v>
      </c>
    </row>
    <row r="21" spans="1:14" s="3" customFormat="1" ht="38.25" customHeight="1">
      <c r="A21" s="606"/>
      <c r="B21" s="283" t="str">
        <f>'POLITICO INSTITUCIONAL'!C11</f>
        <v>JUSTICIA</v>
      </c>
      <c r="C21" s="284">
        <f>SUM('POLITICO INSTITUCIONAL'!Q11:Q14)</f>
        <v>156</v>
      </c>
      <c r="D21" s="270">
        <f>SUM('POLITICO INSTITUCIONAL'!R11:R14)</f>
        <v>126</v>
      </c>
      <c r="E21" s="270">
        <f>SUM('POLITICO INSTITUCIONAL'!S11:S14)</f>
        <v>0</v>
      </c>
      <c r="F21" s="270">
        <f>SUM('POLITICO INSTITUCIONAL'!T11:T14)</f>
        <v>30</v>
      </c>
      <c r="G21" s="270">
        <f>SUM('POLITICO INSTITUCIONAL'!U11:U14)</f>
        <v>0</v>
      </c>
      <c r="H21" s="270">
        <f>SUM('POLITICO INSTITUCIONAL'!V11:V14)</f>
        <v>0</v>
      </c>
      <c r="I21" s="270">
        <f>SUM('POLITICO INSTITUCIONAL'!W11:W14)</f>
        <v>0</v>
      </c>
      <c r="J21" s="284">
        <f t="shared" si="2"/>
        <v>156</v>
      </c>
      <c r="K21" s="604"/>
      <c r="L21" s="270">
        <f>Pto!H72/1000000</f>
        <v>125.50881</v>
      </c>
      <c r="M21" s="269">
        <f t="shared" si="1"/>
        <v>-0.49119000000000312</v>
      </c>
    </row>
    <row r="22" spans="1:14" s="3" customFormat="1" ht="38.25" customHeight="1">
      <c r="A22" s="606"/>
      <c r="B22" s="283" t="str">
        <f>'POLITICO INSTITUCIONAL'!C15</f>
        <v>DESARROLLO COMUNITARIO</v>
      </c>
      <c r="C22" s="284">
        <f>SUM('POLITICO INSTITUCIONAL'!Q15:Q19)</f>
        <v>520</v>
      </c>
      <c r="D22" s="270">
        <f>SUM('POLITICO INSTITUCIONAL'!R15:R19)</f>
        <v>259</v>
      </c>
      <c r="E22" s="270">
        <f>SUM('POLITICO INSTITUCIONAL'!S15:S19)</f>
        <v>0</v>
      </c>
      <c r="F22" s="270">
        <f>SUM('POLITICO INSTITUCIONAL'!T15:T19)</f>
        <v>150</v>
      </c>
      <c r="G22" s="270">
        <f>SUM('POLITICO INSTITUCIONAL'!U15:U19)</f>
        <v>0</v>
      </c>
      <c r="H22" s="270">
        <f>SUM('POLITICO INSTITUCIONAL'!V15:V19)</f>
        <v>111</v>
      </c>
      <c r="I22" s="270">
        <f>SUM('POLITICO INSTITUCIONAL'!W15:W19)</f>
        <v>0</v>
      </c>
      <c r="J22" s="284">
        <f t="shared" si="2"/>
        <v>520</v>
      </c>
      <c r="K22" s="285" t="s">
        <v>415</v>
      </c>
      <c r="L22" s="270">
        <f>+Pto!G66/1000000</f>
        <v>259.38487400000002</v>
      </c>
      <c r="M22" s="269">
        <f t="shared" si="1"/>
        <v>0.38487400000002481</v>
      </c>
    </row>
    <row r="23" spans="1:14" s="3" customFormat="1" ht="38.25" customHeight="1">
      <c r="A23" s="606"/>
      <c r="B23" s="283" t="str">
        <f>'POLITICO INSTITUCIONAL'!C20</f>
        <v>FORTALECIMIENTO INSTITUCIONAL</v>
      </c>
      <c r="C23" s="284">
        <f>SUM('POLITICO INSTITUCIONAL'!Q20:Q43)</f>
        <v>1003</v>
      </c>
      <c r="D23" s="270">
        <f>SUM('POLITICO INSTITUCIONAL'!R20:R43)</f>
        <v>738</v>
      </c>
      <c r="E23" s="270">
        <f>SUM('POLITICO INSTITUCIONAL'!S20:S43)</f>
        <v>0</v>
      </c>
      <c r="F23" s="270">
        <f>SUM('POLITICO INSTITUCIONAL'!T20:T43)</f>
        <v>35</v>
      </c>
      <c r="G23" s="270">
        <f>SUM('POLITICO INSTITUCIONAL'!U20:U43)</f>
        <v>0</v>
      </c>
      <c r="H23" s="270">
        <f>SUM('POLITICO INSTITUCIONAL'!V20:V43)</f>
        <v>230</v>
      </c>
      <c r="I23" s="270">
        <f>SUM('POLITICO INSTITUCIONAL'!W20:W43)</f>
        <v>0</v>
      </c>
      <c r="J23" s="284">
        <f t="shared" si="2"/>
        <v>1003</v>
      </c>
      <c r="K23" s="285" t="s">
        <v>297</v>
      </c>
      <c r="L23" s="270">
        <f>+Pto!G68/1000000</f>
        <v>738.41016549999995</v>
      </c>
      <c r="M23" s="269">
        <f t="shared" si="1"/>
        <v>0.41016549999994822</v>
      </c>
      <c r="N23" s="260"/>
    </row>
    <row r="24" spans="1:14">
      <c r="C24" s="227">
        <f t="shared" ref="C24:J24" si="3">SUM(C5:C23)</f>
        <v>51759.244187999997</v>
      </c>
      <c r="D24" s="227">
        <f>SUM(D5:D23)</f>
        <v>23021.5</v>
      </c>
      <c r="E24" s="227">
        <f t="shared" si="3"/>
        <v>1089</v>
      </c>
      <c r="F24" s="227">
        <f t="shared" si="3"/>
        <v>12163.826000000001</v>
      </c>
      <c r="G24" s="227">
        <f t="shared" si="3"/>
        <v>5326.2107999999998</v>
      </c>
      <c r="H24" s="227">
        <f t="shared" si="3"/>
        <v>9779.7999999999993</v>
      </c>
      <c r="I24" s="227">
        <f t="shared" si="3"/>
        <v>359</v>
      </c>
      <c r="J24" s="227">
        <f t="shared" si="3"/>
        <v>51739.336799999997</v>
      </c>
      <c r="L24" s="181">
        <f>SUM(L5:L23)</f>
        <v>23022.299194448045</v>
      </c>
      <c r="M24" s="181">
        <f>SUM(M5:M23)</f>
        <v>0.79919444804882289</v>
      </c>
    </row>
    <row r="25" spans="1:14">
      <c r="B25" s="225" t="s">
        <v>338</v>
      </c>
      <c r="D25" s="139">
        <f>L24</f>
        <v>23022.299194448045</v>
      </c>
      <c r="L25" s="255" t="s">
        <v>422</v>
      </c>
    </row>
    <row r="26" spans="1:14">
      <c r="B26" s="225" t="s">
        <v>339</v>
      </c>
      <c r="D26" s="139">
        <f>+C24-D25</f>
        <v>28736.944993551951</v>
      </c>
    </row>
    <row r="27" spans="1:14">
      <c r="B27" s="225" t="s">
        <v>423</v>
      </c>
      <c r="D27" s="228">
        <f>+D26/D25</f>
        <v>1.2482222019111811</v>
      </c>
    </row>
  </sheetData>
  <mergeCells count="11">
    <mergeCell ref="A1:K1"/>
    <mergeCell ref="K5:K6"/>
    <mergeCell ref="K7:K11"/>
    <mergeCell ref="K12:K13"/>
    <mergeCell ref="K20:K21"/>
    <mergeCell ref="A7:A11"/>
    <mergeCell ref="D3:J3"/>
    <mergeCell ref="A19:A23"/>
    <mergeCell ref="A14:A18"/>
    <mergeCell ref="A12:A13"/>
    <mergeCell ref="A5:A6"/>
  </mergeCells>
  <phoneticPr fontId="0" type="noConversion"/>
  <pageMargins left="0.56000000000000005" right="0.118110236220472" top="0.7" bottom="0.43" header="0.12" footer="0.2"/>
  <pageSetup orientation="landscape" horizontalDpi="90" verticalDpi="90" r:id="rId1"/>
  <headerFooter>
    <oddFooter>&amp;C&amp;10PLAN PLURIANUAL DE INVERSIONES&amp;R&amp;10Página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2"/>
  <sheetViews>
    <sheetView tabSelected="1" zoomScaleSheetLayoutView="100" workbookViewId="0">
      <selection activeCell="D13" sqref="D13"/>
    </sheetView>
  </sheetViews>
  <sheetFormatPr baseColWidth="10" defaultRowHeight="15"/>
  <cols>
    <col min="1" max="1" width="10.5703125" bestFit="1" customWidth="1"/>
    <col min="2" max="2" width="38.28515625" customWidth="1"/>
    <col min="3" max="3" width="18" bestFit="1" customWidth="1"/>
    <col min="4" max="4" width="17.5703125" bestFit="1" customWidth="1"/>
    <col min="5" max="6" width="18.42578125" bestFit="1" customWidth="1"/>
    <col min="7" max="7" width="13.7109375" bestFit="1" customWidth="1"/>
  </cols>
  <sheetData>
    <row r="1" spans="1:7">
      <c r="A1" s="623" t="s">
        <v>341</v>
      </c>
      <c r="B1" s="623"/>
      <c r="C1" s="623"/>
      <c r="D1" s="623"/>
      <c r="E1" s="623"/>
      <c r="F1" s="623"/>
    </row>
    <row r="2" spans="1:7">
      <c r="A2" s="623" t="s">
        <v>342</v>
      </c>
      <c r="B2" s="623"/>
      <c r="C2" s="623"/>
      <c r="D2" s="623"/>
      <c r="E2" s="623"/>
      <c r="F2" s="623"/>
    </row>
    <row r="3" spans="1:7">
      <c r="A3" s="623" t="s">
        <v>343</v>
      </c>
      <c r="B3" s="623"/>
      <c r="C3" s="623"/>
      <c r="D3" s="623"/>
      <c r="E3" s="623"/>
      <c r="F3" s="623"/>
    </row>
    <row r="4" spans="1:7">
      <c r="A4" s="623" t="s">
        <v>344</v>
      </c>
      <c r="B4" s="623"/>
      <c r="C4" s="623"/>
      <c r="D4" s="623"/>
      <c r="E4" s="623"/>
      <c r="F4" s="623"/>
    </row>
    <row r="5" spans="1:7">
      <c r="A5" s="229"/>
      <c r="B5" s="230"/>
      <c r="C5" s="230"/>
      <c r="D5" s="230"/>
      <c r="E5" s="230"/>
      <c r="F5" s="230"/>
    </row>
    <row r="6" spans="1:7">
      <c r="A6" s="619" t="s">
        <v>345</v>
      </c>
      <c r="B6" s="622" t="s">
        <v>346</v>
      </c>
      <c r="C6" s="231" t="s">
        <v>347</v>
      </c>
      <c r="D6" s="231" t="s">
        <v>347</v>
      </c>
      <c r="E6" s="231" t="s">
        <v>347</v>
      </c>
      <c r="F6" s="231" t="s">
        <v>347</v>
      </c>
    </row>
    <row r="7" spans="1:7">
      <c r="A7" s="620"/>
      <c r="B7" s="622"/>
      <c r="C7" s="231" t="s">
        <v>348</v>
      </c>
      <c r="D7" s="231" t="s">
        <v>348</v>
      </c>
      <c r="E7" s="231" t="s">
        <v>348</v>
      </c>
      <c r="F7" s="231" t="s">
        <v>348</v>
      </c>
    </row>
    <row r="8" spans="1:7">
      <c r="A8" s="621"/>
      <c r="B8" s="622"/>
      <c r="C8" s="231">
        <v>2012</v>
      </c>
      <c r="D8" s="231">
        <v>2013</v>
      </c>
      <c r="E8" s="231">
        <v>2014</v>
      </c>
      <c r="F8" s="231">
        <v>2015</v>
      </c>
      <c r="G8" s="231" t="s">
        <v>218</v>
      </c>
    </row>
    <row r="9" spans="1:7" s="235" customFormat="1" ht="30">
      <c r="A9" s="232">
        <v>2</v>
      </c>
      <c r="B9" s="233" t="s">
        <v>349</v>
      </c>
      <c r="C9" s="234">
        <f>+C10+C14</f>
        <v>6244067150</v>
      </c>
      <c r="D9" s="234">
        <f>+D10+D14</f>
        <v>6431389164.5</v>
      </c>
      <c r="E9" s="234">
        <f>+E10+E14</f>
        <v>6624330839.4350004</v>
      </c>
      <c r="F9" s="234">
        <f>+F10+F14</f>
        <v>6823060764.6180496</v>
      </c>
      <c r="G9" s="234"/>
    </row>
    <row r="10" spans="1:7" s="235" customFormat="1">
      <c r="A10" s="236">
        <v>21</v>
      </c>
      <c r="B10" s="237" t="s">
        <v>350</v>
      </c>
      <c r="C10" s="238">
        <f>SUM(C11:C13)</f>
        <v>741115000</v>
      </c>
      <c r="D10" s="238">
        <f>SUM(D11:D13)</f>
        <v>763348450</v>
      </c>
      <c r="E10" s="238">
        <f>SUM(E11:E13)</f>
        <v>786248903.5</v>
      </c>
      <c r="F10" s="238">
        <f>SUM(F11:F13)</f>
        <v>809836370.60500002</v>
      </c>
      <c r="G10" s="238">
        <f>SUM(C10:F10)</f>
        <v>3100548724.105</v>
      </c>
    </row>
    <row r="11" spans="1:7">
      <c r="A11" s="239">
        <v>211</v>
      </c>
      <c r="B11" s="240" t="s">
        <v>351</v>
      </c>
      <c r="C11" s="241">
        <v>86163000</v>
      </c>
      <c r="D11" s="242">
        <f t="shared" ref="D11:F13" si="0">+C11*1.03</f>
        <v>88747890</v>
      </c>
      <c r="E11" s="241">
        <f t="shared" si="0"/>
        <v>91410326.700000003</v>
      </c>
      <c r="F11" s="241">
        <f t="shared" si="0"/>
        <v>94152636.501000002</v>
      </c>
      <c r="G11" s="241"/>
    </row>
    <row r="12" spans="1:7">
      <c r="A12" s="239">
        <v>212</v>
      </c>
      <c r="B12" s="240" t="s">
        <v>352</v>
      </c>
      <c r="C12" s="241">
        <v>81000000</v>
      </c>
      <c r="D12" s="242">
        <f t="shared" si="0"/>
        <v>83430000</v>
      </c>
      <c r="E12" s="241">
        <f t="shared" si="0"/>
        <v>85932900</v>
      </c>
      <c r="F12" s="241">
        <f t="shared" si="0"/>
        <v>88510887</v>
      </c>
      <c r="G12" s="241"/>
    </row>
    <row r="13" spans="1:7">
      <c r="A13" s="239">
        <v>213</v>
      </c>
      <c r="B13" s="240" t="s">
        <v>353</v>
      </c>
      <c r="C13" s="241">
        <v>573952000</v>
      </c>
      <c r="D13" s="242">
        <f t="shared" si="0"/>
        <v>591170560</v>
      </c>
      <c r="E13" s="241">
        <f t="shared" si="0"/>
        <v>608905676.80000007</v>
      </c>
      <c r="F13" s="241">
        <f t="shared" si="0"/>
        <v>627172847.10400009</v>
      </c>
      <c r="G13" s="241"/>
    </row>
    <row r="14" spans="1:7" s="235" customFormat="1">
      <c r="A14" s="236">
        <v>22</v>
      </c>
      <c r="B14" s="237" t="s">
        <v>354</v>
      </c>
      <c r="C14" s="241">
        <f>+C15+C19+C28+C31+C36+C40+C43+C46+C49+C52+C55+C57+C59+C63+C66+C68+C71</f>
        <v>5502952150</v>
      </c>
      <c r="D14" s="242">
        <f>+D15+D19+D28+D31+D36+D40+D43+D46+D49+D52+D55+D57+D59+D63+D66+D68+D71</f>
        <v>5668040714.5</v>
      </c>
      <c r="E14" s="241">
        <f>+E15+E19+E28+E31+E36+E40+E43+E46+E49+E52+E55+E57+E59+E63+E66+E68+E71</f>
        <v>5838081935.9350004</v>
      </c>
      <c r="F14" s="241">
        <f>+F15+F19+F28+F31+F36+F40+F43+F46+F49+F52+F55+F57+F59+F63+F66+F68+F71</f>
        <v>6013224394.0130501</v>
      </c>
      <c r="G14" s="241"/>
    </row>
    <row r="15" spans="1:7" s="235" customFormat="1">
      <c r="A15" s="243">
        <v>2201</v>
      </c>
      <c r="B15" s="244" t="s">
        <v>325</v>
      </c>
      <c r="C15" s="245">
        <f>SUM(C16:C18)</f>
        <v>436989000</v>
      </c>
      <c r="D15" s="245">
        <f>SUM(D16:D18)</f>
        <v>450098670</v>
      </c>
      <c r="E15" s="245">
        <f>SUM(E16:E18)</f>
        <v>463601630.09999996</v>
      </c>
      <c r="F15" s="245">
        <f>SUM(F16:F18)</f>
        <v>477509679.00299996</v>
      </c>
      <c r="G15" s="245">
        <f>SUM(C15:F15)</f>
        <v>1828198979.1029999</v>
      </c>
    </row>
    <row r="16" spans="1:7">
      <c r="A16" s="246">
        <v>220101</v>
      </c>
      <c r="B16" s="247" t="s">
        <v>355</v>
      </c>
      <c r="C16" s="248">
        <v>53946000</v>
      </c>
      <c r="D16" s="248">
        <f t="shared" ref="D16:F18" si="1">+C16*1.03</f>
        <v>55564380</v>
      </c>
      <c r="E16" s="248">
        <f t="shared" si="1"/>
        <v>57231311.399999999</v>
      </c>
      <c r="F16" s="248">
        <f t="shared" si="1"/>
        <v>58948250.741999999</v>
      </c>
      <c r="G16" s="248"/>
    </row>
    <row r="17" spans="1:7">
      <c r="A17" s="246">
        <v>220102</v>
      </c>
      <c r="B17" s="247" t="s">
        <v>356</v>
      </c>
      <c r="C17" s="248">
        <v>300158000</v>
      </c>
      <c r="D17" s="248">
        <f t="shared" si="1"/>
        <v>309162740</v>
      </c>
      <c r="E17" s="248">
        <f t="shared" si="1"/>
        <v>318437622.19999999</v>
      </c>
      <c r="F17" s="248">
        <f t="shared" si="1"/>
        <v>327990750.866</v>
      </c>
      <c r="G17" s="248"/>
    </row>
    <row r="18" spans="1:7">
      <c r="A18" s="246">
        <v>220116</v>
      </c>
      <c r="B18" s="247" t="s">
        <v>357</v>
      </c>
      <c r="C18" s="248">
        <v>82885000</v>
      </c>
      <c r="D18" s="248">
        <f t="shared" si="1"/>
        <v>85371550</v>
      </c>
      <c r="E18" s="248">
        <f t="shared" si="1"/>
        <v>87932696.5</v>
      </c>
      <c r="F18" s="248">
        <f t="shared" si="1"/>
        <v>90570677.394999996</v>
      </c>
      <c r="G18" s="248"/>
    </row>
    <row r="19" spans="1:7" s="249" customFormat="1">
      <c r="A19" s="243">
        <v>2202</v>
      </c>
      <c r="B19" s="244" t="s">
        <v>358</v>
      </c>
      <c r="C19" s="245">
        <f>SUM(C20:C27)</f>
        <v>2354516150</v>
      </c>
      <c r="D19" s="245">
        <f>SUM(D20:D27)</f>
        <v>2425151634.5</v>
      </c>
      <c r="E19" s="245">
        <f>SUM(E20:E27)</f>
        <v>2497906183.5349998</v>
      </c>
      <c r="F19" s="245">
        <f>SUM(F20:F27)</f>
        <v>2572843369.0410504</v>
      </c>
      <c r="G19" s="245">
        <f>SUM(C19:F19)</f>
        <v>9850417337.0760498</v>
      </c>
    </row>
    <row r="20" spans="1:7">
      <c r="A20" s="246">
        <v>220205</v>
      </c>
      <c r="B20" s="247" t="s">
        <v>926</v>
      </c>
      <c r="C20" s="248">
        <v>70763635</v>
      </c>
      <c r="D20" s="248">
        <f>+C20*1.03</f>
        <v>72886544.049999997</v>
      </c>
      <c r="E20" s="248">
        <f>+D20*1.03</f>
        <v>75073140.3715</v>
      </c>
      <c r="F20" s="248">
        <f>+E20*1.03</f>
        <v>77325334.582644999</v>
      </c>
      <c r="G20" s="248"/>
    </row>
    <row r="21" spans="1:7">
      <c r="A21" s="246">
        <v>220206</v>
      </c>
      <c r="B21" s="247" t="s">
        <v>359</v>
      </c>
      <c r="C21" s="248">
        <v>1238172515</v>
      </c>
      <c r="D21" s="248">
        <f t="shared" ref="D21:F27" si="2">+C21*1.03</f>
        <v>1275317690.45</v>
      </c>
      <c r="E21" s="248">
        <f t="shared" si="2"/>
        <v>1313577221.1635001</v>
      </c>
      <c r="F21" s="248">
        <f t="shared" si="2"/>
        <v>1352984537.7984052</v>
      </c>
      <c r="G21" s="248"/>
    </row>
    <row r="22" spans="1:7">
      <c r="A22" s="246">
        <v>220207</v>
      </c>
      <c r="B22" s="247" t="s">
        <v>360</v>
      </c>
      <c r="C22" s="248">
        <v>936000000</v>
      </c>
      <c r="D22" s="248">
        <f t="shared" si="2"/>
        <v>964080000</v>
      </c>
      <c r="E22" s="248">
        <f t="shared" si="2"/>
        <v>993002400</v>
      </c>
      <c r="F22" s="248">
        <f t="shared" si="2"/>
        <v>1022792472</v>
      </c>
      <c r="G22" s="248"/>
    </row>
    <row r="23" spans="1:7">
      <c r="A23" s="246">
        <v>220208</v>
      </c>
      <c r="B23" s="247" t="s">
        <v>361</v>
      </c>
      <c r="C23" s="248">
        <v>23000000</v>
      </c>
      <c r="D23" s="248">
        <f t="shared" si="2"/>
        <v>23690000</v>
      </c>
      <c r="E23" s="248">
        <f t="shared" si="2"/>
        <v>24400700</v>
      </c>
      <c r="F23" s="248">
        <f t="shared" si="2"/>
        <v>25132721</v>
      </c>
      <c r="G23" s="248"/>
    </row>
    <row r="24" spans="1:7">
      <c r="A24" s="246">
        <v>220209</v>
      </c>
      <c r="B24" s="247" t="s">
        <v>362</v>
      </c>
      <c r="C24" s="248">
        <v>200000</v>
      </c>
      <c r="D24" s="248">
        <f t="shared" si="2"/>
        <v>206000</v>
      </c>
      <c r="E24" s="248">
        <f t="shared" si="2"/>
        <v>212180</v>
      </c>
      <c r="F24" s="248">
        <f t="shared" si="2"/>
        <v>218545.4</v>
      </c>
      <c r="G24" s="248"/>
    </row>
    <row r="25" spans="1:7">
      <c r="A25" s="246">
        <v>220210</v>
      </c>
      <c r="B25" s="247" t="s">
        <v>363</v>
      </c>
      <c r="C25" s="248">
        <v>1000000</v>
      </c>
      <c r="D25" s="248">
        <f t="shared" si="2"/>
        <v>1030000</v>
      </c>
      <c r="E25" s="248">
        <f t="shared" si="2"/>
        <v>1060900</v>
      </c>
      <c r="F25" s="248">
        <f t="shared" si="2"/>
        <v>1092727</v>
      </c>
      <c r="G25" s="248"/>
    </row>
    <row r="26" spans="1:7">
      <c r="A26" s="246">
        <v>220216</v>
      </c>
      <c r="B26" s="250" t="s">
        <v>357</v>
      </c>
      <c r="C26" s="248">
        <v>38000000</v>
      </c>
      <c r="D26" s="248">
        <f t="shared" si="2"/>
        <v>39140000</v>
      </c>
      <c r="E26" s="248">
        <f t="shared" si="2"/>
        <v>40314200</v>
      </c>
      <c r="F26" s="248">
        <f t="shared" si="2"/>
        <v>41523626</v>
      </c>
      <c r="G26" s="248"/>
    </row>
    <row r="27" spans="1:7">
      <c r="A27" s="246">
        <v>220224</v>
      </c>
      <c r="B27" s="247" t="s">
        <v>364</v>
      </c>
      <c r="C27" s="248">
        <v>47380000</v>
      </c>
      <c r="D27" s="248">
        <f t="shared" si="2"/>
        <v>48801400</v>
      </c>
      <c r="E27" s="248">
        <f t="shared" si="2"/>
        <v>50265442</v>
      </c>
      <c r="F27" s="248">
        <f t="shared" si="2"/>
        <v>51773405.259999998</v>
      </c>
      <c r="G27" s="248"/>
    </row>
    <row r="28" spans="1:7" s="249" customFormat="1" ht="30">
      <c r="A28" s="243">
        <v>2203</v>
      </c>
      <c r="B28" s="244" t="s">
        <v>365</v>
      </c>
      <c r="C28" s="245">
        <f>SUM(C29:C30)</f>
        <v>736146000</v>
      </c>
      <c r="D28" s="245">
        <f>SUM(D29:D30)</f>
        <v>758230380</v>
      </c>
      <c r="E28" s="245">
        <f>SUM(E29:E30)</f>
        <v>780977291.39999998</v>
      </c>
      <c r="F28" s="245">
        <f>SUM(F29:F30)</f>
        <v>804406610.14199996</v>
      </c>
      <c r="G28" s="245">
        <f>SUM(C28:F28)</f>
        <v>3079760281.5419998</v>
      </c>
    </row>
    <row r="29" spans="1:7" ht="30">
      <c r="A29" s="246">
        <v>220311</v>
      </c>
      <c r="B29" s="247" t="s">
        <v>366</v>
      </c>
      <c r="C29" s="248">
        <v>626146000</v>
      </c>
      <c r="D29" s="248">
        <f t="shared" ref="D29:F30" si="3">+C29*1.03</f>
        <v>644930380</v>
      </c>
      <c r="E29" s="248">
        <f t="shared" si="3"/>
        <v>664278291.39999998</v>
      </c>
      <c r="F29" s="248">
        <f t="shared" si="3"/>
        <v>684206640.14199996</v>
      </c>
      <c r="G29" s="248"/>
    </row>
    <row r="30" spans="1:7">
      <c r="A30" s="246">
        <v>220316</v>
      </c>
      <c r="B30" s="247" t="s">
        <v>357</v>
      </c>
      <c r="C30" s="248">
        <v>110000000</v>
      </c>
      <c r="D30" s="248">
        <f t="shared" si="3"/>
        <v>113300000</v>
      </c>
      <c r="E30" s="248">
        <f t="shared" si="3"/>
        <v>116699000</v>
      </c>
      <c r="F30" s="248">
        <f t="shared" si="3"/>
        <v>120199970</v>
      </c>
      <c r="G30" s="248"/>
    </row>
    <row r="31" spans="1:7" s="249" customFormat="1">
      <c r="A31" s="243">
        <v>2204</v>
      </c>
      <c r="B31" s="244" t="s">
        <v>367</v>
      </c>
      <c r="C31" s="245">
        <f>SUM(C32:C35)</f>
        <v>139008000</v>
      </c>
      <c r="D31" s="245">
        <f>SUM(D32:D35)</f>
        <v>143178240</v>
      </c>
      <c r="E31" s="245">
        <f>SUM(E32:E35)</f>
        <v>147473587.19999999</v>
      </c>
      <c r="F31" s="245">
        <f>SUM(F32:F35)</f>
        <v>151897794.81599998</v>
      </c>
      <c r="G31" s="245">
        <f>SUM(C31:F31)</f>
        <v>581557622.01600003</v>
      </c>
    </row>
    <row r="32" spans="1:7">
      <c r="A32" s="246">
        <v>220412</v>
      </c>
      <c r="B32" s="247" t="s">
        <v>368</v>
      </c>
      <c r="C32" s="248">
        <v>65008000</v>
      </c>
      <c r="D32" s="248">
        <f>+C32*1.03</f>
        <v>66958240</v>
      </c>
      <c r="E32" s="248">
        <f>+D32*1.03</f>
        <v>68966987.200000003</v>
      </c>
      <c r="F32" s="248">
        <f>+E32*1.03</f>
        <v>71035996.816</v>
      </c>
      <c r="G32" s="248"/>
    </row>
    <row r="33" spans="1:7">
      <c r="A33" s="246">
        <v>220413</v>
      </c>
      <c r="B33" s="247" t="s">
        <v>369</v>
      </c>
      <c r="C33" s="248">
        <v>28000000</v>
      </c>
      <c r="D33" s="248">
        <f t="shared" ref="D33:F35" si="4">+C33*1.03</f>
        <v>28840000</v>
      </c>
      <c r="E33" s="248">
        <f t="shared" si="4"/>
        <v>29705200</v>
      </c>
      <c r="F33" s="248">
        <f t="shared" si="4"/>
        <v>30596356</v>
      </c>
      <c r="G33" s="248"/>
    </row>
    <row r="34" spans="1:7">
      <c r="A34" s="246">
        <v>220416</v>
      </c>
      <c r="B34" s="247" t="s">
        <v>370</v>
      </c>
      <c r="C34" s="248">
        <v>42000000</v>
      </c>
      <c r="D34" s="248">
        <f t="shared" si="4"/>
        <v>43260000</v>
      </c>
      <c r="E34" s="248">
        <f t="shared" si="4"/>
        <v>44557800</v>
      </c>
      <c r="F34" s="248">
        <f t="shared" si="4"/>
        <v>45894534</v>
      </c>
      <c r="G34" s="248"/>
    </row>
    <row r="35" spans="1:7">
      <c r="A35" s="246">
        <v>220418</v>
      </c>
      <c r="B35" s="247" t="s">
        <v>371</v>
      </c>
      <c r="C35" s="248">
        <v>4000000</v>
      </c>
      <c r="D35" s="248">
        <f t="shared" si="4"/>
        <v>4120000</v>
      </c>
      <c r="E35" s="248">
        <f t="shared" si="4"/>
        <v>4243600</v>
      </c>
      <c r="F35" s="248">
        <f t="shared" si="4"/>
        <v>4370908</v>
      </c>
      <c r="G35" s="248"/>
    </row>
    <row r="36" spans="1:7" s="249" customFormat="1">
      <c r="A36" s="243">
        <v>2205</v>
      </c>
      <c r="B36" s="244" t="s">
        <v>372</v>
      </c>
      <c r="C36" s="245">
        <f>SUM(C37:C39)</f>
        <v>127756000</v>
      </c>
      <c r="D36" s="245">
        <f>SUM(D37:D39)</f>
        <v>131588680</v>
      </c>
      <c r="E36" s="245">
        <f>SUM(E37:E39)</f>
        <v>135536340.40000001</v>
      </c>
      <c r="F36" s="245">
        <f>SUM(F37:F39)</f>
        <v>139602430.61199999</v>
      </c>
      <c r="G36" s="245">
        <f>SUM(C36:F36)</f>
        <v>534483451.01199996</v>
      </c>
    </row>
    <row r="37" spans="1:7">
      <c r="A37" s="246">
        <v>220514</v>
      </c>
      <c r="B37" s="247" t="s">
        <v>373</v>
      </c>
      <c r="C37" s="248">
        <v>48756000</v>
      </c>
      <c r="D37" s="248">
        <f>+C37*1.03</f>
        <v>50218680</v>
      </c>
      <c r="E37" s="248">
        <f>+D37*1.03</f>
        <v>51725240.399999999</v>
      </c>
      <c r="F37" s="248">
        <f>+E37*1.03</f>
        <v>53276997.612000003</v>
      </c>
      <c r="G37" s="248"/>
    </row>
    <row r="38" spans="1:7">
      <c r="A38" s="246">
        <v>220514</v>
      </c>
      <c r="B38" s="247" t="s">
        <v>374</v>
      </c>
      <c r="C38" s="248">
        <v>14000000</v>
      </c>
      <c r="D38" s="248">
        <f t="shared" ref="D38:F39" si="5">+C38*1.03</f>
        <v>14420000</v>
      </c>
      <c r="E38" s="248">
        <f t="shared" si="5"/>
        <v>14852600</v>
      </c>
      <c r="F38" s="248">
        <f t="shared" si="5"/>
        <v>15298178</v>
      </c>
      <c r="G38" s="248"/>
    </row>
    <row r="39" spans="1:7">
      <c r="A39" s="246">
        <v>220517</v>
      </c>
      <c r="B39" s="247" t="s">
        <v>375</v>
      </c>
      <c r="C39" s="248">
        <v>65000000</v>
      </c>
      <c r="D39" s="248">
        <f t="shared" si="5"/>
        <v>66950000</v>
      </c>
      <c r="E39" s="248">
        <f t="shared" si="5"/>
        <v>68958500</v>
      </c>
      <c r="F39" s="248">
        <f t="shared" si="5"/>
        <v>71027255</v>
      </c>
      <c r="G39" s="248"/>
    </row>
    <row r="40" spans="1:7" s="249" customFormat="1">
      <c r="A40" s="243">
        <v>2206</v>
      </c>
      <c r="B40" s="244" t="s">
        <v>376</v>
      </c>
      <c r="C40" s="245">
        <f>SUM(C41:C42)</f>
        <v>180000000</v>
      </c>
      <c r="D40" s="245">
        <f>SUM(D41:D42)</f>
        <v>185400000</v>
      </c>
      <c r="E40" s="245">
        <f>SUM(E41:E42)</f>
        <v>190962000</v>
      </c>
      <c r="F40" s="245">
        <f>SUM(F41:F42)</f>
        <v>196690860</v>
      </c>
      <c r="G40" s="245">
        <f>SUM(C40:F40)</f>
        <v>753052860</v>
      </c>
    </row>
    <row r="41" spans="1:7">
      <c r="A41" s="246">
        <v>220616</v>
      </c>
      <c r="B41" s="247" t="s">
        <v>370</v>
      </c>
      <c r="C41" s="248">
        <v>30000000</v>
      </c>
      <c r="D41" s="248">
        <f t="shared" ref="D41:F42" si="6">+C41*1.03</f>
        <v>30900000</v>
      </c>
      <c r="E41" s="248">
        <f t="shared" si="6"/>
        <v>31827000</v>
      </c>
      <c r="F41" s="248">
        <f t="shared" si="6"/>
        <v>32781810</v>
      </c>
      <c r="G41" s="248"/>
    </row>
    <row r="42" spans="1:7">
      <c r="A42" s="246">
        <v>220617</v>
      </c>
      <c r="B42" s="247" t="s">
        <v>357</v>
      </c>
      <c r="C42" s="248">
        <v>150000000</v>
      </c>
      <c r="D42" s="248">
        <f t="shared" si="6"/>
        <v>154500000</v>
      </c>
      <c r="E42" s="248">
        <f t="shared" si="6"/>
        <v>159135000</v>
      </c>
      <c r="F42" s="248">
        <f t="shared" si="6"/>
        <v>163909050</v>
      </c>
      <c r="G42" s="248"/>
    </row>
    <row r="43" spans="1:7" s="249" customFormat="1">
      <c r="A43" s="243">
        <v>2207</v>
      </c>
      <c r="B43" s="244" t="s">
        <v>377</v>
      </c>
      <c r="C43" s="245">
        <f>SUM(C44:C45)</f>
        <v>125000000</v>
      </c>
      <c r="D43" s="245">
        <f>SUM(D44:D45)</f>
        <v>128750000</v>
      </c>
      <c r="E43" s="245">
        <f>SUM(E44:E45)</f>
        <v>132612500</v>
      </c>
      <c r="F43" s="245">
        <f>SUM(F44:F45)</f>
        <v>136590875</v>
      </c>
      <c r="G43" s="245">
        <f>SUM(C43:F43)</f>
        <v>522953375</v>
      </c>
    </row>
    <row r="44" spans="1:7">
      <c r="A44" s="246">
        <v>220716</v>
      </c>
      <c r="B44" s="247" t="s">
        <v>357</v>
      </c>
      <c r="C44" s="248">
        <v>25000000</v>
      </c>
      <c r="D44" s="248">
        <f t="shared" ref="D44:F45" si="7">+C44*1.03</f>
        <v>25750000</v>
      </c>
      <c r="E44" s="248">
        <f t="shared" si="7"/>
        <v>26522500</v>
      </c>
      <c r="F44" s="248">
        <f t="shared" si="7"/>
        <v>27318175</v>
      </c>
      <c r="G44" s="248"/>
    </row>
    <row r="45" spans="1:7">
      <c r="A45" s="246">
        <v>220717</v>
      </c>
      <c r="B45" s="247" t="s">
        <v>378</v>
      </c>
      <c r="C45" s="248">
        <v>100000000</v>
      </c>
      <c r="D45" s="248">
        <f t="shared" si="7"/>
        <v>103000000</v>
      </c>
      <c r="E45" s="248">
        <f t="shared" si="7"/>
        <v>106090000</v>
      </c>
      <c r="F45" s="248">
        <f t="shared" si="7"/>
        <v>109272700</v>
      </c>
      <c r="G45" s="248"/>
    </row>
    <row r="46" spans="1:7" s="249" customFormat="1">
      <c r="A46" s="243">
        <v>2208</v>
      </c>
      <c r="B46" s="244" t="s">
        <v>379</v>
      </c>
      <c r="C46" s="245">
        <f>SUM(C47:C48)</f>
        <v>230000000</v>
      </c>
      <c r="D46" s="245">
        <f>SUM(D47:D48)</f>
        <v>236900000</v>
      </c>
      <c r="E46" s="245">
        <f>SUM(E47:E48)</f>
        <v>244007000</v>
      </c>
      <c r="F46" s="245">
        <f>SUM(F47:F48)</f>
        <v>251327210</v>
      </c>
      <c r="G46" s="245">
        <f>SUM(C46:F46)</f>
        <v>962234210</v>
      </c>
    </row>
    <row r="47" spans="1:7">
      <c r="A47" s="246">
        <v>220816</v>
      </c>
      <c r="B47" s="247" t="s">
        <v>357</v>
      </c>
      <c r="C47" s="248">
        <v>50000000</v>
      </c>
      <c r="D47" s="248">
        <f t="shared" ref="D47:F48" si="8">+C47*1.03</f>
        <v>51500000</v>
      </c>
      <c r="E47" s="248">
        <f t="shared" si="8"/>
        <v>53045000</v>
      </c>
      <c r="F47" s="248">
        <f t="shared" si="8"/>
        <v>54636350</v>
      </c>
      <c r="G47" s="248"/>
    </row>
    <row r="48" spans="1:7">
      <c r="A48" s="246">
        <v>220817</v>
      </c>
      <c r="B48" s="247" t="s">
        <v>375</v>
      </c>
      <c r="C48" s="248">
        <v>180000000</v>
      </c>
      <c r="D48" s="248">
        <f t="shared" si="8"/>
        <v>185400000</v>
      </c>
      <c r="E48" s="248">
        <f t="shared" si="8"/>
        <v>190962000</v>
      </c>
      <c r="F48" s="248">
        <f t="shared" si="8"/>
        <v>196690860</v>
      </c>
      <c r="G48" s="248"/>
    </row>
    <row r="49" spans="1:7" s="249" customFormat="1">
      <c r="A49" s="243">
        <v>2209</v>
      </c>
      <c r="B49" s="244" t="s">
        <v>380</v>
      </c>
      <c r="C49" s="245">
        <f>SUM(C50:C51)</f>
        <v>280000000</v>
      </c>
      <c r="D49" s="245">
        <f>SUM(D50:D51)</f>
        <v>288400000</v>
      </c>
      <c r="E49" s="245">
        <f>SUM(E50:E51)</f>
        <v>297052000</v>
      </c>
      <c r="F49" s="245">
        <f>SUM(F50:F51)</f>
        <v>305963560</v>
      </c>
      <c r="G49" s="245">
        <f>SUM(C49:F49)</f>
        <v>1171415560</v>
      </c>
    </row>
    <row r="50" spans="1:7">
      <c r="A50" s="246">
        <v>220916</v>
      </c>
      <c r="B50" s="247" t="s">
        <v>357</v>
      </c>
      <c r="C50" s="248">
        <v>30000000</v>
      </c>
      <c r="D50" s="248">
        <f t="shared" ref="D50:F51" si="9">+C50*1.03</f>
        <v>30900000</v>
      </c>
      <c r="E50" s="248">
        <f t="shared" si="9"/>
        <v>31827000</v>
      </c>
      <c r="F50" s="248">
        <f t="shared" si="9"/>
        <v>32781810</v>
      </c>
      <c r="G50" s="248"/>
    </row>
    <row r="51" spans="1:7">
      <c r="A51" s="246">
        <v>220917</v>
      </c>
      <c r="B51" s="247" t="s">
        <v>375</v>
      </c>
      <c r="C51" s="248">
        <v>250000000</v>
      </c>
      <c r="D51" s="248">
        <f t="shared" si="9"/>
        <v>257500000</v>
      </c>
      <c r="E51" s="248">
        <f t="shared" si="9"/>
        <v>265225000</v>
      </c>
      <c r="F51" s="248">
        <f t="shared" si="9"/>
        <v>273181750</v>
      </c>
      <c r="G51" s="248"/>
    </row>
    <row r="52" spans="1:7" s="249" customFormat="1">
      <c r="A52" s="243">
        <v>2210</v>
      </c>
      <c r="B52" s="244" t="s">
        <v>381</v>
      </c>
      <c r="C52" s="245">
        <f>SUM(C53:C54)</f>
        <v>100000000</v>
      </c>
      <c r="D52" s="245">
        <f>SUM(D53:D54)</f>
        <v>103000000</v>
      </c>
      <c r="E52" s="245">
        <f>SUM(E53:E54)</f>
        <v>106090000</v>
      </c>
      <c r="F52" s="245">
        <f>SUM(F53:F54)</f>
        <v>109272700</v>
      </c>
      <c r="G52" s="245">
        <f>SUM(C52:F52)</f>
        <v>418362700</v>
      </c>
    </row>
    <row r="53" spans="1:7">
      <c r="A53" s="246">
        <v>221016</v>
      </c>
      <c r="B53" s="247" t="s">
        <v>382</v>
      </c>
      <c r="C53" s="248">
        <v>40000000</v>
      </c>
      <c r="D53" s="248">
        <f t="shared" ref="D53:F54" si="10">+C53*1.03</f>
        <v>41200000</v>
      </c>
      <c r="E53" s="248">
        <f t="shared" si="10"/>
        <v>42436000</v>
      </c>
      <c r="F53" s="248">
        <f t="shared" si="10"/>
        <v>43709080</v>
      </c>
      <c r="G53" s="248"/>
    </row>
    <row r="54" spans="1:7">
      <c r="A54" s="246">
        <v>221017</v>
      </c>
      <c r="B54" s="247" t="s">
        <v>378</v>
      </c>
      <c r="C54" s="248">
        <v>60000000</v>
      </c>
      <c r="D54" s="248">
        <f t="shared" si="10"/>
        <v>61800000</v>
      </c>
      <c r="E54" s="248">
        <f t="shared" si="10"/>
        <v>63654000</v>
      </c>
      <c r="F54" s="248">
        <f t="shared" si="10"/>
        <v>65563620</v>
      </c>
      <c r="G54" s="248"/>
    </row>
    <row r="55" spans="1:7" s="249" customFormat="1" ht="30">
      <c r="A55" s="243">
        <v>2211</v>
      </c>
      <c r="B55" s="244" t="s">
        <v>383</v>
      </c>
      <c r="C55" s="245">
        <f>SUM(C56)</f>
        <v>80037000</v>
      </c>
      <c r="D55" s="245">
        <f>SUM(D56)</f>
        <v>82438110</v>
      </c>
      <c r="E55" s="245">
        <f>SUM(E56)</f>
        <v>84911253.299999997</v>
      </c>
      <c r="F55" s="245">
        <f>SUM(F56)</f>
        <v>87458590.899000004</v>
      </c>
      <c r="G55" s="245">
        <f>SUM(C55:F55)</f>
        <v>334844954.199</v>
      </c>
    </row>
    <row r="56" spans="1:7">
      <c r="A56" s="246">
        <v>221117</v>
      </c>
      <c r="B56" s="247" t="s">
        <v>375</v>
      </c>
      <c r="C56" s="248">
        <v>80037000</v>
      </c>
      <c r="D56" s="248">
        <f>+C56*1.03</f>
        <v>82438110</v>
      </c>
      <c r="E56" s="248">
        <f>+D56*1.03</f>
        <v>84911253.299999997</v>
      </c>
      <c r="F56" s="248">
        <f>+E56*1.03</f>
        <v>87458590.899000004</v>
      </c>
      <c r="G56" s="248"/>
    </row>
    <row r="57" spans="1:7" s="249" customFormat="1">
      <c r="A57" s="243">
        <v>2212</v>
      </c>
      <c r="B57" s="244" t="s">
        <v>384</v>
      </c>
      <c r="C57" s="245">
        <f>SUM(C58)</f>
        <v>55000000</v>
      </c>
      <c r="D57" s="245">
        <f>SUM(D58)</f>
        <v>56650000</v>
      </c>
      <c r="E57" s="245">
        <f>SUM(E58)</f>
        <v>58349500</v>
      </c>
      <c r="F57" s="245">
        <f>SUM(F58)</f>
        <v>60099985</v>
      </c>
      <c r="G57" s="245">
        <f>SUM(C57:F57)</f>
        <v>230099485</v>
      </c>
    </row>
    <row r="58" spans="1:7">
      <c r="A58" s="246">
        <v>221217</v>
      </c>
      <c r="B58" s="247" t="s">
        <v>375</v>
      </c>
      <c r="C58" s="248">
        <v>55000000</v>
      </c>
      <c r="D58" s="248">
        <f t="shared" ref="D58:F62" si="11">+C58*1.03</f>
        <v>56650000</v>
      </c>
      <c r="E58" s="248">
        <f t="shared" si="11"/>
        <v>58349500</v>
      </c>
      <c r="F58" s="248">
        <f t="shared" si="11"/>
        <v>60099985</v>
      </c>
      <c r="G58" s="248"/>
    </row>
    <row r="59" spans="1:7" s="249" customFormat="1" ht="30">
      <c r="A59" s="243">
        <v>2213</v>
      </c>
      <c r="B59" s="244" t="s">
        <v>385</v>
      </c>
      <c r="C59" s="245">
        <f>SUM(C60:C62)</f>
        <v>209000000</v>
      </c>
      <c r="D59" s="245">
        <f t="shared" si="11"/>
        <v>215270000</v>
      </c>
      <c r="E59" s="245">
        <f t="shared" si="11"/>
        <v>221728100</v>
      </c>
      <c r="F59" s="245">
        <f t="shared" si="11"/>
        <v>228379943</v>
      </c>
      <c r="G59" s="245">
        <f>SUM(C59:F59)</f>
        <v>874378043</v>
      </c>
    </row>
    <row r="60" spans="1:7">
      <c r="A60" s="246">
        <v>221316</v>
      </c>
      <c r="B60" s="247" t="s">
        <v>382</v>
      </c>
      <c r="C60" s="248">
        <v>41000000</v>
      </c>
      <c r="D60" s="248">
        <f>+C60*1.03</f>
        <v>42230000</v>
      </c>
      <c r="E60" s="248">
        <f t="shared" si="11"/>
        <v>43496900</v>
      </c>
      <c r="F60" s="248">
        <f t="shared" si="11"/>
        <v>44801807</v>
      </c>
      <c r="G60" s="248"/>
    </row>
    <row r="61" spans="1:7">
      <c r="A61" s="246">
        <v>221317</v>
      </c>
      <c r="B61" s="247" t="s">
        <v>375</v>
      </c>
      <c r="C61" s="248">
        <v>140000000</v>
      </c>
      <c r="D61" s="248">
        <f>+C61*1.03</f>
        <v>144200000</v>
      </c>
      <c r="E61" s="248">
        <f>+D61*1.03</f>
        <v>148526000</v>
      </c>
      <c r="F61" s="248">
        <f>+E61*1.03</f>
        <v>152981780</v>
      </c>
      <c r="G61" s="248"/>
    </row>
    <row r="62" spans="1:7">
      <c r="A62" s="246">
        <v>221321</v>
      </c>
      <c r="B62" s="247" t="s">
        <v>386</v>
      </c>
      <c r="C62" s="248">
        <v>28000000</v>
      </c>
      <c r="D62" s="248">
        <f>+C62*1.03</f>
        <v>28840000</v>
      </c>
      <c r="E62" s="248">
        <f t="shared" si="11"/>
        <v>29705200</v>
      </c>
      <c r="F62" s="248">
        <f t="shared" si="11"/>
        <v>30596356</v>
      </c>
      <c r="G62" s="248"/>
    </row>
    <row r="63" spans="1:7" s="249" customFormat="1">
      <c r="A63" s="243">
        <v>2215</v>
      </c>
      <c r="B63" s="244" t="s">
        <v>387</v>
      </c>
      <c r="C63" s="245">
        <f>SUM(C64:C65)</f>
        <v>156000000</v>
      </c>
      <c r="D63" s="245">
        <f>SUM(D64:D65)</f>
        <v>160680000</v>
      </c>
      <c r="E63" s="245">
        <f>SUM(E64:E65)</f>
        <v>165500400</v>
      </c>
      <c r="F63" s="245">
        <f>SUM(F64:F65)</f>
        <v>170465412</v>
      </c>
      <c r="G63" s="245">
        <f>SUM(C63:F63)</f>
        <v>652645812</v>
      </c>
    </row>
    <row r="64" spans="1:7">
      <c r="A64" s="246">
        <v>221517</v>
      </c>
      <c r="B64" s="247" t="s">
        <v>375</v>
      </c>
      <c r="C64" s="248">
        <v>155000000</v>
      </c>
      <c r="D64" s="248">
        <f t="shared" ref="D64:F65" si="12">+C64*1.03</f>
        <v>159650000</v>
      </c>
      <c r="E64" s="248">
        <f t="shared" si="12"/>
        <v>164439500</v>
      </c>
      <c r="F64" s="248">
        <f t="shared" si="12"/>
        <v>169372685</v>
      </c>
      <c r="G64" s="248"/>
    </row>
    <row r="65" spans="1:8">
      <c r="A65" s="246">
        <v>221522</v>
      </c>
      <c r="B65" s="247" t="s">
        <v>388</v>
      </c>
      <c r="C65" s="248">
        <v>1000000</v>
      </c>
      <c r="D65" s="248">
        <f t="shared" si="12"/>
        <v>1030000</v>
      </c>
      <c r="E65" s="248">
        <f t="shared" si="12"/>
        <v>1060900</v>
      </c>
      <c r="F65" s="248">
        <f t="shared" si="12"/>
        <v>1092727</v>
      </c>
      <c r="G65" s="248"/>
    </row>
    <row r="66" spans="1:8" s="249" customFormat="1">
      <c r="A66" s="243">
        <v>2216</v>
      </c>
      <c r="B66" s="244" t="s">
        <v>389</v>
      </c>
      <c r="C66" s="245">
        <f>SUM(C67)</f>
        <v>62000000</v>
      </c>
      <c r="D66" s="245">
        <f>SUM(D67)</f>
        <v>63860000</v>
      </c>
      <c r="E66" s="245">
        <f>SUM(E67)</f>
        <v>65775800</v>
      </c>
      <c r="F66" s="245">
        <f>SUM(F67)</f>
        <v>67749074</v>
      </c>
      <c r="G66" s="245">
        <f>SUM(C66:F66)</f>
        <v>259384874</v>
      </c>
    </row>
    <row r="67" spans="1:8">
      <c r="A67" s="246">
        <v>221617</v>
      </c>
      <c r="B67" s="247" t="s">
        <v>375</v>
      </c>
      <c r="C67" s="248">
        <v>62000000</v>
      </c>
      <c r="D67" s="248">
        <f>+C67*1.03</f>
        <v>63860000</v>
      </c>
      <c r="E67" s="248">
        <f>+D67*1.03</f>
        <v>65775800</v>
      </c>
      <c r="F67" s="248">
        <f>+E67*1.03</f>
        <v>67749074</v>
      </c>
      <c r="G67" s="248"/>
    </row>
    <row r="68" spans="1:8" s="249" customFormat="1" ht="30">
      <c r="A68" s="243">
        <v>2217</v>
      </c>
      <c r="B68" s="244" t="s">
        <v>390</v>
      </c>
      <c r="C68" s="245">
        <f>SUM(C69:C70)</f>
        <v>176500000</v>
      </c>
      <c r="D68" s="245">
        <f>SUM(D69:D70)</f>
        <v>181795000</v>
      </c>
      <c r="E68" s="245">
        <f>SUM(E69:E70)</f>
        <v>187248850</v>
      </c>
      <c r="F68" s="245">
        <f>SUM(F69:F70)</f>
        <v>192866315.5</v>
      </c>
      <c r="G68" s="245">
        <f>SUM(C68:F68)</f>
        <v>738410165.5</v>
      </c>
    </row>
    <row r="69" spans="1:8">
      <c r="A69" s="246">
        <v>221717</v>
      </c>
      <c r="B69" s="247" t="s">
        <v>375</v>
      </c>
      <c r="C69" s="248">
        <v>157500000</v>
      </c>
      <c r="D69" s="248">
        <f t="shared" ref="D69:F70" si="13">+C69*1.03</f>
        <v>162225000</v>
      </c>
      <c r="E69" s="248">
        <f t="shared" si="13"/>
        <v>167091750</v>
      </c>
      <c r="F69" s="248">
        <f t="shared" si="13"/>
        <v>172104502.5</v>
      </c>
      <c r="G69" s="248"/>
    </row>
    <row r="70" spans="1:8">
      <c r="A70" s="246">
        <v>221729</v>
      </c>
      <c r="B70" s="247" t="s">
        <v>363</v>
      </c>
      <c r="C70" s="248">
        <v>19000000</v>
      </c>
      <c r="D70" s="248">
        <f t="shared" si="13"/>
        <v>19570000</v>
      </c>
      <c r="E70" s="248">
        <f t="shared" si="13"/>
        <v>20157100</v>
      </c>
      <c r="F70" s="248">
        <f t="shared" si="13"/>
        <v>20761813</v>
      </c>
      <c r="G70" s="248"/>
    </row>
    <row r="71" spans="1:8" s="249" customFormat="1">
      <c r="A71" s="243">
        <v>2218</v>
      </c>
      <c r="B71" s="244" t="s">
        <v>391</v>
      </c>
      <c r="C71" s="245">
        <f>SUM(C72:C74)</f>
        <v>55000000</v>
      </c>
      <c r="D71" s="245">
        <f>SUM(D72:D74)</f>
        <v>56650000</v>
      </c>
      <c r="E71" s="245">
        <f>SUM(E72:E74)</f>
        <v>58349500</v>
      </c>
      <c r="F71" s="245">
        <f>SUM(F72:F74)</f>
        <v>60099985</v>
      </c>
      <c r="G71" s="245">
        <f>SUM(C71:F71)</f>
        <v>230099485</v>
      </c>
    </row>
    <row r="72" spans="1:8" ht="30">
      <c r="A72" s="246">
        <v>221817</v>
      </c>
      <c r="B72" s="247" t="s">
        <v>392</v>
      </c>
      <c r="C72" s="248">
        <v>30000000</v>
      </c>
      <c r="D72" s="248">
        <f>+C72*1.03</f>
        <v>30900000</v>
      </c>
      <c r="E72" s="248">
        <f>+D72*1.03</f>
        <v>31827000</v>
      </c>
      <c r="F72" s="248">
        <f>+E72*1.03</f>
        <v>32781810</v>
      </c>
      <c r="G72" s="248"/>
      <c r="H72" s="279">
        <f>SUM(C72:G72)</f>
        <v>125508810</v>
      </c>
    </row>
    <row r="73" spans="1:8">
      <c r="A73" s="246">
        <v>221823</v>
      </c>
      <c r="B73" s="247" t="s">
        <v>393</v>
      </c>
      <c r="C73" s="248">
        <v>0</v>
      </c>
      <c r="D73" s="248">
        <f t="shared" ref="D73:F74" si="14">+C73*1.03</f>
        <v>0</v>
      </c>
      <c r="E73" s="248">
        <f t="shared" si="14"/>
        <v>0</v>
      </c>
      <c r="F73" s="248">
        <f t="shared" si="14"/>
        <v>0</v>
      </c>
      <c r="G73" s="248"/>
    </row>
    <row r="74" spans="1:8" ht="30">
      <c r="A74" s="246">
        <v>221828</v>
      </c>
      <c r="B74" s="247" t="s">
        <v>394</v>
      </c>
      <c r="C74" s="248">
        <v>25000000</v>
      </c>
      <c r="D74" s="248">
        <f t="shared" si="14"/>
        <v>25750000</v>
      </c>
      <c r="E74" s="248">
        <f t="shared" si="14"/>
        <v>26522500</v>
      </c>
      <c r="F74" s="248">
        <f t="shared" si="14"/>
        <v>27318175</v>
      </c>
      <c r="G74" s="248"/>
      <c r="H74" s="279">
        <f>SUM(C74:G74)</f>
        <v>104590675</v>
      </c>
    </row>
    <row r="75" spans="1:8">
      <c r="A75" s="251"/>
      <c r="B75" s="229"/>
      <c r="C75" s="252"/>
      <c r="D75" s="252"/>
      <c r="E75" s="252"/>
      <c r="F75" s="252"/>
      <c r="G75" s="256">
        <f>SUM(G15:G74)</f>
        <v>23022299194.448051</v>
      </c>
    </row>
    <row r="76" spans="1:8">
      <c r="A76" s="251"/>
      <c r="B76" s="229"/>
      <c r="C76" s="252"/>
      <c r="D76" s="252"/>
      <c r="E76" s="252"/>
      <c r="F76" s="252"/>
    </row>
    <row r="77" spans="1:8">
      <c r="A77" s="251"/>
      <c r="B77" s="229"/>
      <c r="C77" s="252"/>
      <c r="D77" s="252"/>
      <c r="E77" s="252"/>
      <c r="F77" s="252"/>
    </row>
    <row r="78" spans="1:8">
      <c r="A78" s="251"/>
      <c r="B78" s="229"/>
      <c r="C78" s="252"/>
      <c r="D78" s="252"/>
      <c r="E78" s="252"/>
      <c r="F78" s="252"/>
    </row>
    <row r="79" spans="1:8">
      <c r="A79" s="251"/>
      <c r="B79" s="229"/>
      <c r="C79" s="252"/>
      <c r="D79" s="252"/>
      <c r="E79" s="252"/>
      <c r="F79" s="252"/>
    </row>
    <row r="80" spans="1:8">
      <c r="A80" s="251"/>
      <c r="B80" s="229"/>
      <c r="C80" s="252"/>
      <c r="D80" s="252"/>
      <c r="E80" s="252"/>
      <c r="F80" s="252"/>
    </row>
    <row r="81" spans="1:6">
      <c r="A81" s="251"/>
      <c r="B81" s="229"/>
      <c r="C81" s="252"/>
      <c r="D81" s="252"/>
      <c r="E81" s="252"/>
      <c r="F81" s="252"/>
    </row>
    <row r="82" spans="1:6">
      <c r="A82" s="251"/>
      <c r="B82" s="229"/>
      <c r="C82" s="252"/>
      <c r="D82" s="252"/>
      <c r="E82" s="252"/>
      <c r="F82" s="252"/>
    </row>
    <row r="83" spans="1:6">
      <c r="A83" s="251"/>
      <c r="B83" s="229"/>
      <c r="C83" s="252"/>
      <c r="D83" s="252"/>
      <c r="E83" s="252"/>
      <c r="F83" s="252"/>
    </row>
    <row r="84" spans="1:6">
      <c r="A84" s="251"/>
      <c r="B84" s="229"/>
      <c r="C84" s="252"/>
      <c r="D84" s="252"/>
      <c r="E84" s="252"/>
      <c r="F84" s="252"/>
    </row>
    <row r="85" spans="1:6">
      <c r="A85" s="251"/>
      <c r="B85" s="229"/>
      <c r="C85" s="252"/>
      <c r="D85" s="252"/>
      <c r="E85" s="252"/>
      <c r="F85" s="252"/>
    </row>
    <row r="86" spans="1:6">
      <c r="A86" s="251"/>
      <c r="B86" s="229"/>
      <c r="C86" s="252"/>
      <c r="D86" s="252"/>
      <c r="E86" s="252"/>
      <c r="F86" s="252"/>
    </row>
    <row r="87" spans="1:6">
      <c r="A87" s="251"/>
      <c r="B87" s="229"/>
      <c r="C87" s="252"/>
      <c r="D87" s="252"/>
      <c r="E87" s="252"/>
      <c r="F87" s="252"/>
    </row>
    <row r="88" spans="1:6">
      <c r="A88" s="251"/>
      <c r="B88" s="229"/>
      <c r="C88" s="252"/>
      <c r="D88" s="252"/>
      <c r="E88" s="252"/>
      <c r="F88" s="252"/>
    </row>
    <row r="89" spans="1:6">
      <c r="A89" s="251"/>
      <c r="B89" s="229"/>
      <c r="C89" s="252"/>
      <c r="D89" s="252"/>
      <c r="E89" s="252"/>
      <c r="F89" s="252"/>
    </row>
    <row r="90" spans="1:6">
      <c r="A90" s="251"/>
      <c r="B90" s="229"/>
      <c r="C90" s="252"/>
      <c r="D90" s="252"/>
      <c r="E90" s="252"/>
      <c r="F90" s="252"/>
    </row>
    <row r="91" spans="1:6">
      <c r="A91" s="251"/>
      <c r="B91" s="229"/>
      <c r="C91" s="252"/>
      <c r="D91" s="252"/>
      <c r="E91" s="252"/>
      <c r="F91" s="252"/>
    </row>
    <row r="92" spans="1:6">
      <c r="A92" s="251"/>
      <c r="B92" s="229"/>
      <c r="C92" s="252"/>
      <c r="D92" s="252"/>
      <c r="E92" s="252"/>
      <c r="F92" s="252"/>
    </row>
    <row r="93" spans="1:6">
      <c r="A93" s="251"/>
      <c r="B93" s="229"/>
      <c r="C93" s="252"/>
      <c r="D93" s="252"/>
      <c r="E93" s="252"/>
      <c r="F93" s="252"/>
    </row>
    <row r="94" spans="1:6">
      <c r="A94" s="251"/>
      <c r="B94" s="229"/>
      <c r="C94" s="252"/>
      <c r="D94" s="252"/>
      <c r="E94" s="252"/>
      <c r="F94" s="252"/>
    </row>
    <row r="95" spans="1:6">
      <c r="A95" s="251"/>
      <c r="B95" s="229"/>
      <c r="C95" s="252"/>
      <c r="D95" s="252"/>
      <c r="E95" s="252"/>
      <c r="F95" s="252"/>
    </row>
    <row r="96" spans="1:6">
      <c r="A96" s="251"/>
      <c r="B96" s="229"/>
      <c r="C96" s="252"/>
      <c r="D96" s="252"/>
      <c r="E96" s="252"/>
      <c r="F96" s="252"/>
    </row>
    <row r="97" spans="1:6">
      <c r="A97" s="251"/>
      <c r="B97" s="229"/>
      <c r="C97" s="252"/>
      <c r="D97" s="252"/>
      <c r="E97" s="252"/>
      <c r="F97" s="252"/>
    </row>
    <row r="98" spans="1:6">
      <c r="A98" s="251"/>
      <c r="B98" s="229"/>
      <c r="C98" s="252"/>
      <c r="D98" s="252"/>
      <c r="E98" s="252"/>
      <c r="F98" s="252"/>
    </row>
    <row r="99" spans="1:6">
      <c r="A99" s="229"/>
      <c r="B99" s="229"/>
      <c r="C99" s="252"/>
      <c r="D99" s="252"/>
      <c r="E99" s="252"/>
      <c r="F99" s="252"/>
    </row>
    <row r="100" spans="1:6">
      <c r="A100" s="229"/>
      <c r="B100" s="229"/>
      <c r="C100" s="252"/>
      <c r="D100" s="252"/>
      <c r="E100" s="252"/>
      <c r="F100" s="252"/>
    </row>
    <row r="101" spans="1:6" s="235" customFormat="1">
      <c r="A101" s="253"/>
      <c r="B101" s="253"/>
      <c r="C101" s="254"/>
      <c r="D101" s="254"/>
      <c r="E101" s="254"/>
      <c r="F101" s="254"/>
    </row>
    <row r="102" spans="1:6">
      <c r="A102" s="229"/>
      <c r="B102" s="229"/>
      <c r="C102" s="229"/>
      <c r="D102" s="229"/>
      <c r="E102" s="229"/>
      <c r="F102" s="229"/>
    </row>
  </sheetData>
  <mergeCells count="6">
    <mergeCell ref="A6:A8"/>
    <mergeCell ref="B6:B8"/>
    <mergeCell ref="A1:F1"/>
    <mergeCell ref="A2:F2"/>
    <mergeCell ref="A3:F3"/>
    <mergeCell ref="A4:F4"/>
  </mergeCells>
  <phoneticPr fontId="0" type="noConversion"/>
  <pageMargins left="0.66" right="0.118110236220472" top="0.41" bottom="0.74803149606299202" header="0.31496062992126" footer="0.44"/>
  <pageSetup scale="75" orientation="portrait" horizontalDpi="4294967292" r:id="rId1"/>
  <headerFoot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topLeftCell="A19" zoomScale="60" workbookViewId="0">
      <selection activeCell="J45" sqref="J45"/>
    </sheetView>
  </sheetViews>
  <sheetFormatPr baseColWidth="10" defaultRowHeight="15"/>
  <cols>
    <col min="1" max="1" width="10.5703125" bestFit="1" customWidth="1"/>
    <col min="2" max="2" width="55.28515625" customWidth="1"/>
    <col min="3" max="3" width="18" bestFit="1" customWidth="1"/>
    <col min="4" max="4" width="17.5703125" bestFit="1" customWidth="1"/>
    <col min="5" max="6" width="18.42578125" bestFit="1" customWidth="1"/>
    <col min="7" max="7" width="19.42578125" customWidth="1"/>
    <col min="8" max="8" width="12.7109375" bestFit="1" customWidth="1"/>
  </cols>
  <sheetData>
    <row r="1" spans="1:7">
      <c r="A1" s="623" t="s">
        <v>341</v>
      </c>
      <c r="B1" s="623"/>
      <c r="C1" s="623"/>
      <c r="D1" s="623"/>
      <c r="E1" s="623"/>
      <c r="F1" s="623"/>
    </row>
    <row r="2" spans="1:7">
      <c r="A2" s="623" t="s">
        <v>342</v>
      </c>
      <c r="B2" s="623"/>
      <c r="C2" s="623"/>
      <c r="D2" s="623"/>
      <c r="E2" s="623"/>
      <c r="F2" s="623"/>
    </row>
    <row r="3" spans="1:7">
      <c r="A3" s="623" t="s">
        <v>343</v>
      </c>
      <c r="B3" s="623"/>
      <c r="C3" s="623"/>
      <c r="D3" s="623"/>
      <c r="E3" s="623"/>
      <c r="F3" s="623"/>
    </row>
    <row r="4" spans="1:7">
      <c r="A4" s="623" t="s">
        <v>344</v>
      </c>
      <c r="B4" s="623"/>
      <c r="C4" s="623"/>
      <c r="D4" s="623"/>
      <c r="E4" s="623"/>
      <c r="F4" s="623"/>
    </row>
    <row r="5" spans="1:7">
      <c r="A5" s="229"/>
      <c r="B5" s="230"/>
      <c r="C5" s="230"/>
      <c r="D5" s="230"/>
      <c r="E5" s="230"/>
      <c r="F5" s="230"/>
    </row>
    <row r="6" spans="1:7">
      <c r="A6" s="619" t="s">
        <v>345</v>
      </c>
      <c r="B6" s="622" t="s">
        <v>346</v>
      </c>
      <c r="C6" s="231" t="s">
        <v>347</v>
      </c>
      <c r="D6" s="231" t="s">
        <v>347</v>
      </c>
      <c r="E6" s="231" t="s">
        <v>347</v>
      </c>
      <c r="F6" s="231" t="s">
        <v>347</v>
      </c>
    </row>
    <row r="7" spans="1:7">
      <c r="A7" s="620"/>
      <c r="B7" s="622"/>
      <c r="C7" s="231" t="s">
        <v>348</v>
      </c>
      <c r="D7" s="231" t="s">
        <v>348</v>
      </c>
      <c r="E7" s="231" t="s">
        <v>348</v>
      </c>
      <c r="F7" s="231" t="s">
        <v>348</v>
      </c>
    </row>
    <row r="8" spans="1:7">
      <c r="A8" s="621"/>
      <c r="B8" s="622"/>
      <c r="C8" s="231">
        <v>2012</v>
      </c>
      <c r="D8" s="231">
        <v>2013</v>
      </c>
      <c r="E8" s="231">
        <v>2014</v>
      </c>
      <c r="F8" s="231">
        <v>2015</v>
      </c>
      <c r="G8" s="231" t="s">
        <v>218</v>
      </c>
    </row>
    <row r="9" spans="1:7" s="235" customFormat="1">
      <c r="A9" s="232">
        <v>2</v>
      </c>
      <c r="B9" s="233" t="s">
        <v>349</v>
      </c>
      <c r="C9" s="234">
        <f>+C10+C14</f>
        <v>6244067150</v>
      </c>
      <c r="D9" s="234">
        <f>+D10+D14</f>
        <v>6431389164.5</v>
      </c>
      <c r="E9" s="234">
        <f>+E10+E14</f>
        <v>6624330839.4350004</v>
      </c>
      <c r="F9" s="234">
        <f>+F10+F14</f>
        <v>6823060764.6180496</v>
      </c>
      <c r="G9" s="234"/>
    </row>
    <row r="10" spans="1:7" s="235" customFormat="1">
      <c r="A10" s="236">
        <v>21</v>
      </c>
      <c r="B10" s="237" t="s">
        <v>350</v>
      </c>
      <c r="C10" s="238">
        <f>SUM(C11:C13)</f>
        <v>741115000</v>
      </c>
      <c r="D10" s="238">
        <f>SUM(D11:D13)</f>
        <v>763348450</v>
      </c>
      <c r="E10" s="238">
        <f>SUM(E11:E13)</f>
        <v>786248903.5</v>
      </c>
      <c r="F10" s="238">
        <f>SUM(F11:F13)</f>
        <v>809836370.60500002</v>
      </c>
      <c r="G10" s="238">
        <f>SUM(C10:F10)</f>
        <v>3100548724.105</v>
      </c>
    </row>
    <row r="11" spans="1:7">
      <c r="A11" s="239">
        <v>211</v>
      </c>
      <c r="B11" s="240" t="s">
        <v>351</v>
      </c>
      <c r="C11" s="241">
        <v>86163000</v>
      </c>
      <c r="D11" s="242">
        <f t="shared" ref="D11:F13" si="0">+C11*1.03</f>
        <v>88747890</v>
      </c>
      <c r="E11" s="241">
        <f t="shared" si="0"/>
        <v>91410326.700000003</v>
      </c>
      <c r="F11" s="241">
        <f t="shared" si="0"/>
        <v>94152636.501000002</v>
      </c>
      <c r="G11" s="241"/>
    </row>
    <row r="12" spans="1:7">
      <c r="A12" s="239">
        <v>212</v>
      </c>
      <c r="B12" s="240" t="s">
        <v>352</v>
      </c>
      <c r="C12" s="241">
        <v>81000000</v>
      </c>
      <c r="D12" s="242">
        <f t="shared" si="0"/>
        <v>83430000</v>
      </c>
      <c r="E12" s="241">
        <f t="shared" si="0"/>
        <v>85932900</v>
      </c>
      <c r="F12" s="241">
        <f t="shared" si="0"/>
        <v>88510887</v>
      </c>
      <c r="G12" s="241"/>
    </row>
    <row r="13" spans="1:7">
      <c r="A13" s="239">
        <v>213</v>
      </c>
      <c r="B13" s="240" t="s">
        <v>353</v>
      </c>
      <c r="C13" s="241">
        <v>573952000</v>
      </c>
      <c r="D13" s="242">
        <f t="shared" si="0"/>
        <v>591170560</v>
      </c>
      <c r="E13" s="241">
        <f t="shared" si="0"/>
        <v>608905676.80000007</v>
      </c>
      <c r="F13" s="241">
        <f t="shared" si="0"/>
        <v>627172847.10400009</v>
      </c>
      <c r="G13" s="241"/>
    </row>
    <row r="14" spans="1:7" s="235" customFormat="1">
      <c r="A14" s="236">
        <v>22</v>
      </c>
      <c r="B14" s="237" t="s">
        <v>354</v>
      </c>
      <c r="C14" s="241">
        <f>+C15+C19+C28+C31+C36+C40+C43+C46+C49+C52+C55+C57+C59+C63+C66+C68+C71</f>
        <v>5502952150</v>
      </c>
      <c r="D14" s="242">
        <f>+D15+D19+D28+D31+D36+D40+D43+D46+D49+D52+D55+D57+D59+D63+D66+D68+D71</f>
        <v>5668040714.5</v>
      </c>
      <c r="E14" s="241">
        <f>+E15+E19+E28+E31+E36+E40+E43+E46+E49+E52+E55+E57+E59+E63+E66+E68+E71</f>
        <v>5838081935.9350004</v>
      </c>
      <c r="F14" s="241">
        <f>+F15+F19+F28+F31+F36+F40+F43+F46+F49+F52+F55+F57+F59+F63+F66+F68+F71</f>
        <v>6013224394.0130501</v>
      </c>
      <c r="G14" s="241"/>
    </row>
    <row r="15" spans="1:7" s="235" customFormat="1">
      <c r="A15" s="243">
        <v>2201</v>
      </c>
      <c r="B15" s="244" t="s">
        <v>325</v>
      </c>
      <c r="C15" s="245">
        <f>SUM(C16:C18)</f>
        <v>436989000</v>
      </c>
      <c r="D15" s="245">
        <f>SUM(D16:D18)</f>
        <v>450098670</v>
      </c>
      <c r="E15" s="245">
        <f>SUM(E16:E18)</f>
        <v>463601630.09999996</v>
      </c>
      <c r="F15" s="245">
        <f>SUM(F16:F18)</f>
        <v>477509679.00299996</v>
      </c>
      <c r="G15" s="245">
        <f>SUM(C15:F15)</f>
        <v>1828198979.1029999</v>
      </c>
    </row>
    <row r="16" spans="1:7">
      <c r="A16" s="246">
        <v>220101</v>
      </c>
      <c r="B16" s="247" t="s">
        <v>355</v>
      </c>
      <c r="C16" s="248">
        <v>53946000</v>
      </c>
      <c r="D16" s="248">
        <f t="shared" ref="D16:F18" si="1">+C16*1.03</f>
        <v>55564380</v>
      </c>
      <c r="E16" s="248">
        <f t="shared" si="1"/>
        <v>57231311.399999999</v>
      </c>
      <c r="F16" s="248">
        <f t="shared" si="1"/>
        <v>58948250.741999999</v>
      </c>
      <c r="G16" s="248"/>
    </row>
    <row r="17" spans="1:7">
      <c r="A17" s="246">
        <v>220102</v>
      </c>
      <c r="B17" s="247" t="s">
        <v>356</v>
      </c>
      <c r="C17" s="248">
        <v>300158000</v>
      </c>
      <c r="D17" s="248">
        <f t="shared" si="1"/>
        <v>309162740</v>
      </c>
      <c r="E17" s="248">
        <f t="shared" si="1"/>
        <v>318437622.19999999</v>
      </c>
      <c r="F17" s="248">
        <f t="shared" si="1"/>
        <v>327990750.866</v>
      </c>
      <c r="G17" s="248"/>
    </row>
    <row r="18" spans="1:7">
      <c r="A18" s="246">
        <v>220116</v>
      </c>
      <c r="B18" s="247" t="s">
        <v>357</v>
      </c>
      <c r="C18" s="248">
        <v>82885000</v>
      </c>
      <c r="D18" s="248">
        <f t="shared" si="1"/>
        <v>85371550</v>
      </c>
      <c r="E18" s="248">
        <f t="shared" si="1"/>
        <v>87932696.5</v>
      </c>
      <c r="F18" s="248">
        <f t="shared" si="1"/>
        <v>90570677.394999996</v>
      </c>
      <c r="G18" s="248"/>
    </row>
    <row r="19" spans="1:7" s="249" customFormat="1">
      <c r="A19" s="243">
        <v>2202</v>
      </c>
      <c r="B19" s="244" t="s">
        <v>358</v>
      </c>
      <c r="C19" s="245">
        <f>SUM(C20:C27)</f>
        <v>2354516150</v>
      </c>
      <c r="D19" s="245">
        <f>SUM(D20:D27)</f>
        <v>2425151634.5</v>
      </c>
      <c r="E19" s="245">
        <f>SUM(E20:E27)</f>
        <v>2497906183.5349998</v>
      </c>
      <c r="F19" s="245">
        <f>SUM(F20:F27)</f>
        <v>2572843369.0410504</v>
      </c>
      <c r="G19" s="245">
        <f>SUM(C19:F19)</f>
        <v>9850417337.0760498</v>
      </c>
    </row>
    <row r="20" spans="1:7">
      <c r="A20" s="246">
        <v>220205</v>
      </c>
      <c r="B20" s="247" t="s">
        <v>926</v>
      </c>
      <c r="C20" s="248">
        <v>70763635</v>
      </c>
      <c r="D20" s="248">
        <f>+C20*1.03</f>
        <v>72886544.049999997</v>
      </c>
      <c r="E20" s="248">
        <f>+D20*1.03</f>
        <v>75073140.3715</v>
      </c>
      <c r="F20" s="248">
        <f>+E20*1.03</f>
        <v>77325334.582644999</v>
      </c>
      <c r="G20" s="248"/>
    </row>
    <row r="21" spans="1:7">
      <c r="A21" s="246">
        <v>220206</v>
      </c>
      <c r="B21" s="247" t="s">
        <v>359</v>
      </c>
      <c r="C21" s="248">
        <v>1238172515</v>
      </c>
      <c r="D21" s="248">
        <f t="shared" ref="D21:F27" si="2">+C21*1.03</f>
        <v>1275317690.45</v>
      </c>
      <c r="E21" s="248">
        <f t="shared" si="2"/>
        <v>1313577221.1635001</v>
      </c>
      <c r="F21" s="248">
        <f t="shared" si="2"/>
        <v>1352984537.7984052</v>
      </c>
      <c r="G21" s="248"/>
    </row>
    <row r="22" spans="1:7">
      <c r="A22" s="246">
        <v>220207</v>
      </c>
      <c r="B22" s="247" t="s">
        <v>360</v>
      </c>
      <c r="C22" s="248">
        <v>936000000</v>
      </c>
      <c r="D22" s="248">
        <f t="shared" si="2"/>
        <v>964080000</v>
      </c>
      <c r="E22" s="248">
        <f t="shared" si="2"/>
        <v>993002400</v>
      </c>
      <c r="F22" s="248">
        <f t="shared" si="2"/>
        <v>1022792472</v>
      </c>
      <c r="G22" s="248"/>
    </row>
    <row r="23" spans="1:7">
      <c r="A23" s="246">
        <v>220208</v>
      </c>
      <c r="B23" s="247" t="s">
        <v>361</v>
      </c>
      <c r="C23" s="248">
        <v>23000000</v>
      </c>
      <c r="D23" s="248">
        <f t="shared" si="2"/>
        <v>23690000</v>
      </c>
      <c r="E23" s="248">
        <f t="shared" si="2"/>
        <v>24400700</v>
      </c>
      <c r="F23" s="248">
        <f t="shared" si="2"/>
        <v>25132721</v>
      </c>
      <c r="G23" s="248"/>
    </row>
    <row r="24" spans="1:7">
      <c r="A24" s="246">
        <v>220209</v>
      </c>
      <c r="B24" s="247" t="s">
        <v>362</v>
      </c>
      <c r="C24" s="248">
        <v>200000</v>
      </c>
      <c r="D24" s="248">
        <f t="shared" si="2"/>
        <v>206000</v>
      </c>
      <c r="E24" s="248">
        <f t="shared" si="2"/>
        <v>212180</v>
      </c>
      <c r="F24" s="248">
        <f t="shared" si="2"/>
        <v>218545.4</v>
      </c>
      <c r="G24" s="248"/>
    </row>
    <row r="25" spans="1:7">
      <c r="A25" s="246">
        <v>220210</v>
      </c>
      <c r="B25" s="247" t="s">
        <v>363</v>
      </c>
      <c r="C25" s="248">
        <v>1000000</v>
      </c>
      <c r="D25" s="248">
        <f t="shared" si="2"/>
        <v>1030000</v>
      </c>
      <c r="E25" s="248">
        <f t="shared" si="2"/>
        <v>1060900</v>
      </c>
      <c r="F25" s="248">
        <f t="shared" si="2"/>
        <v>1092727</v>
      </c>
      <c r="G25" s="248"/>
    </row>
    <row r="26" spans="1:7">
      <c r="A26" s="246">
        <v>220216</v>
      </c>
      <c r="B26" s="250" t="s">
        <v>357</v>
      </c>
      <c r="C26" s="248">
        <v>38000000</v>
      </c>
      <c r="D26" s="248">
        <f t="shared" si="2"/>
        <v>39140000</v>
      </c>
      <c r="E26" s="248">
        <f t="shared" si="2"/>
        <v>40314200</v>
      </c>
      <c r="F26" s="248">
        <f t="shared" si="2"/>
        <v>41523626</v>
      </c>
      <c r="G26" s="248"/>
    </row>
    <row r="27" spans="1:7">
      <c r="A27" s="246">
        <v>220224</v>
      </c>
      <c r="B27" s="247" t="s">
        <v>364</v>
      </c>
      <c r="C27" s="248">
        <v>47380000</v>
      </c>
      <c r="D27" s="248">
        <f t="shared" si="2"/>
        <v>48801400</v>
      </c>
      <c r="E27" s="248">
        <f t="shared" si="2"/>
        <v>50265442</v>
      </c>
      <c r="F27" s="248">
        <f t="shared" si="2"/>
        <v>51773405.259999998</v>
      </c>
      <c r="G27" s="248"/>
    </row>
    <row r="28" spans="1:7" s="249" customFormat="1">
      <c r="A28" s="243">
        <v>2203</v>
      </c>
      <c r="B28" s="244" t="s">
        <v>365</v>
      </c>
      <c r="C28" s="245">
        <f>SUM(C29:C30)</f>
        <v>736146000</v>
      </c>
      <c r="D28" s="245">
        <f>SUM(D29:D30)</f>
        <v>758230380</v>
      </c>
      <c r="E28" s="245">
        <f>SUM(E29:E30)</f>
        <v>780977291.39999998</v>
      </c>
      <c r="F28" s="245">
        <f>SUM(F29:F30)</f>
        <v>804406610.14199996</v>
      </c>
      <c r="G28" s="245">
        <f>SUM(C28:F28)</f>
        <v>3079760281.5419998</v>
      </c>
    </row>
    <row r="29" spans="1:7">
      <c r="A29" s="246">
        <v>220311</v>
      </c>
      <c r="B29" s="247" t="s">
        <v>489</v>
      </c>
      <c r="C29" s="248">
        <v>626146000</v>
      </c>
      <c r="D29" s="248">
        <f t="shared" ref="D29:F30" si="3">+C29*1.03</f>
        <v>644930380</v>
      </c>
      <c r="E29" s="248">
        <f t="shared" si="3"/>
        <v>664278291.39999998</v>
      </c>
      <c r="F29" s="248">
        <f t="shared" si="3"/>
        <v>684206640.14199996</v>
      </c>
      <c r="G29" s="248"/>
    </row>
    <row r="30" spans="1:7">
      <c r="A30" s="246">
        <v>220316</v>
      </c>
      <c r="B30" s="247" t="s">
        <v>357</v>
      </c>
      <c r="C30" s="248">
        <v>110000000</v>
      </c>
      <c r="D30" s="248">
        <f t="shared" si="3"/>
        <v>113300000</v>
      </c>
      <c r="E30" s="248">
        <f t="shared" si="3"/>
        <v>116699000</v>
      </c>
      <c r="F30" s="248">
        <f t="shared" si="3"/>
        <v>120199970</v>
      </c>
      <c r="G30" s="248"/>
    </row>
    <row r="31" spans="1:7" s="249" customFormat="1">
      <c r="A31" s="243">
        <v>2204</v>
      </c>
      <c r="B31" s="244" t="s">
        <v>367</v>
      </c>
      <c r="C31" s="245">
        <f>SUM(C32:C35)</f>
        <v>139008000</v>
      </c>
      <c r="D31" s="245">
        <f>SUM(D32:D35)</f>
        <v>143178240</v>
      </c>
      <c r="E31" s="245">
        <f>SUM(E32:E35)</f>
        <v>147473587.19999999</v>
      </c>
      <c r="F31" s="245">
        <f>SUM(F32:F35)</f>
        <v>151897794.81599998</v>
      </c>
      <c r="G31" s="245">
        <f>SUM(C31:F31)</f>
        <v>581557622.01600003</v>
      </c>
    </row>
    <row r="32" spans="1:7">
      <c r="A32" s="246">
        <v>220412</v>
      </c>
      <c r="B32" s="247" t="s">
        <v>368</v>
      </c>
      <c r="C32" s="248">
        <v>65008000</v>
      </c>
      <c r="D32" s="248">
        <f>+C32*1.03</f>
        <v>66958240</v>
      </c>
      <c r="E32" s="248">
        <f>+D32*1.03</f>
        <v>68966987.200000003</v>
      </c>
      <c r="F32" s="248">
        <f>+E32*1.03</f>
        <v>71035996.816</v>
      </c>
      <c r="G32" s="248"/>
    </row>
    <row r="33" spans="1:7">
      <c r="A33" s="246">
        <v>220413</v>
      </c>
      <c r="B33" s="247" t="s">
        <v>369</v>
      </c>
      <c r="C33" s="248">
        <v>28000000</v>
      </c>
      <c r="D33" s="248">
        <f t="shared" ref="D33:F35" si="4">+C33*1.03</f>
        <v>28840000</v>
      </c>
      <c r="E33" s="248">
        <f t="shared" si="4"/>
        <v>29705200</v>
      </c>
      <c r="F33" s="248">
        <f t="shared" si="4"/>
        <v>30596356</v>
      </c>
      <c r="G33" s="248"/>
    </row>
    <row r="34" spans="1:7">
      <c r="A34" s="246">
        <v>220416</v>
      </c>
      <c r="B34" s="247" t="s">
        <v>370</v>
      </c>
      <c r="C34" s="248">
        <v>42000000</v>
      </c>
      <c r="D34" s="248">
        <f t="shared" si="4"/>
        <v>43260000</v>
      </c>
      <c r="E34" s="248">
        <f t="shared" si="4"/>
        <v>44557800</v>
      </c>
      <c r="F34" s="248">
        <f t="shared" si="4"/>
        <v>45894534</v>
      </c>
      <c r="G34" s="248"/>
    </row>
    <row r="35" spans="1:7">
      <c r="A35" s="246">
        <v>220418</v>
      </c>
      <c r="B35" s="247" t="s">
        <v>371</v>
      </c>
      <c r="C35" s="248">
        <v>4000000</v>
      </c>
      <c r="D35" s="248">
        <f t="shared" si="4"/>
        <v>4120000</v>
      </c>
      <c r="E35" s="248">
        <f t="shared" si="4"/>
        <v>4243600</v>
      </c>
      <c r="F35" s="248">
        <f t="shared" si="4"/>
        <v>4370908</v>
      </c>
      <c r="G35" s="248"/>
    </row>
    <row r="36" spans="1:7" s="249" customFormat="1">
      <c r="A36" s="243">
        <v>2205</v>
      </c>
      <c r="B36" s="244" t="s">
        <v>372</v>
      </c>
      <c r="C36" s="245">
        <f>SUM(C37:C39)</f>
        <v>127756000</v>
      </c>
      <c r="D36" s="245">
        <f>SUM(D37:D39)</f>
        <v>131588680</v>
      </c>
      <c r="E36" s="245">
        <f>SUM(E37:E39)</f>
        <v>135536340.40000001</v>
      </c>
      <c r="F36" s="245">
        <f>SUM(F37:F39)</f>
        <v>139602430.61199999</v>
      </c>
      <c r="G36" s="245">
        <f>SUM(C36:F36)</f>
        <v>534483451.01199996</v>
      </c>
    </row>
    <row r="37" spans="1:7">
      <c r="A37" s="246">
        <v>220514</v>
      </c>
      <c r="B37" s="247" t="s">
        <v>373</v>
      </c>
      <c r="C37" s="248">
        <v>48756000</v>
      </c>
      <c r="D37" s="248">
        <f>+C37*1.03</f>
        <v>50218680</v>
      </c>
      <c r="E37" s="248">
        <f>+D37*1.03</f>
        <v>51725240.399999999</v>
      </c>
      <c r="F37" s="248">
        <f>+E37*1.03</f>
        <v>53276997.612000003</v>
      </c>
      <c r="G37" s="248"/>
    </row>
    <row r="38" spans="1:7">
      <c r="A38" s="246">
        <v>220514</v>
      </c>
      <c r="B38" s="247" t="s">
        <v>374</v>
      </c>
      <c r="C38" s="248">
        <v>14000000</v>
      </c>
      <c r="D38" s="248">
        <f t="shared" ref="D38:F39" si="5">+C38*1.03</f>
        <v>14420000</v>
      </c>
      <c r="E38" s="248">
        <f t="shared" si="5"/>
        <v>14852600</v>
      </c>
      <c r="F38" s="248">
        <f t="shared" si="5"/>
        <v>15298178</v>
      </c>
      <c r="G38" s="248"/>
    </row>
    <row r="39" spans="1:7">
      <c r="A39" s="246">
        <v>220517</v>
      </c>
      <c r="B39" s="247" t="s">
        <v>375</v>
      </c>
      <c r="C39" s="248">
        <v>65000000</v>
      </c>
      <c r="D39" s="248">
        <f t="shared" si="5"/>
        <v>66950000</v>
      </c>
      <c r="E39" s="248">
        <f t="shared" si="5"/>
        <v>68958500</v>
      </c>
      <c r="F39" s="248">
        <f t="shared" si="5"/>
        <v>71027255</v>
      </c>
      <c r="G39" s="248"/>
    </row>
    <row r="40" spans="1:7" s="249" customFormat="1">
      <c r="A40" s="243">
        <v>2206</v>
      </c>
      <c r="B40" s="244" t="s">
        <v>376</v>
      </c>
      <c r="C40" s="245">
        <f>SUM(C41:C42)</f>
        <v>180000000</v>
      </c>
      <c r="D40" s="245">
        <f>SUM(D41:D42)</f>
        <v>185400000</v>
      </c>
      <c r="E40" s="245">
        <f>SUM(E41:E42)</f>
        <v>190962000</v>
      </c>
      <c r="F40" s="245">
        <f>SUM(F41:F42)</f>
        <v>196690860</v>
      </c>
      <c r="G40" s="245">
        <f>SUM(C40:F40)</f>
        <v>753052860</v>
      </c>
    </row>
    <row r="41" spans="1:7">
      <c r="A41" s="246">
        <v>220616</v>
      </c>
      <c r="B41" s="247" t="s">
        <v>370</v>
      </c>
      <c r="C41" s="248">
        <v>30000000</v>
      </c>
      <c r="D41" s="248">
        <f t="shared" ref="D41:F42" si="6">+C41*1.03</f>
        <v>30900000</v>
      </c>
      <c r="E41" s="248">
        <f t="shared" si="6"/>
        <v>31827000</v>
      </c>
      <c r="F41" s="248">
        <f t="shared" si="6"/>
        <v>32781810</v>
      </c>
      <c r="G41" s="248"/>
    </row>
    <row r="42" spans="1:7">
      <c r="A42" s="246">
        <v>220617</v>
      </c>
      <c r="B42" s="247" t="s">
        <v>357</v>
      </c>
      <c r="C42" s="248">
        <v>150000000</v>
      </c>
      <c r="D42" s="248">
        <f t="shared" si="6"/>
        <v>154500000</v>
      </c>
      <c r="E42" s="248">
        <f t="shared" si="6"/>
        <v>159135000</v>
      </c>
      <c r="F42" s="248">
        <f t="shared" si="6"/>
        <v>163909050</v>
      </c>
      <c r="G42" s="248"/>
    </row>
    <row r="43" spans="1:7" s="249" customFormat="1">
      <c r="A43" s="243">
        <v>2207</v>
      </c>
      <c r="B43" s="244" t="s">
        <v>377</v>
      </c>
      <c r="C43" s="245">
        <f>SUM(C44:C45)</f>
        <v>125000000</v>
      </c>
      <c r="D43" s="245">
        <f>SUM(D44:D45)</f>
        <v>128750000</v>
      </c>
      <c r="E43" s="245">
        <f>SUM(E44:E45)</f>
        <v>132612500</v>
      </c>
      <c r="F43" s="245">
        <f>SUM(F44:F45)</f>
        <v>136590875</v>
      </c>
      <c r="G43" s="245">
        <f>SUM(C43:F43)</f>
        <v>522953375</v>
      </c>
    </row>
    <row r="44" spans="1:7">
      <c r="A44" s="246">
        <v>220716</v>
      </c>
      <c r="B44" s="247" t="s">
        <v>357</v>
      </c>
      <c r="C44" s="248">
        <v>25000000</v>
      </c>
      <c r="D44" s="248">
        <f t="shared" ref="D44:F45" si="7">+C44*1.03</f>
        <v>25750000</v>
      </c>
      <c r="E44" s="248">
        <f t="shared" si="7"/>
        <v>26522500</v>
      </c>
      <c r="F44" s="248">
        <f t="shared" si="7"/>
        <v>27318175</v>
      </c>
      <c r="G44" s="248"/>
    </row>
    <row r="45" spans="1:7">
      <c r="A45" s="246">
        <v>220717</v>
      </c>
      <c r="B45" s="247" t="s">
        <v>378</v>
      </c>
      <c r="C45" s="248">
        <v>100000000</v>
      </c>
      <c r="D45" s="248">
        <f t="shared" si="7"/>
        <v>103000000</v>
      </c>
      <c r="E45" s="248">
        <f t="shared" si="7"/>
        <v>106090000</v>
      </c>
      <c r="F45" s="248">
        <f t="shared" si="7"/>
        <v>109272700</v>
      </c>
      <c r="G45" s="248"/>
    </row>
    <row r="46" spans="1:7" s="249" customFormat="1">
      <c r="A46" s="243">
        <v>2208</v>
      </c>
      <c r="B46" s="244" t="s">
        <v>379</v>
      </c>
      <c r="C46" s="245">
        <f>SUM(C47:C48)</f>
        <v>230000000</v>
      </c>
      <c r="D46" s="245">
        <f>SUM(D47:D48)</f>
        <v>236900000</v>
      </c>
      <c r="E46" s="245">
        <f>SUM(E47:E48)</f>
        <v>244007000</v>
      </c>
      <c r="F46" s="245">
        <f>SUM(F47:F48)</f>
        <v>251327210</v>
      </c>
      <c r="G46" s="245">
        <f>SUM(C46:F46)</f>
        <v>962234210</v>
      </c>
    </row>
    <row r="47" spans="1:7">
      <c r="A47" s="246">
        <v>220816</v>
      </c>
      <c r="B47" s="247" t="s">
        <v>357</v>
      </c>
      <c r="C47" s="248">
        <v>50000000</v>
      </c>
      <c r="D47" s="248">
        <f t="shared" ref="D47:F48" si="8">+C47*1.03</f>
        <v>51500000</v>
      </c>
      <c r="E47" s="248">
        <f t="shared" si="8"/>
        <v>53045000</v>
      </c>
      <c r="F47" s="248">
        <f t="shared" si="8"/>
        <v>54636350</v>
      </c>
      <c r="G47" s="248"/>
    </row>
    <row r="48" spans="1:7">
      <c r="A48" s="246">
        <v>220817</v>
      </c>
      <c r="B48" s="247" t="s">
        <v>375</v>
      </c>
      <c r="C48" s="248">
        <v>180000000</v>
      </c>
      <c r="D48" s="248">
        <f t="shared" si="8"/>
        <v>185400000</v>
      </c>
      <c r="E48" s="248">
        <f t="shared" si="8"/>
        <v>190962000</v>
      </c>
      <c r="F48" s="248">
        <f t="shared" si="8"/>
        <v>196690860</v>
      </c>
      <c r="G48" s="248"/>
    </row>
    <row r="49" spans="1:7" s="249" customFormat="1">
      <c r="A49" s="243">
        <v>2209</v>
      </c>
      <c r="B49" s="244" t="s">
        <v>380</v>
      </c>
      <c r="C49" s="245">
        <f>SUM(C50:C51)</f>
        <v>280000000</v>
      </c>
      <c r="D49" s="245">
        <f>SUM(D50:D51)</f>
        <v>288400000</v>
      </c>
      <c r="E49" s="245">
        <f>SUM(E50:E51)</f>
        <v>297052000</v>
      </c>
      <c r="F49" s="245">
        <f>SUM(F50:F51)</f>
        <v>305963560</v>
      </c>
      <c r="G49" s="245">
        <f>SUM(C49:F49)</f>
        <v>1171415560</v>
      </c>
    </row>
    <row r="50" spans="1:7">
      <c r="A50" s="246">
        <v>220916</v>
      </c>
      <c r="B50" s="247" t="s">
        <v>357</v>
      </c>
      <c r="C50" s="248">
        <v>30000000</v>
      </c>
      <c r="D50" s="248">
        <f t="shared" ref="D50:F51" si="9">+C50*1.03</f>
        <v>30900000</v>
      </c>
      <c r="E50" s="248">
        <f t="shared" si="9"/>
        <v>31827000</v>
      </c>
      <c r="F50" s="248">
        <f t="shared" si="9"/>
        <v>32781810</v>
      </c>
      <c r="G50" s="248"/>
    </row>
    <row r="51" spans="1:7">
      <c r="A51" s="246">
        <v>220917</v>
      </c>
      <c r="B51" s="247" t="s">
        <v>375</v>
      </c>
      <c r="C51" s="248">
        <v>250000000</v>
      </c>
      <c r="D51" s="248">
        <f t="shared" si="9"/>
        <v>257500000</v>
      </c>
      <c r="E51" s="248">
        <f t="shared" si="9"/>
        <v>265225000</v>
      </c>
      <c r="F51" s="248">
        <f t="shared" si="9"/>
        <v>273181750</v>
      </c>
      <c r="G51" s="248"/>
    </row>
    <row r="52" spans="1:7" s="249" customFormat="1">
      <c r="A52" s="243">
        <v>2210</v>
      </c>
      <c r="B52" s="244" t="s">
        <v>381</v>
      </c>
      <c r="C52" s="245">
        <f>SUM(C53:C54)</f>
        <v>100000000</v>
      </c>
      <c r="D52" s="245">
        <f>SUM(D53:D54)</f>
        <v>103000000</v>
      </c>
      <c r="E52" s="245">
        <f>SUM(E53:E54)</f>
        <v>106090000</v>
      </c>
      <c r="F52" s="245">
        <f>SUM(F53:F54)</f>
        <v>109272700</v>
      </c>
      <c r="G52" s="245">
        <f>SUM(C52:F52)</f>
        <v>418362700</v>
      </c>
    </row>
    <row r="53" spans="1:7">
      <c r="A53" s="246">
        <v>221016</v>
      </c>
      <c r="B53" s="247" t="s">
        <v>382</v>
      </c>
      <c r="C53" s="248">
        <v>40000000</v>
      </c>
      <c r="D53" s="248">
        <f t="shared" ref="D53:F54" si="10">+C53*1.03</f>
        <v>41200000</v>
      </c>
      <c r="E53" s="248">
        <f t="shared" si="10"/>
        <v>42436000</v>
      </c>
      <c r="F53" s="248">
        <f t="shared" si="10"/>
        <v>43709080</v>
      </c>
      <c r="G53" s="248"/>
    </row>
    <row r="54" spans="1:7">
      <c r="A54" s="246">
        <v>221017</v>
      </c>
      <c r="B54" s="247" t="s">
        <v>378</v>
      </c>
      <c r="C54" s="248">
        <v>60000000</v>
      </c>
      <c r="D54" s="248">
        <f t="shared" si="10"/>
        <v>61800000</v>
      </c>
      <c r="E54" s="248">
        <f t="shared" si="10"/>
        <v>63654000</v>
      </c>
      <c r="F54" s="248">
        <f t="shared" si="10"/>
        <v>65563620</v>
      </c>
      <c r="G54" s="248"/>
    </row>
    <row r="55" spans="1:7" s="249" customFormat="1">
      <c r="A55" s="243">
        <v>2211</v>
      </c>
      <c r="B55" s="244" t="s">
        <v>383</v>
      </c>
      <c r="C55" s="245">
        <f>SUM(C56)</f>
        <v>80037000</v>
      </c>
      <c r="D55" s="245">
        <f>SUM(D56)</f>
        <v>82438110</v>
      </c>
      <c r="E55" s="245">
        <f>SUM(E56)</f>
        <v>84911253.299999997</v>
      </c>
      <c r="F55" s="245">
        <f>SUM(F56)</f>
        <v>87458590.899000004</v>
      </c>
      <c r="G55" s="245">
        <f>SUM(C55:F55)</f>
        <v>334844954.199</v>
      </c>
    </row>
    <row r="56" spans="1:7">
      <c r="A56" s="246">
        <v>221117</v>
      </c>
      <c r="B56" s="247" t="s">
        <v>375</v>
      </c>
      <c r="C56" s="248">
        <v>80037000</v>
      </c>
      <c r="D56" s="248">
        <f>+C56*1.03</f>
        <v>82438110</v>
      </c>
      <c r="E56" s="248">
        <f>+D56*1.03</f>
        <v>84911253.299999997</v>
      </c>
      <c r="F56" s="248">
        <f>+E56*1.03</f>
        <v>87458590.899000004</v>
      </c>
      <c r="G56" s="248"/>
    </row>
    <row r="57" spans="1:7" s="249" customFormat="1">
      <c r="A57" s="243">
        <v>2212</v>
      </c>
      <c r="B57" s="244" t="s">
        <v>384</v>
      </c>
      <c r="C57" s="245">
        <f>SUM(C58)</f>
        <v>55000000</v>
      </c>
      <c r="D57" s="245">
        <f>SUM(D58)</f>
        <v>56650000</v>
      </c>
      <c r="E57" s="245">
        <f>SUM(E58)</f>
        <v>58349500</v>
      </c>
      <c r="F57" s="245">
        <f>SUM(F58)</f>
        <v>60099985</v>
      </c>
      <c r="G57" s="245">
        <f>SUM(C57:F57)</f>
        <v>230099485</v>
      </c>
    </row>
    <row r="58" spans="1:7">
      <c r="A58" s="246">
        <v>221217</v>
      </c>
      <c r="B58" s="247" t="s">
        <v>375</v>
      </c>
      <c r="C58" s="248">
        <v>55000000</v>
      </c>
      <c r="D58" s="248">
        <f t="shared" ref="D58:F62" si="11">+C58*1.03</f>
        <v>56650000</v>
      </c>
      <c r="E58" s="248">
        <f t="shared" si="11"/>
        <v>58349500</v>
      </c>
      <c r="F58" s="248">
        <f t="shared" si="11"/>
        <v>60099985</v>
      </c>
      <c r="G58" s="248"/>
    </row>
    <row r="59" spans="1:7" s="249" customFormat="1">
      <c r="A59" s="243">
        <v>2213</v>
      </c>
      <c r="B59" s="244" t="s">
        <v>385</v>
      </c>
      <c r="C59" s="245">
        <f>SUM(C60:C62)</f>
        <v>209000000</v>
      </c>
      <c r="D59" s="245">
        <f t="shared" si="11"/>
        <v>215270000</v>
      </c>
      <c r="E59" s="245">
        <f t="shared" si="11"/>
        <v>221728100</v>
      </c>
      <c r="F59" s="245">
        <f t="shared" si="11"/>
        <v>228379943</v>
      </c>
      <c r="G59" s="245">
        <f>SUM(C59:F59)</f>
        <v>874378043</v>
      </c>
    </row>
    <row r="60" spans="1:7">
      <c r="A60" s="246">
        <v>221316</v>
      </c>
      <c r="B60" s="247" t="s">
        <v>382</v>
      </c>
      <c r="C60" s="248">
        <v>41000000</v>
      </c>
      <c r="D60" s="248">
        <f>+C60*1.03</f>
        <v>42230000</v>
      </c>
      <c r="E60" s="248">
        <f t="shared" si="11"/>
        <v>43496900</v>
      </c>
      <c r="F60" s="248">
        <f t="shared" si="11"/>
        <v>44801807</v>
      </c>
      <c r="G60" s="248"/>
    </row>
    <row r="61" spans="1:7">
      <c r="A61" s="246">
        <v>221317</v>
      </c>
      <c r="B61" s="247" t="s">
        <v>375</v>
      </c>
      <c r="C61" s="248">
        <v>140000000</v>
      </c>
      <c r="D61" s="248">
        <f>+C61*1.03</f>
        <v>144200000</v>
      </c>
      <c r="E61" s="248">
        <f>+D61*1.03</f>
        <v>148526000</v>
      </c>
      <c r="F61" s="248">
        <f>+E61*1.03</f>
        <v>152981780</v>
      </c>
      <c r="G61" s="248"/>
    </row>
    <row r="62" spans="1:7">
      <c r="A62" s="246">
        <v>221321</v>
      </c>
      <c r="B62" s="247" t="s">
        <v>386</v>
      </c>
      <c r="C62" s="248">
        <v>28000000</v>
      </c>
      <c r="D62" s="248">
        <f>+C62*1.03</f>
        <v>28840000</v>
      </c>
      <c r="E62" s="248">
        <f t="shared" si="11"/>
        <v>29705200</v>
      </c>
      <c r="F62" s="248">
        <f t="shared" si="11"/>
        <v>30596356</v>
      </c>
      <c r="G62" s="248"/>
    </row>
    <row r="63" spans="1:7" s="249" customFormat="1">
      <c r="A63" s="243">
        <v>2215</v>
      </c>
      <c r="B63" s="244" t="s">
        <v>387</v>
      </c>
      <c r="C63" s="245">
        <f>SUM(C64:C65)</f>
        <v>156000000</v>
      </c>
      <c r="D63" s="245">
        <f>SUM(D64:D65)</f>
        <v>160680000</v>
      </c>
      <c r="E63" s="245">
        <f>SUM(E64:E65)</f>
        <v>165500400</v>
      </c>
      <c r="F63" s="245">
        <f>SUM(F64:F65)</f>
        <v>170465412</v>
      </c>
      <c r="G63" s="245">
        <f>SUM(C63:F63)</f>
        <v>652645812</v>
      </c>
    </row>
    <row r="64" spans="1:7">
      <c r="A64" s="246">
        <v>221517</v>
      </c>
      <c r="B64" s="247" t="s">
        <v>375</v>
      </c>
      <c r="C64" s="248">
        <v>155000000</v>
      </c>
      <c r="D64" s="248">
        <f t="shared" ref="D64:F65" si="12">+C64*1.03</f>
        <v>159650000</v>
      </c>
      <c r="E64" s="248">
        <f t="shared" si="12"/>
        <v>164439500</v>
      </c>
      <c r="F64" s="248">
        <f t="shared" si="12"/>
        <v>169372685</v>
      </c>
      <c r="G64" s="248"/>
    </row>
    <row r="65" spans="1:8">
      <c r="A65" s="246">
        <v>221522</v>
      </c>
      <c r="B65" s="247" t="s">
        <v>388</v>
      </c>
      <c r="C65" s="248">
        <v>1000000</v>
      </c>
      <c r="D65" s="248">
        <f t="shared" si="12"/>
        <v>1030000</v>
      </c>
      <c r="E65" s="248">
        <f t="shared" si="12"/>
        <v>1060900</v>
      </c>
      <c r="F65" s="248">
        <f t="shared" si="12"/>
        <v>1092727</v>
      </c>
      <c r="G65" s="248"/>
    </row>
    <row r="66" spans="1:8" s="249" customFormat="1">
      <c r="A66" s="243">
        <v>2216</v>
      </c>
      <c r="B66" s="244" t="s">
        <v>389</v>
      </c>
      <c r="C66" s="245">
        <f>SUM(C67)</f>
        <v>62000000</v>
      </c>
      <c r="D66" s="245">
        <f>SUM(D67)</f>
        <v>63860000</v>
      </c>
      <c r="E66" s="245">
        <f>SUM(E67)</f>
        <v>65775800</v>
      </c>
      <c r="F66" s="245">
        <f>SUM(F67)</f>
        <v>67749074</v>
      </c>
      <c r="G66" s="245">
        <f>SUM(C66:F66)</f>
        <v>259384874</v>
      </c>
    </row>
    <row r="67" spans="1:8">
      <c r="A67" s="246">
        <v>221617</v>
      </c>
      <c r="B67" s="247" t="s">
        <v>375</v>
      </c>
      <c r="C67" s="248">
        <v>62000000</v>
      </c>
      <c r="D67" s="248">
        <f>+C67*1.03</f>
        <v>63860000</v>
      </c>
      <c r="E67" s="248">
        <f>+D67*1.03</f>
        <v>65775800</v>
      </c>
      <c r="F67" s="248">
        <f>+E67*1.03</f>
        <v>67749074</v>
      </c>
      <c r="G67" s="248"/>
    </row>
    <row r="68" spans="1:8" s="249" customFormat="1">
      <c r="A68" s="243">
        <v>2217</v>
      </c>
      <c r="B68" s="244" t="s">
        <v>390</v>
      </c>
      <c r="C68" s="245">
        <f>SUM(C69:C70)</f>
        <v>176500000</v>
      </c>
      <c r="D68" s="245">
        <f>SUM(D69:D70)</f>
        <v>181795000</v>
      </c>
      <c r="E68" s="245">
        <f>SUM(E69:E70)</f>
        <v>187248850</v>
      </c>
      <c r="F68" s="245">
        <f>SUM(F69:F70)</f>
        <v>192866315.5</v>
      </c>
      <c r="G68" s="245">
        <f>SUM(C68:F68)</f>
        <v>738410165.5</v>
      </c>
    </row>
    <row r="69" spans="1:8">
      <c r="A69" s="246">
        <v>221717</v>
      </c>
      <c r="B69" s="247" t="s">
        <v>375</v>
      </c>
      <c r="C69" s="248">
        <v>157500000</v>
      </c>
      <c r="D69" s="248">
        <f t="shared" ref="D69:F70" si="13">+C69*1.03</f>
        <v>162225000</v>
      </c>
      <c r="E69" s="248">
        <f t="shared" si="13"/>
        <v>167091750</v>
      </c>
      <c r="F69" s="248">
        <f t="shared" si="13"/>
        <v>172104502.5</v>
      </c>
      <c r="G69" s="248"/>
    </row>
    <row r="70" spans="1:8">
      <c r="A70" s="246">
        <v>221729</v>
      </c>
      <c r="B70" s="247" t="s">
        <v>363</v>
      </c>
      <c r="C70" s="248">
        <v>19000000</v>
      </c>
      <c r="D70" s="248">
        <f t="shared" si="13"/>
        <v>19570000</v>
      </c>
      <c r="E70" s="248">
        <f t="shared" si="13"/>
        <v>20157100</v>
      </c>
      <c r="F70" s="248">
        <f t="shared" si="13"/>
        <v>20761813</v>
      </c>
      <c r="G70" s="248"/>
    </row>
    <row r="71" spans="1:8" s="249" customFormat="1">
      <c r="A71" s="243">
        <v>2218</v>
      </c>
      <c r="B71" s="244" t="s">
        <v>391</v>
      </c>
      <c r="C71" s="245">
        <f>SUM(C72:C74)</f>
        <v>55000000</v>
      </c>
      <c r="D71" s="245">
        <f>SUM(D72:D74)</f>
        <v>56650000</v>
      </c>
      <c r="E71" s="245">
        <f>SUM(E72:E74)</f>
        <v>58349500</v>
      </c>
      <c r="F71" s="245">
        <f>SUM(F72:F74)</f>
        <v>60099985</v>
      </c>
      <c r="G71" s="245">
        <f>SUM(C71:F71)</f>
        <v>230099485</v>
      </c>
    </row>
    <row r="72" spans="1:8">
      <c r="A72" s="246">
        <v>221817</v>
      </c>
      <c r="B72" s="247" t="s">
        <v>392</v>
      </c>
      <c r="C72" s="248">
        <v>30000000</v>
      </c>
      <c r="D72" s="248">
        <f>+C72*1.03</f>
        <v>30900000</v>
      </c>
      <c r="E72" s="248">
        <f>+D72*1.03</f>
        <v>31827000</v>
      </c>
      <c r="F72" s="248">
        <f>+E72*1.03</f>
        <v>32781810</v>
      </c>
      <c r="G72" s="248"/>
      <c r="H72" s="279">
        <f>SUM(C72:G72)</f>
        <v>125508810</v>
      </c>
    </row>
    <row r="73" spans="1:8">
      <c r="A73" s="246">
        <v>221823</v>
      </c>
      <c r="B73" s="247" t="s">
        <v>393</v>
      </c>
      <c r="C73" s="248">
        <v>0</v>
      </c>
      <c r="D73" s="248">
        <f t="shared" ref="D73:F74" si="14">+C73*1.03</f>
        <v>0</v>
      </c>
      <c r="E73" s="248">
        <f t="shared" si="14"/>
        <v>0</v>
      </c>
      <c r="F73" s="248">
        <f t="shared" si="14"/>
        <v>0</v>
      </c>
      <c r="G73" s="248"/>
    </row>
    <row r="74" spans="1:8">
      <c r="A74" s="246">
        <v>221828</v>
      </c>
      <c r="B74" s="247" t="s">
        <v>394</v>
      </c>
      <c r="C74" s="248">
        <v>25000000</v>
      </c>
      <c r="D74" s="248">
        <f t="shared" si="14"/>
        <v>25750000</v>
      </c>
      <c r="E74" s="248">
        <f t="shared" si="14"/>
        <v>26522500</v>
      </c>
      <c r="F74" s="248">
        <f t="shared" si="14"/>
        <v>27318175</v>
      </c>
      <c r="G74" s="248"/>
      <c r="H74" s="279">
        <f>SUM(C74:G74)</f>
        <v>104590675</v>
      </c>
    </row>
    <row r="75" spans="1:8" ht="21" customHeight="1">
      <c r="A75" s="251"/>
      <c r="B75" s="229"/>
      <c r="C75" s="252"/>
      <c r="D75" s="252"/>
      <c r="E75" s="252"/>
      <c r="F75" s="252"/>
      <c r="G75" s="290">
        <f>SUM(G15:G74)</f>
        <v>23022299194.448051</v>
      </c>
    </row>
    <row r="76" spans="1:8">
      <c r="A76" s="251"/>
      <c r="B76" s="229"/>
      <c r="C76" s="252"/>
      <c r="D76" s="252"/>
      <c r="E76" s="252"/>
      <c r="F76" s="252"/>
    </row>
    <row r="77" spans="1:8">
      <c r="A77" s="251"/>
      <c r="B77" s="229"/>
      <c r="C77" s="252"/>
      <c r="D77" s="252"/>
      <c r="E77" s="252"/>
      <c r="F77" s="252"/>
    </row>
    <row r="78" spans="1:8">
      <c r="A78" s="251"/>
      <c r="B78" s="229"/>
      <c r="C78" s="252"/>
      <c r="D78" s="252"/>
      <c r="E78" s="252"/>
      <c r="F78" s="252"/>
    </row>
    <row r="79" spans="1:8">
      <c r="A79" s="251"/>
      <c r="B79" s="229"/>
      <c r="C79" s="252"/>
      <c r="D79" s="252"/>
      <c r="E79" s="252"/>
      <c r="F79" s="252"/>
    </row>
    <row r="80" spans="1:8">
      <c r="A80" s="251"/>
      <c r="B80" s="229"/>
      <c r="C80" s="252"/>
      <c r="D80" s="252"/>
      <c r="E80" s="252"/>
      <c r="F80" s="252"/>
    </row>
    <row r="81" spans="1:6">
      <c r="A81" s="251"/>
      <c r="B81" s="229"/>
      <c r="C81" s="252"/>
      <c r="D81" s="252"/>
      <c r="E81" s="252"/>
      <c r="F81" s="252"/>
    </row>
    <row r="82" spans="1:6">
      <c r="A82" s="251"/>
      <c r="B82" s="229"/>
      <c r="C82" s="252"/>
      <c r="D82" s="252"/>
      <c r="E82" s="252"/>
      <c r="F82" s="252"/>
    </row>
    <row r="83" spans="1:6">
      <c r="A83" s="251"/>
      <c r="B83" s="229"/>
      <c r="C83" s="252"/>
      <c r="D83" s="252"/>
      <c r="E83" s="252"/>
      <c r="F83" s="252"/>
    </row>
    <row r="84" spans="1:6">
      <c r="A84" s="251"/>
      <c r="B84" s="229"/>
      <c r="C84" s="252"/>
      <c r="D84" s="252"/>
      <c r="E84" s="252"/>
      <c r="F84" s="252"/>
    </row>
    <row r="85" spans="1:6">
      <c r="A85" s="251"/>
      <c r="B85" s="229"/>
      <c r="C85" s="252"/>
      <c r="D85" s="252"/>
      <c r="E85" s="252"/>
      <c r="F85" s="252"/>
    </row>
    <row r="86" spans="1:6">
      <c r="A86" s="251"/>
      <c r="B86" s="229"/>
      <c r="C86" s="252"/>
      <c r="D86" s="252"/>
      <c r="E86" s="252"/>
      <c r="F86" s="252"/>
    </row>
    <row r="87" spans="1:6">
      <c r="A87" s="251"/>
      <c r="B87" s="229"/>
      <c r="C87" s="252"/>
      <c r="D87" s="252"/>
      <c r="E87" s="252"/>
      <c r="F87" s="252"/>
    </row>
    <row r="88" spans="1:6">
      <c r="A88" s="251"/>
      <c r="B88" s="229"/>
      <c r="C88" s="252"/>
      <c r="D88" s="252"/>
      <c r="E88" s="252"/>
      <c r="F88" s="252"/>
    </row>
    <row r="89" spans="1:6">
      <c r="A89" s="251"/>
      <c r="B89" s="229"/>
      <c r="C89" s="252"/>
      <c r="D89" s="252"/>
      <c r="E89" s="252"/>
      <c r="F89" s="252"/>
    </row>
    <row r="90" spans="1:6">
      <c r="A90" s="251"/>
      <c r="B90" s="229"/>
      <c r="C90" s="252"/>
      <c r="D90" s="252"/>
      <c r="E90" s="252"/>
      <c r="F90" s="252"/>
    </row>
    <row r="91" spans="1:6">
      <c r="A91" s="251"/>
      <c r="B91" s="229"/>
      <c r="C91" s="252"/>
      <c r="D91" s="252"/>
      <c r="E91" s="252"/>
      <c r="F91" s="252"/>
    </row>
    <row r="92" spans="1:6">
      <c r="A92" s="251"/>
      <c r="B92" s="229"/>
      <c r="C92" s="252"/>
      <c r="D92" s="252"/>
      <c r="E92" s="252"/>
      <c r="F92" s="252"/>
    </row>
    <row r="93" spans="1:6">
      <c r="A93" s="251"/>
      <c r="B93" s="229"/>
      <c r="C93" s="252"/>
      <c r="D93" s="252"/>
      <c r="E93" s="252"/>
      <c r="F93" s="252"/>
    </row>
    <row r="94" spans="1:6">
      <c r="A94" s="251"/>
      <c r="B94" s="229"/>
      <c r="C94" s="252"/>
      <c r="D94" s="252"/>
      <c r="E94" s="252"/>
      <c r="F94" s="252"/>
    </row>
    <row r="95" spans="1:6">
      <c r="A95" s="251"/>
      <c r="B95" s="229"/>
      <c r="C95" s="252"/>
      <c r="D95" s="252"/>
      <c r="E95" s="252"/>
      <c r="F95" s="252"/>
    </row>
    <row r="96" spans="1:6">
      <c r="A96" s="251"/>
      <c r="B96" s="229"/>
      <c r="C96" s="252"/>
      <c r="D96" s="252"/>
      <c r="E96" s="252"/>
      <c r="F96" s="252"/>
    </row>
    <row r="97" spans="1:6">
      <c r="A97" s="251"/>
      <c r="B97" s="229"/>
      <c r="C97" s="252"/>
      <c r="D97" s="252"/>
      <c r="E97" s="252"/>
      <c r="F97" s="252"/>
    </row>
    <row r="98" spans="1:6">
      <c r="A98" s="251"/>
      <c r="B98" s="229"/>
      <c r="C98" s="252"/>
      <c r="D98" s="252"/>
      <c r="E98" s="252"/>
      <c r="F98" s="252"/>
    </row>
    <row r="99" spans="1:6">
      <c r="A99" s="229"/>
      <c r="B99" s="229"/>
      <c r="C99" s="252"/>
      <c r="D99" s="252"/>
      <c r="E99" s="252"/>
      <c r="F99" s="252"/>
    </row>
    <row r="100" spans="1:6">
      <c r="A100" s="229"/>
      <c r="B100" s="229"/>
      <c r="C100" s="252"/>
      <c r="D100" s="252"/>
      <c r="E100" s="252"/>
      <c r="F100" s="252"/>
    </row>
    <row r="101" spans="1:6" s="235" customFormat="1">
      <c r="A101" s="253"/>
      <c r="B101" s="253"/>
      <c r="C101" s="254"/>
      <c r="D101" s="254"/>
      <c r="E101" s="254"/>
      <c r="F101" s="254"/>
    </row>
    <row r="102" spans="1:6">
      <c r="A102" s="229"/>
      <c r="B102" s="229"/>
      <c r="C102" s="229"/>
      <c r="D102" s="229"/>
      <c r="E102" s="229"/>
      <c r="F102" s="229"/>
    </row>
  </sheetData>
  <mergeCells count="6">
    <mergeCell ref="A6:A8"/>
    <mergeCell ref="B6:B8"/>
    <mergeCell ref="A1:F1"/>
    <mergeCell ref="A2:F2"/>
    <mergeCell ref="A3:F3"/>
    <mergeCell ref="A4:F4"/>
  </mergeCells>
  <phoneticPr fontId="0" type="noConversion"/>
  <pageMargins left="0.34" right="0.11" top="0.28999999999999998" bottom="0.3" header="0.3" footer="0.3"/>
  <pageSetup scale="65" orientation="portrait" horizontalDpi="4294967292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K208"/>
  <sheetViews>
    <sheetView zoomScale="72" zoomScaleNormal="72" workbookViewId="0">
      <selection activeCell="G58" sqref="G58"/>
    </sheetView>
  </sheetViews>
  <sheetFormatPr baseColWidth="10" defaultRowHeight="15"/>
  <cols>
    <col min="2" max="2" width="36.28515625" bestFit="1" customWidth="1"/>
    <col min="3" max="3" width="43.140625" bestFit="1" customWidth="1"/>
    <col min="4" max="4" width="17.140625" customWidth="1"/>
    <col min="5" max="5" width="10.7109375" bestFit="1" customWidth="1"/>
    <col min="6" max="6" width="12.140625" bestFit="1" customWidth="1"/>
    <col min="8" max="8" width="39.28515625" style="17" customWidth="1"/>
    <col min="9" max="9" width="20.42578125" bestFit="1" customWidth="1"/>
    <col min="10" max="10" width="15.42578125" bestFit="1" customWidth="1"/>
    <col min="11" max="11" width="10" bestFit="1" customWidth="1"/>
  </cols>
  <sheetData>
    <row r="3" spans="2:11">
      <c r="B3" s="19" t="s">
        <v>661</v>
      </c>
      <c r="C3" s="19" t="s">
        <v>662</v>
      </c>
      <c r="D3" s="19" t="s">
        <v>663</v>
      </c>
      <c r="E3" s="19" t="s">
        <v>664</v>
      </c>
      <c r="F3" s="19" t="s">
        <v>665</v>
      </c>
      <c r="H3" s="26" t="s">
        <v>684</v>
      </c>
      <c r="I3" s="27" t="s">
        <v>686</v>
      </c>
      <c r="J3" s="27"/>
      <c r="K3" s="27" t="s">
        <v>685</v>
      </c>
    </row>
    <row r="4" spans="2:11" ht="30">
      <c r="B4" s="20"/>
      <c r="C4" s="21" t="s">
        <v>666</v>
      </c>
      <c r="D4" s="20"/>
      <c r="E4" s="20"/>
      <c r="F4" s="20"/>
      <c r="H4" s="28" t="s">
        <v>687</v>
      </c>
      <c r="I4" s="20"/>
      <c r="J4" s="20"/>
      <c r="K4" s="20"/>
    </row>
    <row r="5" spans="2:11" ht="45">
      <c r="B5" s="19" t="s">
        <v>655</v>
      </c>
      <c r="C5" s="19" t="s">
        <v>656</v>
      </c>
      <c r="D5" s="22" t="s">
        <v>657</v>
      </c>
      <c r="E5" s="20"/>
      <c r="F5" s="20"/>
      <c r="H5" s="28" t="s">
        <v>688</v>
      </c>
      <c r="I5" s="20"/>
      <c r="J5" s="20"/>
      <c r="K5" s="20"/>
    </row>
    <row r="6" spans="2:11" ht="60">
      <c r="B6" s="20"/>
      <c r="C6" s="20"/>
      <c r="D6" s="22" t="s">
        <v>658</v>
      </c>
      <c r="E6" s="20"/>
      <c r="F6" s="20"/>
      <c r="H6" s="28" t="s">
        <v>689</v>
      </c>
      <c r="I6" s="20"/>
      <c r="J6" s="20"/>
      <c r="K6" s="20"/>
    </row>
    <row r="7" spans="2:11" ht="45">
      <c r="B7" s="20"/>
      <c r="C7" s="20"/>
      <c r="D7" s="22" t="s">
        <v>667</v>
      </c>
      <c r="E7" s="20"/>
      <c r="F7" s="20"/>
      <c r="H7" s="28" t="s">
        <v>690</v>
      </c>
      <c r="I7" s="20"/>
      <c r="J7" s="20"/>
      <c r="K7" s="20"/>
    </row>
    <row r="8" spans="2:11" ht="45">
      <c r="B8" s="20"/>
      <c r="C8" s="19" t="s">
        <v>668</v>
      </c>
      <c r="D8" s="23" t="s">
        <v>669</v>
      </c>
      <c r="E8" s="20"/>
      <c r="F8" s="20"/>
      <c r="H8" s="28" t="s">
        <v>691</v>
      </c>
      <c r="I8" s="20"/>
      <c r="J8" s="20"/>
      <c r="K8" s="20"/>
    </row>
    <row r="9" spans="2:11" ht="45">
      <c r="B9" s="20"/>
      <c r="C9" s="19" t="s">
        <v>670</v>
      </c>
      <c r="D9" s="23" t="s">
        <v>671</v>
      </c>
      <c r="E9" s="20"/>
      <c r="F9" s="20"/>
      <c r="H9" s="28" t="s">
        <v>692</v>
      </c>
      <c r="I9" s="20"/>
      <c r="J9" s="20"/>
      <c r="K9" s="20"/>
    </row>
    <row r="10" spans="2:11">
      <c r="B10" s="20"/>
      <c r="C10" s="637" t="s">
        <v>672</v>
      </c>
      <c r="D10" s="639"/>
      <c r="E10" s="20">
        <v>128</v>
      </c>
      <c r="F10" s="20"/>
      <c r="H10" s="28" t="s">
        <v>693</v>
      </c>
      <c r="I10" s="20"/>
      <c r="J10" s="20"/>
      <c r="K10" s="20"/>
    </row>
    <row r="11" spans="2:11" ht="30">
      <c r="B11" s="20"/>
      <c r="C11" s="637" t="s">
        <v>673</v>
      </c>
      <c r="D11" s="639"/>
      <c r="E11" s="20"/>
      <c r="F11" s="20"/>
      <c r="H11" s="28" t="s">
        <v>694</v>
      </c>
      <c r="I11" s="20"/>
      <c r="J11" s="20"/>
      <c r="K11" s="20"/>
    </row>
    <row r="12" spans="2:11" ht="28.5" customHeight="1">
      <c r="B12" s="19" t="s">
        <v>659</v>
      </c>
      <c r="C12" s="23" t="s">
        <v>674</v>
      </c>
      <c r="D12" s="20"/>
      <c r="E12" s="20"/>
      <c r="F12" s="20"/>
      <c r="H12" s="642" t="s">
        <v>695</v>
      </c>
      <c r="I12" s="642"/>
      <c r="J12" s="642"/>
      <c r="K12" s="642"/>
    </row>
    <row r="13" spans="2:11">
      <c r="B13" s="20"/>
      <c r="C13" s="25" t="s">
        <v>675</v>
      </c>
      <c r="D13" s="20"/>
      <c r="E13" s="20"/>
      <c r="F13" s="20"/>
      <c r="H13" s="642" t="s">
        <v>696</v>
      </c>
      <c r="I13" s="642"/>
      <c r="J13" s="642"/>
      <c r="K13" s="642"/>
    </row>
    <row r="14" spans="2:11">
      <c r="B14" s="20"/>
      <c r="C14" s="24" t="s">
        <v>676</v>
      </c>
      <c r="D14" s="20"/>
      <c r="E14" s="20"/>
      <c r="F14" s="20"/>
      <c r="H14" s="642" t="s">
        <v>697</v>
      </c>
      <c r="I14" s="642"/>
      <c r="J14" s="642"/>
      <c r="K14" s="642"/>
    </row>
    <row r="15" spans="2:11">
      <c r="B15" s="637" t="s">
        <v>677</v>
      </c>
      <c r="C15" s="638"/>
      <c r="D15" s="639"/>
      <c r="E15" s="20"/>
      <c r="F15" s="20"/>
    </row>
    <row r="16" spans="2:11">
      <c r="B16" s="637" t="s">
        <v>678</v>
      </c>
      <c r="C16" s="638"/>
      <c r="D16" s="639"/>
      <c r="E16" s="20"/>
      <c r="F16" s="20"/>
    </row>
    <row r="17" spans="2:11">
      <c r="B17" s="637" t="s">
        <v>679</v>
      </c>
      <c r="C17" s="638"/>
      <c r="D17" s="639"/>
      <c r="E17" s="20"/>
      <c r="F17" s="20"/>
    </row>
    <row r="18" spans="2:11" ht="30" customHeight="1">
      <c r="B18" s="637"/>
      <c r="C18" s="638"/>
      <c r="D18" s="639"/>
      <c r="E18" s="20"/>
      <c r="F18" s="20"/>
      <c r="H18" s="625" t="s">
        <v>700</v>
      </c>
      <c r="I18" s="625"/>
      <c r="J18" s="625"/>
      <c r="K18" s="625"/>
    </row>
    <row r="19" spans="2:11">
      <c r="B19" s="637" t="s">
        <v>680</v>
      </c>
      <c r="C19" s="638"/>
      <c r="D19" s="639"/>
      <c r="E19" s="20"/>
      <c r="F19" s="20"/>
      <c r="H19" s="625" t="s">
        <v>701</v>
      </c>
      <c r="I19" s="625"/>
      <c r="J19" s="29" t="s">
        <v>710</v>
      </c>
      <c r="K19" s="29">
        <v>2015</v>
      </c>
    </row>
    <row r="20" spans="2:11" ht="32.25" customHeight="1">
      <c r="B20" s="637" t="s">
        <v>681</v>
      </c>
      <c r="C20" s="638"/>
      <c r="D20" s="639"/>
      <c r="E20" s="20"/>
      <c r="F20" s="20"/>
      <c r="H20" s="624" t="s">
        <v>703</v>
      </c>
      <c r="I20" s="624"/>
      <c r="J20" s="20"/>
      <c r="K20" s="20"/>
    </row>
    <row r="21" spans="2:11" ht="32.25" customHeight="1">
      <c r="B21" s="637" t="s">
        <v>682</v>
      </c>
      <c r="C21" s="638"/>
      <c r="D21" s="639"/>
      <c r="E21" s="20"/>
      <c r="F21" s="20"/>
      <c r="H21" s="640" t="s">
        <v>702</v>
      </c>
      <c r="I21" s="641"/>
      <c r="J21" s="20"/>
      <c r="K21" s="20"/>
    </row>
    <row r="22" spans="2:11" ht="35.25" customHeight="1">
      <c r="B22" s="637" t="s">
        <v>683</v>
      </c>
      <c r="C22" s="638"/>
      <c r="D22" s="639"/>
      <c r="E22" s="20"/>
      <c r="F22" s="20"/>
      <c r="H22" s="640" t="s">
        <v>704</v>
      </c>
      <c r="I22" s="641"/>
      <c r="J22" s="20"/>
      <c r="K22" s="20"/>
    </row>
    <row r="23" spans="2:11">
      <c r="B23" s="18"/>
      <c r="H23" s="633" t="s">
        <v>705</v>
      </c>
      <c r="I23" s="634"/>
      <c r="J23" s="20"/>
      <c r="K23" s="20"/>
    </row>
    <row r="24" spans="2:11" ht="15" customHeight="1">
      <c r="H24" s="635" t="s">
        <v>706</v>
      </c>
      <c r="I24" s="28" t="s">
        <v>707</v>
      </c>
      <c r="J24" s="28"/>
      <c r="K24" s="20"/>
    </row>
    <row r="25" spans="2:11">
      <c r="H25" s="635"/>
      <c r="I25" s="28" t="s">
        <v>708</v>
      </c>
      <c r="J25" s="28"/>
      <c r="K25" s="20"/>
    </row>
    <row r="26" spans="2:11">
      <c r="H26" s="635"/>
      <c r="I26" s="28" t="s">
        <v>709</v>
      </c>
      <c r="J26" s="28"/>
      <c r="K26" s="20"/>
    </row>
    <row r="27" spans="2:11">
      <c r="H27" s="635"/>
      <c r="I27" s="20" t="s">
        <v>712</v>
      </c>
      <c r="J27" s="20"/>
      <c r="K27" s="20"/>
    </row>
    <row r="28" spans="2:11">
      <c r="H28" s="635"/>
      <c r="I28" s="20" t="s">
        <v>713</v>
      </c>
      <c r="J28" s="20"/>
      <c r="K28" s="20"/>
    </row>
    <row r="29" spans="2:11">
      <c r="H29" s="635"/>
      <c r="I29" s="20" t="s">
        <v>714</v>
      </c>
      <c r="J29" s="20"/>
      <c r="K29" s="20"/>
    </row>
    <row r="30" spans="2:11">
      <c r="H30" s="635" t="s">
        <v>715</v>
      </c>
      <c r="I30" s="20" t="s">
        <v>707</v>
      </c>
      <c r="J30" s="20"/>
      <c r="K30" s="20"/>
    </row>
    <row r="31" spans="2:11">
      <c r="H31" s="635"/>
      <c r="I31" s="20" t="s">
        <v>708</v>
      </c>
      <c r="J31" s="20"/>
      <c r="K31" s="20"/>
    </row>
    <row r="32" spans="2:11">
      <c r="H32" s="635"/>
      <c r="I32" s="20" t="s">
        <v>709</v>
      </c>
      <c r="J32" s="20"/>
      <c r="K32" s="20"/>
    </row>
    <row r="33" spans="8:11">
      <c r="H33" s="635"/>
      <c r="I33" s="20" t="s">
        <v>712</v>
      </c>
      <c r="J33" s="20"/>
      <c r="K33" s="20"/>
    </row>
    <row r="34" spans="8:11">
      <c r="H34" s="635"/>
      <c r="I34" s="20" t="s">
        <v>716</v>
      </c>
      <c r="J34" s="20"/>
      <c r="K34" s="20"/>
    </row>
    <row r="35" spans="8:11">
      <c r="H35" s="635"/>
      <c r="I35" s="20" t="s">
        <v>711</v>
      </c>
      <c r="J35" s="20"/>
      <c r="K35" s="20"/>
    </row>
    <row r="36" spans="8:11">
      <c r="H36" s="17" t="s">
        <v>717</v>
      </c>
    </row>
    <row r="37" spans="8:11">
      <c r="H37" s="636" t="s">
        <v>718</v>
      </c>
      <c r="I37" s="636"/>
      <c r="J37" s="636"/>
      <c r="K37" s="636"/>
    </row>
    <row r="38" spans="8:11">
      <c r="H38" s="636" t="s">
        <v>719</v>
      </c>
      <c r="I38" s="636"/>
      <c r="J38" s="636"/>
      <c r="K38" s="636"/>
    </row>
    <row r="39" spans="8:11">
      <c r="H39" s="636" t="s">
        <v>720</v>
      </c>
      <c r="I39" s="636"/>
      <c r="J39" s="636"/>
      <c r="K39" s="636"/>
    </row>
    <row r="40" spans="8:11">
      <c r="H40" s="636" t="s">
        <v>721</v>
      </c>
      <c r="I40" s="636"/>
      <c r="J40" s="636"/>
      <c r="K40" s="636"/>
    </row>
    <row r="43" spans="8:11" ht="32.25" customHeight="1">
      <c r="H43" s="625" t="s">
        <v>726</v>
      </c>
      <c r="I43" s="625"/>
      <c r="J43" s="625"/>
      <c r="K43" s="625"/>
    </row>
    <row r="44" spans="8:11">
      <c r="H44" s="625" t="s">
        <v>731</v>
      </c>
      <c r="I44" s="625"/>
      <c r="J44" s="29" t="s">
        <v>710</v>
      </c>
      <c r="K44" s="29">
        <v>2015</v>
      </c>
    </row>
    <row r="45" spans="8:11">
      <c r="H45" s="624" t="s">
        <v>727</v>
      </c>
      <c r="I45" s="624"/>
      <c r="J45" s="20"/>
      <c r="K45" s="20"/>
    </row>
    <row r="46" spans="8:11">
      <c r="H46" s="624" t="s">
        <v>728</v>
      </c>
      <c r="I46" s="624"/>
      <c r="J46" s="20"/>
      <c r="K46" s="20"/>
    </row>
    <row r="47" spans="8:11">
      <c r="H47" s="624" t="s">
        <v>722</v>
      </c>
      <c r="I47" s="624"/>
      <c r="J47" s="20"/>
      <c r="K47" s="20"/>
    </row>
    <row r="48" spans="8:11">
      <c r="H48" s="28" t="s">
        <v>723</v>
      </c>
      <c r="I48" s="28" t="s">
        <v>729</v>
      </c>
      <c r="J48" s="20"/>
      <c r="K48" s="20"/>
    </row>
    <row r="49" spans="8:11">
      <c r="H49" s="28"/>
      <c r="I49" s="28" t="s">
        <v>730</v>
      </c>
      <c r="J49" s="20"/>
      <c r="K49" s="20"/>
    </row>
    <row r="50" spans="8:11">
      <c r="H50" s="624" t="s">
        <v>732</v>
      </c>
      <c r="I50" s="624"/>
      <c r="J50" s="20"/>
      <c r="K50" s="20"/>
    </row>
    <row r="51" spans="8:11">
      <c r="H51" s="624" t="s">
        <v>733</v>
      </c>
      <c r="I51" s="624"/>
      <c r="J51" s="20"/>
      <c r="K51" s="20"/>
    </row>
    <row r="52" spans="8:11">
      <c r="H52" s="624" t="s">
        <v>734</v>
      </c>
      <c r="I52" s="624"/>
      <c r="J52" s="20"/>
      <c r="K52" s="20"/>
    </row>
    <row r="53" spans="8:11">
      <c r="H53" s="626" t="s">
        <v>724</v>
      </c>
      <c r="I53" s="627"/>
      <c r="J53" s="20" t="s">
        <v>735</v>
      </c>
      <c r="K53" s="20" t="s">
        <v>736</v>
      </c>
    </row>
    <row r="54" spans="8:11">
      <c r="H54" s="628"/>
      <c r="I54" s="629"/>
      <c r="J54" s="20"/>
      <c r="K54" s="20"/>
    </row>
    <row r="55" spans="8:11" ht="15" customHeight="1">
      <c r="H55" s="626" t="s">
        <v>725</v>
      </c>
      <c r="I55" s="627"/>
      <c r="J55" s="20" t="s">
        <v>735</v>
      </c>
      <c r="K55" s="20" t="s">
        <v>736</v>
      </c>
    </row>
    <row r="56" spans="8:11" ht="15" customHeight="1">
      <c r="H56" s="628" t="s">
        <v>725</v>
      </c>
      <c r="I56" s="629"/>
      <c r="J56" s="20"/>
      <c r="K56" s="20"/>
    </row>
    <row r="57" spans="8:11">
      <c r="H57" s="624" t="s">
        <v>737</v>
      </c>
      <c r="I57" s="624"/>
      <c r="J57" s="20"/>
      <c r="K57" s="20"/>
    </row>
    <row r="58" spans="8:11" ht="30" customHeight="1">
      <c r="H58" s="624" t="s">
        <v>738</v>
      </c>
      <c r="I58" s="624"/>
      <c r="J58" s="20"/>
      <c r="K58" s="20"/>
    </row>
    <row r="59" spans="8:11">
      <c r="H59" s="624" t="s">
        <v>739</v>
      </c>
      <c r="I59" s="624"/>
      <c r="J59" s="20"/>
      <c r="K59" s="20"/>
    </row>
    <row r="60" spans="8:11">
      <c r="H60" s="624" t="s">
        <v>740</v>
      </c>
      <c r="I60" s="624"/>
      <c r="J60" s="20"/>
      <c r="K60" s="20"/>
    </row>
    <row r="61" spans="8:11" ht="28.5" customHeight="1">
      <c r="H61" s="624" t="s">
        <v>741</v>
      </c>
      <c r="I61" s="624"/>
      <c r="J61" s="20"/>
      <c r="K61" s="20"/>
    </row>
    <row r="64" spans="8:11">
      <c r="H64" s="26" t="s">
        <v>747</v>
      </c>
      <c r="I64" s="30" t="s">
        <v>748</v>
      </c>
      <c r="J64" s="30" t="s">
        <v>685</v>
      </c>
    </row>
    <row r="65" spans="8:10">
      <c r="H65" s="28" t="s">
        <v>749</v>
      </c>
      <c r="I65" s="20"/>
      <c r="J65" s="20"/>
    </row>
    <row r="66" spans="8:10">
      <c r="H66" s="28" t="s">
        <v>750</v>
      </c>
      <c r="I66" s="20"/>
      <c r="J66" s="20"/>
    </row>
    <row r="67" spans="8:10">
      <c r="H67" s="28" t="s">
        <v>745</v>
      </c>
      <c r="I67" s="20"/>
      <c r="J67" s="20"/>
    </row>
    <row r="68" spans="8:10" ht="30">
      <c r="H68" s="28" t="s">
        <v>751</v>
      </c>
      <c r="I68" s="20" t="s">
        <v>752</v>
      </c>
      <c r="J68" s="20"/>
    </row>
    <row r="69" spans="8:10">
      <c r="H69" s="28" t="s">
        <v>746</v>
      </c>
      <c r="I69" s="20"/>
      <c r="J69" s="20"/>
    </row>
    <row r="70" spans="8:10">
      <c r="H70" s="28" t="s">
        <v>753</v>
      </c>
      <c r="I70" s="20"/>
      <c r="J70" s="20"/>
    </row>
    <row r="71" spans="8:10" ht="30">
      <c r="H71" s="28" t="s">
        <v>754</v>
      </c>
      <c r="I71" s="20"/>
      <c r="J71" s="20"/>
    </row>
    <row r="72" spans="8:10" ht="45">
      <c r="H72" s="28" t="s">
        <v>755</v>
      </c>
      <c r="I72" s="20"/>
      <c r="J72" s="20"/>
    </row>
    <row r="73" spans="8:10" ht="30">
      <c r="H73" s="28" t="s">
        <v>756</v>
      </c>
      <c r="I73" s="20"/>
      <c r="J73" s="20"/>
    </row>
    <row r="74" spans="8:10" ht="60">
      <c r="H74" s="28" t="s">
        <v>757</v>
      </c>
      <c r="I74" s="20"/>
      <c r="J74" s="20"/>
    </row>
    <row r="75" spans="8:10" ht="45">
      <c r="H75" s="28" t="s">
        <v>758</v>
      </c>
      <c r="I75" s="20"/>
      <c r="J75" s="20"/>
    </row>
    <row r="76" spans="8:10" ht="30">
      <c r="H76" s="28" t="s">
        <v>759</v>
      </c>
      <c r="I76" s="20"/>
      <c r="J76" s="20"/>
    </row>
    <row r="77" spans="8:10" ht="30">
      <c r="H77" s="28" t="s">
        <v>760</v>
      </c>
      <c r="I77" s="20"/>
      <c r="J77" s="20"/>
    </row>
    <row r="80" spans="8:10">
      <c r="H80" s="625" t="s">
        <v>761</v>
      </c>
      <c r="I80" s="625"/>
      <c r="J80" s="625"/>
    </row>
    <row r="81" spans="8:10">
      <c r="H81" s="28" t="s">
        <v>684</v>
      </c>
      <c r="I81" s="20" t="s">
        <v>762</v>
      </c>
      <c r="J81" s="20" t="s">
        <v>766</v>
      </c>
    </row>
    <row r="82" spans="8:10" ht="45">
      <c r="H82" s="28" t="s">
        <v>692</v>
      </c>
      <c r="I82" s="20"/>
      <c r="J82" s="20"/>
    </row>
    <row r="83" spans="8:10">
      <c r="H83" s="28" t="s">
        <v>693</v>
      </c>
      <c r="I83" s="20"/>
      <c r="J83" s="20"/>
    </row>
    <row r="84" spans="8:10" ht="30">
      <c r="H84" s="28" t="s">
        <v>763</v>
      </c>
      <c r="I84" s="20"/>
      <c r="J84" s="20"/>
    </row>
    <row r="87" spans="8:10">
      <c r="H87" s="625" t="s">
        <v>764</v>
      </c>
      <c r="I87" s="625"/>
      <c r="J87" s="625"/>
    </row>
    <row r="88" spans="8:10" ht="15.75" customHeight="1">
      <c r="H88" s="28" t="s">
        <v>684</v>
      </c>
      <c r="I88" s="20" t="s">
        <v>762</v>
      </c>
      <c r="J88" s="20" t="s">
        <v>766</v>
      </c>
    </row>
    <row r="89" spans="8:10">
      <c r="H89" s="28" t="s">
        <v>765</v>
      </c>
      <c r="I89" s="20"/>
      <c r="J89" s="20"/>
    </row>
    <row r="90" spans="8:10">
      <c r="H90" s="28" t="s">
        <v>767</v>
      </c>
      <c r="I90" s="20"/>
      <c r="J90" s="20"/>
    </row>
    <row r="91" spans="8:10" ht="45">
      <c r="H91" s="28" t="s">
        <v>768</v>
      </c>
      <c r="I91" s="20"/>
      <c r="J91" s="20"/>
    </row>
    <row r="92" spans="8:10" ht="60">
      <c r="H92" s="28" t="s">
        <v>769</v>
      </c>
      <c r="I92" s="20"/>
      <c r="J92" s="20"/>
    </row>
    <row r="93" spans="8:10" ht="30">
      <c r="H93" s="28" t="s">
        <v>770</v>
      </c>
      <c r="I93" s="20"/>
      <c r="J93" s="20"/>
    </row>
    <row r="94" spans="8:10" ht="30">
      <c r="H94" s="28" t="s">
        <v>771</v>
      </c>
      <c r="I94" s="20"/>
      <c r="J94" s="20"/>
    </row>
    <row r="95" spans="8:10" ht="30">
      <c r="H95" s="28" t="s">
        <v>772</v>
      </c>
      <c r="I95" s="20"/>
      <c r="J95" s="20"/>
    </row>
    <row r="96" spans="8:10" ht="30">
      <c r="H96" s="28" t="s">
        <v>773</v>
      </c>
      <c r="I96" s="20"/>
      <c r="J96" s="20"/>
    </row>
    <row r="97" spans="8:10" ht="30">
      <c r="H97" s="28" t="s">
        <v>774</v>
      </c>
      <c r="I97" s="20"/>
      <c r="J97" s="20"/>
    </row>
    <row r="98" spans="8:10" ht="45">
      <c r="H98" s="28" t="s">
        <v>775</v>
      </c>
      <c r="I98" s="20"/>
      <c r="J98" s="20"/>
    </row>
    <row r="99" spans="8:10" ht="30">
      <c r="H99" s="28" t="s">
        <v>776</v>
      </c>
      <c r="I99" s="20"/>
      <c r="J99" s="20"/>
    </row>
    <row r="100" spans="8:10" ht="30">
      <c r="H100" s="28" t="s">
        <v>777</v>
      </c>
      <c r="I100" s="20"/>
      <c r="J100" s="20"/>
    </row>
    <row r="101" spans="8:10" ht="30">
      <c r="H101" s="28" t="s">
        <v>778</v>
      </c>
      <c r="I101" s="20"/>
      <c r="J101" s="20"/>
    </row>
    <row r="102" spans="8:10" ht="45">
      <c r="H102" s="28" t="s">
        <v>779</v>
      </c>
      <c r="I102" s="20"/>
      <c r="J102" s="20"/>
    </row>
    <row r="103" spans="8:10" ht="45">
      <c r="H103" s="28" t="s">
        <v>780</v>
      </c>
      <c r="I103" s="20"/>
      <c r="J103" s="20"/>
    </row>
    <row r="104" spans="8:10" ht="45">
      <c r="H104" s="28" t="s">
        <v>781</v>
      </c>
      <c r="I104" s="20"/>
      <c r="J104" s="20"/>
    </row>
    <row r="107" spans="8:10">
      <c r="H107" s="31" t="s">
        <v>684</v>
      </c>
      <c r="I107" s="29" t="s">
        <v>762</v>
      </c>
      <c r="J107" s="29" t="s">
        <v>766</v>
      </c>
    </row>
    <row r="108" spans="8:10" ht="45">
      <c r="H108" s="28" t="s">
        <v>783</v>
      </c>
      <c r="I108" s="20"/>
      <c r="J108" s="20"/>
    </row>
    <row r="109" spans="8:10" ht="45">
      <c r="H109" s="28" t="s">
        <v>784</v>
      </c>
      <c r="I109" s="20"/>
      <c r="J109" s="20"/>
    </row>
    <row r="112" spans="8:10" ht="30.75" customHeight="1">
      <c r="H112" s="630" t="s">
        <v>1033</v>
      </c>
      <c r="I112" s="631"/>
      <c r="J112" s="632"/>
    </row>
    <row r="113" spans="8:10" ht="45">
      <c r="H113" s="79" t="s">
        <v>786</v>
      </c>
      <c r="I113" s="79" t="s">
        <v>787</v>
      </c>
      <c r="J113" s="79" t="s">
        <v>982</v>
      </c>
    </row>
    <row r="114" spans="8:10" ht="27.75" customHeight="1">
      <c r="H114" s="28" t="s">
        <v>788</v>
      </c>
      <c r="I114" s="75"/>
      <c r="J114" s="75"/>
    </row>
    <row r="115" spans="8:10" ht="45">
      <c r="H115" s="28" t="s">
        <v>789</v>
      </c>
      <c r="I115" s="75"/>
      <c r="J115" s="75"/>
    </row>
    <row r="116" spans="8:10">
      <c r="H116" s="28" t="s">
        <v>790</v>
      </c>
      <c r="I116" s="75"/>
      <c r="J116" s="75"/>
    </row>
    <row r="117" spans="8:10">
      <c r="H117" s="28" t="s">
        <v>791</v>
      </c>
      <c r="I117" s="75">
        <v>1419</v>
      </c>
      <c r="J117" s="75">
        <v>85</v>
      </c>
    </row>
    <row r="118" spans="8:10">
      <c r="H118" s="28" t="s">
        <v>792</v>
      </c>
      <c r="I118" s="75"/>
      <c r="J118" s="75"/>
    </row>
    <row r="119" spans="8:10">
      <c r="H119" s="28" t="s">
        <v>793</v>
      </c>
      <c r="I119" s="75"/>
      <c r="J119" s="75"/>
    </row>
    <row r="120" spans="8:10">
      <c r="H120" s="28" t="s">
        <v>794</v>
      </c>
      <c r="I120" s="75"/>
      <c r="J120" s="75"/>
    </row>
    <row r="121" spans="8:10">
      <c r="H121" s="28" t="s">
        <v>795</v>
      </c>
      <c r="I121" s="75"/>
      <c r="J121" s="75"/>
    </row>
    <row r="122" spans="8:10">
      <c r="H122" s="28" t="s">
        <v>796</v>
      </c>
      <c r="I122" s="75">
        <v>306</v>
      </c>
      <c r="J122" s="75">
        <v>15</v>
      </c>
    </row>
    <row r="123" spans="8:10" ht="45">
      <c r="H123" s="28" t="s">
        <v>797</v>
      </c>
      <c r="I123" s="75"/>
      <c r="J123" s="75"/>
    </row>
    <row r="124" spans="8:10">
      <c r="H124" s="28" t="s">
        <v>798</v>
      </c>
      <c r="I124" s="75"/>
      <c r="J124" s="75"/>
    </row>
    <row r="125" spans="8:10">
      <c r="H125" s="28" t="s">
        <v>799</v>
      </c>
      <c r="I125" s="75"/>
      <c r="J125" s="75"/>
    </row>
    <row r="126" spans="8:10">
      <c r="H126" s="28" t="s">
        <v>800</v>
      </c>
      <c r="I126" s="75"/>
      <c r="J126" s="75"/>
    </row>
    <row r="127" spans="8:10">
      <c r="H127" s="28" t="s">
        <v>801</v>
      </c>
      <c r="I127" s="75"/>
      <c r="J127" s="75"/>
    </row>
    <row r="128" spans="8:10">
      <c r="H128" s="28" t="s">
        <v>802</v>
      </c>
      <c r="I128" s="75"/>
      <c r="J128" s="75"/>
    </row>
    <row r="129" spans="8:10">
      <c r="H129" s="28" t="s">
        <v>803</v>
      </c>
      <c r="I129" s="75"/>
      <c r="J129" s="75"/>
    </row>
    <row r="130" spans="8:10">
      <c r="H130" s="28" t="s">
        <v>804</v>
      </c>
      <c r="I130" s="75"/>
      <c r="J130" s="75"/>
    </row>
    <row r="131" spans="8:10">
      <c r="H131" s="28" t="s">
        <v>805</v>
      </c>
      <c r="I131" s="75"/>
      <c r="J131" s="75"/>
    </row>
    <row r="132" spans="8:10">
      <c r="H132" s="28" t="s">
        <v>806</v>
      </c>
      <c r="I132" s="75"/>
      <c r="J132" s="75"/>
    </row>
    <row r="133" spans="8:10">
      <c r="H133" s="28" t="s">
        <v>807</v>
      </c>
      <c r="I133" s="75"/>
      <c r="J133" s="75"/>
    </row>
    <row r="134" spans="8:10">
      <c r="H134" s="28" t="s">
        <v>808</v>
      </c>
      <c r="I134" s="75"/>
      <c r="J134" s="75"/>
    </row>
    <row r="135" spans="8:10">
      <c r="H135" s="28" t="s">
        <v>809</v>
      </c>
      <c r="I135" s="75"/>
      <c r="J135" s="75"/>
    </row>
    <row r="136" spans="8:10">
      <c r="H136" s="28" t="s">
        <v>810</v>
      </c>
      <c r="I136" s="75"/>
      <c r="J136" s="75"/>
    </row>
    <row r="137" spans="8:10">
      <c r="H137" s="28" t="s">
        <v>811</v>
      </c>
      <c r="I137" s="75"/>
      <c r="J137" s="75"/>
    </row>
    <row r="138" spans="8:10">
      <c r="H138" s="28" t="s">
        <v>812</v>
      </c>
      <c r="I138" s="75"/>
      <c r="J138" s="75"/>
    </row>
    <row r="139" spans="8:10">
      <c r="H139" s="28" t="s">
        <v>813</v>
      </c>
      <c r="I139" s="75"/>
      <c r="J139" s="75"/>
    </row>
    <row r="140" spans="8:10">
      <c r="H140" s="28" t="s">
        <v>814</v>
      </c>
      <c r="I140" s="75"/>
      <c r="J140" s="75"/>
    </row>
    <row r="141" spans="8:10" ht="30">
      <c r="H141" s="28" t="s">
        <v>815</v>
      </c>
      <c r="I141" s="75"/>
      <c r="J141" s="75"/>
    </row>
    <row r="142" spans="8:10">
      <c r="H142" s="28" t="s">
        <v>816</v>
      </c>
      <c r="I142" s="75"/>
      <c r="J142" s="75"/>
    </row>
    <row r="143" spans="8:10">
      <c r="H143" s="28" t="s">
        <v>817</v>
      </c>
      <c r="I143" s="75"/>
      <c r="J143" s="75"/>
    </row>
    <row r="144" spans="8:10" ht="30">
      <c r="H144" s="28" t="s">
        <v>818</v>
      </c>
      <c r="I144" s="75">
        <v>106</v>
      </c>
      <c r="J144" s="75">
        <v>5</v>
      </c>
    </row>
    <row r="145" spans="8:10">
      <c r="H145" s="28" t="s">
        <v>819</v>
      </c>
      <c r="I145" s="75">
        <v>106</v>
      </c>
      <c r="J145" s="75">
        <v>13</v>
      </c>
    </row>
    <row r="146" spans="8:10">
      <c r="H146" s="28" t="s">
        <v>820</v>
      </c>
      <c r="I146" s="75"/>
      <c r="J146" s="75"/>
    </row>
    <row r="147" spans="8:10" ht="30">
      <c r="H147" s="28" t="s">
        <v>821</v>
      </c>
      <c r="I147" s="75"/>
      <c r="J147" s="75"/>
    </row>
    <row r="148" spans="8:10">
      <c r="H148" s="28" t="s">
        <v>822</v>
      </c>
      <c r="I148" s="75"/>
      <c r="J148" s="75"/>
    </row>
    <row r="149" spans="8:10">
      <c r="H149" s="28" t="s">
        <v>1031</v>
      </c>
      <c r="I149" s="75">
        <v>128</v>
      </c>
      <c r="J149" s="75">
        <v>3</v>
      </c>
    </row>
    <row r="150" spans="8:10" ht="45">
      <c r="H150" s="28" t="s">
        <v>1032</v>
      </c>
      <c r="I150" s="75">
        <v>33</v>
      </c>
      <c r="J150" s="75">
        <v>3</v>
      </c>
    </row>
    <row r="151" spans="8:10">
      <c r="H151" s="28" t="s">
        <v>823</v>
      </c>
      <c r="I151" s="75"/>
      <c r="J151" s="75"/>
    </row>
    <row r="152" spans="8:10">
      <c r="H152" s="28" t="s">
        <v>824</v>
      </c>
      <c r="I152" s="75"/>
      <c r="J152" s="75"/>
    </row>
    <row r="153" spans="8:10">
      <c r="H153" s="28" t="s">
        <v>825</v>
      </c>
      <c r="I153" s="75"/>
      <c r="J153" s="75"/>
    </row>
    <row r="154" spans="8:10">
      <c r="H154" s="28" t="s">
        <v>826</v>
      </c>
      <c r="I154" s="75"/>
      <c r="J154" s="75"/>
    </row>
    <row r="155" spans="8:10">
      <c r="H155" s="28" t="s">
        <v>827</v>
      </c>
      <c r="I155" s="75"/>
      <c r="J155" s="75"/>
    </row>
    <row r="156" spans="8:10">
      <c r="H156" s="28" t="s">
        <v>828</v>
      </c>
      <c r="I156" s="75">
        <v>50</v>
      </c>
      <c r="J156" s="75">
        <v>4</v>
      </c>
    </row>
    <row r="157" spans="8:10">
      <c r="H157" s="28" t="s">
        <v>829</v>
      </c>
      <c r="I157" s="75"/>
      <c r="J157" s="75"/>
    </row>
    <row r="158" spans="8:10" ht="30">
      <c r="H158" s="28" t="s">
        <v>830</v>
      </c>
      <c r="I158" s="75"/>
      <c r="J158" s="75"/>
    </row>
    <row r="159" spans="8:10" ht="30">
      <c r="H159" s="28" t="s">
        <v>831</v>
      </c>
      <c r="I159" s="75"/>
      <c r="J159" s="75"/>
    </row>
    <row r="160" spans="8:10">
      <c r="H160" s="28" t="s">
        <v>832</v>
      </c>
      <c r="I160" s="75"/>
      <c r="J160" s="75"/>
    </row>
    <row r="161" spans="8:10">
      <c r="H161" s="28" t="s">
        <v>833</v>
      </c>
      <c r="I161" s="75"/>
      <c r="J161" s="75"/>
    </row>
    <row r="162" spans="8:10">
      <c r="H162" s="28" t="s">
        <v>834</v>
      </c>
      <c r="I162" s="75"/>
      <c r="J162" s="75"/>
    </row>
    <row r="163" spans="8:10">
      <c r="H163" s="28" t="s">
        <v>835</v>
      </c>
      <c r="I163" s="75">
        <v>564</v>
      </c>
      <c r="J163" s="75">
        <v>18</v>
      </c>
    </row>
    <row r="164" spans="8:10">
      <c r="H164" s="43" t="s">
        <v>986</v>
      </c>
      <c r="I164" s="76"/>
      <c r="J164" s="76"/>
    </row>
    <row r="165" spans="8:10">
      <c r="H165" s="42" t="s">
        <v>983</v>
      </c>
      <c r="I165" s="76">
        <v>168</v>
      </c>
      <c r="J165" s="76">
        <v>69</v>
      </c>
    </row>
    <row r="166" spans="8:10">
      <c r="H166" s="42" t="s">
        <v>984</v>
      </c>
      <c r="I166" s="76">
        <v>168</v>
      </c>
      <c r="J166" s="76">
        <v>15</v>
      </c>
    </row>
    <row r="167" spans="8:10">
      <c r="H167" s="42" t="s">
        <v>985</v>
      </c>
      <c r="I167" s="76">
        <v>168</v>
      </c>
      <c r="J167" s="76">
        <v>7</v>
      </c>
    </row>
    <row r="168" spans="8:10">
      <c r="H168" s="28" t="s">
        <v>836</v>
      </c>
      <c r="I168" s="75">
        <v>60</v>
      </c>
      <c r="J168" s="75">
        <v>26</v>
      </c>
    </row>
    <row r="169" spans="8:10">
      <c r="H169" s="28" t="s">
        <v>837</v>
      </c>
      <c r="I169" s="75"/>
      <c r="J169" s="75"/>
    </row>
    <row r="170" spans="8:10">
      <c r="H170" s="28" t="s">
        <v>838</v>
      </c>
      <c r="I170" s="75"/>
      <c r="J170" s="75"/>
    </row>
    <row r="171" spans="8:10" ht="44.25" customHeight="1">
      <c r="H171" s="28" t="s">
        <v>839</v>
      </c>
      <c r="I171" s="75">
        <v>127</v>
      </c>
      <c r="J171" s="75">
        <v>7</v>
      </c>
    </row>
    <row r="172" spans="8:10">
      <c r="H172" s="28" t="s">
        <v>840</v>
      </c>
      <c r="I172" s="75"/>
      <c r="J172" s="75"/>
    </row>
    <row r="173" spans="8:10" ht="30">
      <c r="H173" s="28" t="s">
        <v>841</v>
      </c>
      <c r="I173" s="75"/>
      <c r="J173" s="75"/>
    </row>
    <row r="174" spans="8:10">
      <c r="H174" s="28" t="s">
        <v>842</v>
      </c>
      <c r="I174" s="75"/>
      <c r="J174" s="75"/>
    </row>
    <row r="175" spans="8:10">
      <c r="H175" s="28" t="s">
        <v>843</v>
      </c>
      <c r="I175" s="75"/>
      <c r="J175" s="75"/>
    </row>
    <row r="176" spans="8:10" ht="45">
      <c r="H176" s="28" t="s">
        <v>844</v>
      </c>
      <c r="I176" s="75"/>
      <c r="J176" s="75"/>
    </row>
    <row r="177" spans="3:10">
      <c r="H177" s="28" t="s">
        <v>845</v>
      </c>
      <c r="I177" s="75">
        <v>216</v>
      </c>
      <c r="J177" s="75">
        <v>23</v>
      </c>
    </row>
    <row r="178" spans="3:10">
      <c r="H178" s="28" t="s">
        <v>846</v>
      </c>
      <c r="I178" s="75"/>
      <c r="J178" s="75"/>
    </row>
    <row r="179" spans="3:10" ht="30">
      <c r="H179" s="28" t="s">
        <v>847</v>
      </c>
      <c r="I179" s="75"/>
      <c r="J179" s="75"/>
    </row>
    <row r="180" spans="3:10">
      <c r="H180" s="28" t="s">
        <v>848</v>
      </c>
      <c r="I180" s="75"/>
      <c r="J180" s="75"/>
    </row>
    <row r="181" spans="3:10">
      <c r="H181" s="28" t="s">
        <v>849</v>
      </c>
      <c r="I181" s="75">
        <v>128</v>
      </c>
      <c r="J181" s="75">
        <v>11</v>
      </c>
    </row>
    <row r="182" spans="3:10">
      <c r="H182" s="28" t="s">
        <v>850</v>
      </c>
      <c r="I182" s="75"/>
      <c r="J182" s="75"/>
    </row>
    <row r="183" spans="3:10">
      <c r="H183" s="77" t="s">
        <v>851</v>
      </c>
      <c r="I183" s="78">
        <f>SUM(I114:I182)-I165*3</f>
        <v>3243</v>
      </c>
      <c r="J183" s="78">
        <f>SUM(J114:J182)</f>
        <v>304</v>
      </c>
    </row>
    <row r="188" spans="3:10">
      <c r="C188" s="44" t="s">
        <v>990</v>
      </c>
    </row>
    <row r="189" spans="3:10">
      <c r="C189" s="7" t="s">
        <v>607</v>
      </c>
      <c r="D189" s="5"/>
      <c r="E189" s="8"/>
      <c r="F189" s="8"/>
      <c r="G189" s="8"/>
      <c r="H189" s="9">
        <v>8905</v>
      </c>
    </row>
    <row r="190" spans="3:10">
      <c r="C190" s="7" t="s">
        <v>608</v>
      </c>
      <c r="D190" s="5"/>
      <c r="E190" s="8"/>
      <c r="F190" s="8"/>
      <c r="G190" s="8"/>
      <c r="H190" s="9">
        <v>1454</v>
      </c>
    </row>
    <row r="191" spans="3:10">
      <c r="C191" s="7" t="s">
        <v>609</v>
      </c>
      <c r="D191" s="5"/>
      <c r="E191" s="8"/>
      <c r="F191" s="8"/>
      <c r="G191" s="8"/>
      <c r="H191" s="9">
        <v>7451</v>
      </c>
    </row>
    <row r="192" spans="3:10">
      <c r="C192" s="7" t="s">
        <v>610</v>
      </c>
      <c r="D192" s="5"/>
      <c r="E192" s="8"/>
      <c r="F192" s="8"/>
      <c r="G192" s="8"/>
      <c r="H192" s="8">
        <v>51.8</v>
      </c>
    </row>
    <row r="193" spans="3:8">
      <c r="C193" s="7" t="s">
        <v>611</v>
      </c>
      <c r="D193" s="5"/>
      <c r="E193" s="8"/>
      <c r="F193" s="8"/>
      <c r="G193" s="8"/>
      <c r="H193" s="8">
        <v>48.2</v>
      </c>
    </row>
    <row r="194" spans="3:8">
      <c r="C194" s="7" t="s">
        <v>612</v>
      </c>
      <c r="D194" s="5"/>
      <c r="E194" s="8"/>
      <c r="F194" s="8"/>
      <c r="G194" s="8"/>
      <c r="H194" s="8">
        <v>70</v>
      </c>
    </row>
    <row r="195" spans="3:8">
      <c r="C195" s="13" t="s">
        <v>623</v>
      </c>
      <c r="D195" s="5"/>
      <c r="E195" s="10"/>
      <c r="F195" s="11"/>
      <c r="G195" s="11"/>
      <c r="H195" s="12"/>
    </row>
    <row r="196" spans="3:8">
      <c r="C196" s="7" t="s">
        <v>613</v>
      </c>
      <c r="D196" s="5"/>
      <c r="E196" s="643">
        <v>80.3</v>
      </c>
      <c r="F196" s="644"/>
      <c r="G196" s="644"/>
      <c r="H196" s="645"/>
    </row>
    <row r="197" spans="3:8">
      <c r="C197" s="7" t="s">
        <v>614</v>
      </c>
      <c r="D197" s="5"/>
      <c r="E197" s="8"/>
      <c r="F197" s="8"/>
      <c r="G197" s="8"/>
      <c r="H197" s="8">
        <v>72.5</v>
      </c>
    </row>
    <row r="198" spans="3:8">
      <c r="C198" s="7" t="s">
        <v>622</v>
      </c>
      <c r="D198" s="5"/>
      <c r="E198" s="8"/>
      <c r="F198" s="8"/>
      <c r="G198" s="8"/>
      <c r="H198" s="8">
        <v>24.2</v>
      </c>
    </row>
    <row r="199" spans="3:8">
      <c r="C199" s="7" t="s">
        <v>615</v>
      </c>
      <c r="D199" s="5"/>
      <c r="E199" s="8"/>
      <c r="F199" s="8"/>
      <c r="G199" s="8"/>
      <c r="H199" s="8">
        <v>14.4</v>
      </c>
    </row>
    <row r="200" spans="3:8">
      <c r="C200" s="7" t="s">
        <v>616</v>
      </c>
      <c r="D200" s="5"/>
      <c r="E200" s="8"/>
      <c r="F200" s="8"/>
      <c r="G200" s="8"/>
      <c r="H200" s="8">
        <v>5.0999999999999996</v>
      </c>
    </row>
    <row r="201" spans="3:8">
      <c r="C201" s="7" t="s">
        <v>617</v>
      </c>
      <c r="D201" s="5"/>
      <c r="E201" s="8"/>
      <c r="F201" s="8"/>
      <c r="G201" s="8"/>
      <c r="H201" s="8">
        <v>17.399999999999999</v>
      </c>
    </row>
    <row r="202" spans="3:8">
      <c r="C202" s="7" t="s">
        <v>618</v>
      </c>
      <c r="D202" s="5"/>
      <c r="E202" s="8"/>
      <c r="F202" s="8"/>
      <c r="G202" s="8"/>
      <c r="H202" s="8">
        <v>55.7</v>
      </c>
    </row>
    <row r="203" spans="3:8">
      <c r="C203" s="7" t="s">
        <v>619</v>
      </c>
      <c r="D203" s="5"/>
      <c r="E203" s="8"/>
      <c r="F203" s="8"/>
      <c r="G203" s="8"/>
      <c r="H203" s="8">
        <v>85.1</v>
      </c>
    </row>
    <row r="204" spans="3:8">
      <c r="C204" s="7" t="s">
        <v>620</v>
      </c>
      <c r="D204" s="5"/>
      <c r="E204" s="8"/>
      <c r="F204" s="8"/>
      <c r="G204" s="8"/>
      <c r="H204" s="9">
        <v>6654</v>
      </c>
    </row>
    <row r="205" spans="3:8" ht="25.5">
      <c r="C205" s="7" t="s">
        <v>621</v>
      </c>
      <c r="D205" s="5"/>
      <c r="E205" s="8"/>
      <c r="F205" s="8"/>
      <c r="G205" s="8"/>
      <c r="H205" s="9">
        <v>1221</v>
      </c>
    </row>
    <row r="206" spans="3:8">
      <c r="C206" s="13" t="s">
        <v>624</v>
      </c>
      <c r="D206" s="5"/>
      <c r="E206" s="10"/>
      <c r="F206" s="11"/>
      <c r="G206" s="11"/>
      <c r="H206" s="12"/>
    </row>
    <row r="207" spans="3:8">
      <c r="C207" s="7" t="s">
        <v>625</v>
      </c>
      <c r="D207" s="5"/>
      <c r="E207" s="8"/>
      <c r="F207" s="8"/>
      <c r="G207" s="8"/>
      <c r="H207" s="8">
        <v>104</v>
      </c>
    </row>
    <row r="208" spans="3:8">
      <c r="C208" s="7" t="s">
        <v>626</v>
      </c>
      <c r="D208" s="5"/>
      <c r="E208" s="8"/>
      <c r="F208" s="8"/>
      <c r="G208" s="8"/>
      <c r="H208" s="8">
        <v>1305</v>
      </c>
    </row>
  </sheetData>
  <mergeCells count="44">
    <mergeCell ref="E196:H196"/>
    <mergeCell ref="C10:D10"/>
    <mergeCell ref="C11:D11"/>
    <mergeCell ref="B15:D15"/>
    <mergeCell ref="B16:D16"/>
    <mergeCell ref="B17:D17"/>
    <mergeCell ref="B19:D19"/>
    <mergeCell ref="B20:D20"/>
    <mergeCell ref="B21:D21"/>
    <mergeCell ref="B22:D22"/>
    <mergeCell ref="B18:D18"/>
    <mergeCell ref="H20:I20"/>
    <mergeCell ref="H21:I21"/>
    <mergeCell ref="H22:I22"/>
    <mergeCell ref="H12:K12"/>
    <mergeCell ref="H13:K13"/>
    <mergeCell ref="H14:K14"/>
    <mergeCell ref="H18:K18"/>
    <mergeCell ref="H23:I23"/>
    <mergeCell ref="H19:I19"/>
    <mergeCell ref="H50:I50"/>
    <mergeCell ref="H51:I51"/>
    <mergeCell ref="H30:H35"/>
    <mergeCell ref="H24:H29"/>
    <mergeCell ref="H37:K37"/>
    <mergeCell ref="H38:K38"/>
    <mergeCell ref="H39:K39"/>
    <mergeCell ref="H40:K40"/>
    <mergeCell ref="H46:I46"/>
    <mergeCell ref="H47:I47"/>
    <mergeCell ref="H80:J80"/>
    <mergeCell ref="H87:J87"/>
    <mergeCell ref="H112:J112"/>
    <mergeCell ref="H61:I61"/>
    <mergeCell ref="H57:I57"/>
    <mergeCell ref="H58:I58"/>
    <mergeCell ref="H59:I59"/>
    <mergeCell ref="H60:I60"/>
    <mergeCell ref="H43:K43"/>
    <mergeCell ref="H53:I54"/>
    <mergeCell ref="H55:I56"/>
    <mergeCell ref="H52:I52"/>
    <mergeCell ref="H44:I44"/>
    <mergeCell ref="H45:I45"/>
  </mergeCells>
  <phoneticPr fontId="0" type="noConversion"/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AMBIENTAL</vt:lpstr>
      <vt:lpstr>CONSTRUIDA URBANO REGIONAL</vt:lpstr>
      <vt:lpstr>ECONOMICO PRODUCTIVA</vt:lpstr>
      <vt:lpstr>SOCIO CULTURAL</vt:lpstr>
      <vt:lpstr>POLITICO INSTITUCIONAL</vt:lpstr>
      <vt:lpstr>Consolidado</vt:lpstr>
      <vt:lpstr>Pto</vt:lpstr>
      <vt:lpstr>Hoja1</vt:lpstr>
      <vt:lpstr>Hoja2</vt:lpstr>
      <vt:lpstr>AMBIENTAL!Área_de_impresión</vt:lpstr>
      <vt:lpstr>Consolidado!Área_de_impresión</vt:lpstr>
      <vt:lpstr>'CONSTRUIDA URBANO REGIONAL'!Área_de_impresión</vt:lpstr>
      <vt:lpstr>'ECONOMICO PRODUCTIVA'!Área_de_impresión</vt:lpstr>
      <vt:lpstr>Hoja1!Área_de_impresión</vt:lpstr>
      <vt:lpstr>'POLITICO INSTITUCIONAL'!Área_de_impresión</vt:lpstr>
      <vt:lpstr>Pto!Área_de_impresión</vt:lpstr>
      <vt:lpstr>'SOCIO CULTURAL'!Área_de_impresión</vt:lpstr>
      <vt:lpstr>AMBIENTAL!Títulos_a_imprimir</vt:lpstr>
      <vt:lpstr>Consolidado!Títulos_a_imprimir</vt:lpstr>
      <vt:lpstr>'CONSTRUIDA URBANO REGIONAL'!Títulos_a_imprimir</vt:lpstr>
      <vt:lpstr>'ECONOMICO PRODUCTIVA'!Títulos_a_imprimir</vt:lpstr>
      <vt:lpstr>'POLITICO INSTITUCIONAL'!Títulos_a_imprimir</vt:lpstr>
      <vt:lpstr>Pto!Títulos_a_imprimir</vt:lpstr>
      <vt:lpstr>'SOCIO CULTURAL'!Títulos_a_imprimir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delgado</dc:creator>
  <cp:lastModifiedBy>rubiurre</cp:lastModifiedBy>
  <cp:lastPrinted>2012-06-08T16:30:25Z</cp:lastPrinted>
  <dcterms:created xsi:type="dcterms:W3CDTF">2012-02-24T14:52:54Z</dcterms:created>
  <dcterms:modified xsi:type="dcterms:W3CDTF">2012-09-07T16:57:37Z</dcterms:modified>
</cp:coreProperties>
</file>